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https://ingenionnl.sharepoint.com/sites/SP-Projecten/Shared Documents/Groeiling/EA MFP-2 (2021)/Gepubliceerd/"/>
    </mc:Choice>
  </mc:AlternateContent>
  <xr:revisionPtr revIDLastSave="74" documentId="8_{C3F1C84B-9723-4480-AE9A-F41EA3F7C64C}" xr6:coauthVersionLast="47" xr6:coauthVersionMax="47" xr10:uidLastSave="{0FCA9D8B-7E16-434C-A21D-DDB8CD039FEE}"/>
  <bookViews>
    <workbookView xWindow="-28920" yWindow="-120" windowWidth="29040" windowHeight="15840" xr2:uid="{5388CAA8-65CB-4AAB-BEFF-7D99F3197186}"/>
  </bookViews>
  <sheets>
    <sheet name="Toelichting" sheetId="2" r:id="rId1"/>
    <sheet name="SOTOG" sheetId="1" r:id="rId2"/>
    <sheet name="De Groeiling" sheetId="5" r:id="rId3"/>
    <sheet name="Ithaka" sheetId="4" r:id="rId4"/>
    <sheet name="SCO-T" sheetId="3" r:id="rId5"/>
    <sheet name="Stip"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1" i="4" l="1"/>
  <c r="G31" i="4"/>
  <c r="G36" i="5"/>
  <c r="G78" i="5"/>
  <c r="G66" i="5"/>
  <c r="O5" i="5"/>
  <c r="Q5" i="5" s="1"/>
  <c r="O32" i="5"/>
  <c r="P3" i="5"/>
  <c r="H11" i="1"/>
  <c r="W11" i="1" s="1"/>
  <c r="O11" i="1"/>
  <c r="P11" i="1"/>
  <c r="Q11" i="1"/>
  <c r="T11" i="1"/>
  <c r="U11" i="1"/>
  <c r="V11" i="1"/>
  <c r="Y11" i="1"/>
  <c r="K43" i="1"/>
  <c r="G94" i="1" s="1"/>
  <c r="K42" i="1"/>
  <c r="L43" i="1"/>
  <c r="H94" i="1" s="1"/>
  <c r="L42" i="1"/>
  <c r="I92" i="1" s="1"/>
  <c r="N3" i="7"/>
  <c r="N3" i="3"/>
  <c r="M3" i="4"/>
  <c r="O3" i="5"/>
  <c r="R5" i="5" l="1"/>
  <c r="S11" i="1"/>
  <c r="R11" i="1"/>
  <c r="X11" i="1"/>
  <c r="I94" i="1"/>
  <c r="J94" i="1" s="1"/>
  <c r="H92" i="1"/>
  <c r="N1" i="4"/>
  <c r="M6" i="4"/>
  <c r="M7" i="4"/>
  <c r="M8" i="4"/>
  <c r="M9" i="4"/>
  <c r="M10" i="4"/>
  <c r="M11" i="4"/>
  <c r="M12" i="4"/>
  <c r="M13" i="4"/>
  <c r="M14" i="4"/>
  <c r="M15" i="4"/>
  <c r="M16" i="4"/>
  <c r="M17" i="4"/>
  <c r="M18" i="4"/>
  <c r="M19" i="4"/>
  <c r="M20" i="4"/>
  <c r="M21" i="4"/>
  <c r="M22" i="4"/>
  <c r="M23" i="4"/>
  <c r="M24" i="4"/>
  <c r="G16" i="4"/>
  <c r="L23" i="4"/>
  <c r="J23" i="4" s="1"/>
  <c r="K23" i="4"/>
  <c r="I23" i="4" s="1"/>
  <c r="L10" i="4"/>
  <c r="J10" i="4" s="1"/>
  <c r="K10" i="4"/>
  <c r="I10" i="4" s="1"/>
  <c r="N42" i="1"/>
  <c r="M42" i="1"/>
  <c r="G6" i="1"/>
  <c r="G14" i="1"/>
  <c r="U18" i="1"/>
  <c r="V18" i="1"/>
  <c r="U22" i="1"/>
  <c r="V22" i="1"/>
  <c r="G26" i="1"/>
  <c r="U30" i="1"/>
  <c r="V30" i="1"/>
  <c r="W34" i="1"/>
  <c r="X34" i="1"/>
  <c r="R4" i="1"/>
  <c r="S4" i="1"/>
  <c r="T4" i="1"/>
  <c r="U4" i="1"/>
  <c r="V4" i="1"/>
  <c r="R6" i="1"/>
  <c r="S6" i="1"/>
  <c r="R7" i="1"/>
  <c r="S7" i="1"/>
  <c r="U7" i="1"/>
  <c r="V7" i="1"/>
  <c r="R8" i="1"/>
  <c r="S8" i="1"/>
  <c r="U8" i="1"/>
  <c r="V8" i="1"/>
  <c r="R9" i="1"/>
  <c r="S9" i="1"/>
  <c r="U9" i="1"/>
  <c r="V9" i="1"/>
  <c r="T10" i="1"/>
  <c r="U10" i="1"/>
  <c r="V10" i="1"/>
  <c r="R12" i="1"/>
  <c r="S12" i="1"/>
  <c r="T12" i="1"/>
  <c r="U12" i="1"/>
  <c r="V12" i="1"/>
  <c r="R14" i="1"/>
  <c r="S14" i="1"/>
  <c r="U15" i="1"/>
  <c r="V15" i="1"/>
  <c r="T16" i="1"/>
  <c r="U16" i="1"/>
  <c r="V16" i="1"/>
  <c r="R17" i="1"/>
  <c r="S17" i="1"/>
  <c r="R18" i="1"/>
  <c r="S18" i="1"/>
  <c r="T18" i="1"/>
  <c r="R20" i="1"/>
  <c r="S20" i="1"/>
  <c r="U21" i="1"/>
  <c r="V21" i="1"/>
  <c r="R22" i="1"/>
  <c r="S22" i="1"/>
  <c r="T23" i="1"/>
  <c r="U23" i="1"/>
  <c r="V23" i="1"/>
  <c r="R24" i="1"/>
  <c r="S24" i="1"/>
  <c r="T25" i="1"/>
  <c r="R26" i="1"/>
  <c r="S26" i="1"/>
  <c r="U27" i="1"/>
  <c r="V27" i="1"/>
  <c r="R28" i="1"/>
  <c r="S28" i="1"/>
  <c r="U28" i="1"/>
  <c r="V28" i="1"/>
  <c r="T30" i="1"/>
  <c r="R31" i="1"/>
  <c r="S31" i="1"/>
  <c r="U32" i="1"/>
  <c r="V32" i="1"/>
  <c r="U33" i="1"/>
  <c r="V33" i="1"/>
  <c r="P34" i="1"/>
  <c r="Q34" i="1"/>
  <c r="T34" i="1"/>
  <c r="U34" i="1"/>
  <c r="V34" i="1"/>
  <c r="R35" i="1"/>
  <c r="S35" i="1"/>
  <c r="U36" i="1"/>
  <c r="V36" i="1"/>
  <c r="U37" i="1"/>
  <c r="V37" i="1"/>
  <c r="G35" i="1"/>
  <c r="U35" i="1" s="1"/>
  <c r="O35" i="1"/>
  <c r="W35" i="1"/>
  <c r="X35" i="1"/>
  <c r="G31" i="1"/>
  <c r="P31" i="1" s="1"/>
  <c r="O31" i="1"/>
  <c r="W31" i="1"/>
  <c r="X31" i="1"/>
  <c r="O26" i="1"/>
  <c r="W26" i="1"/>
  <c r="X26" i="1"/>
  <c r="G24" i="1"/>
  <c r="U24" i="1" s="1"/>
  <c r="O24" i="1"/>
  <c r="W24" i="1"/>
  <c r="X24" i="1"/>
  <c r="G17" i="1"/>
  <c r="U17" i="1" s="1"/>
  <c r="O17" i="1"/>
  <c r="W17" i="1"/>
  <c r="X17" i="1"/>
  <c r="G19" i="1"/>
  <c r="V19" i="1" s="1"/>
  <c r="G20" i="1"/>
  <c r="P20" i="1" s="1"/>
  <c r="O19" i="1"/>
  <c r="R19" i="1" s="1"/>
  <c r="O20" i="1"/>
  <c r="W19" i="1"/>
  <c r="W20" i="1"/>
  <c r="X19" i="1"/>
  <c r="X20" i="1"/>
  <c r="G13" i="1"/>
  <c r="U13" i="1" s="1"/>
  <c r="O13" i="1"/>
  <c r="R13" i="1" s="1"/>
  <c r="O14" i="1"/>
  <c r="W13" i="1"/>
  <c r="W14" i="1"/>
  <c r="X13" i="1"/>
  <c r="X14" i="1"/>
  <c r="G5" i="1"/>
  <c r="X5" i="1"/>
  <c r="O5" i="1"/>
  <c r="R5" i="1" s="1"/>
  <c r="O6" i="1"/>
  <c r="W6" i="1"/>
  <c r="X6" i="1"/>
  <c r="W7" i="1"/>
  <c r="X7" i="1"/>
  <c r="W8" i="1"/>
  <c r="X8" i="1"/>
  <c r="W9" i="1"/>
  <c r="X9" i="1"/>
  <c r="Y10" i="1"/>
  <c r="W22" i="1"/>
  <c r="X22" i="1"/>
  <c r="W28" i="1"/>
  <c r="X28" i="1"/>
  <c r="Y4" i="1"/>
  <c r="X4" i="1"/>
  <c r="W12" i="1"/>
  <c r="X12" i="1"/>
  <c r="Y16" i="1"/>
  <c r="W25" i="1"/>
  <c r="X25" i="1"/>
  <c r="Y30" i="1"/>
  <c r="O9" i="1"/>
  <c r="Q9" i="1" s="1"/>
  <c r="O8" i="1"/>
  <c r="P8" i="1" s="1"/>
  <c r="O7" i="1"/>
  <c r="P7" i="1" s="1"/>
  <c r="O28" i="1"/>
  <c r="P28" i="1" s="1"/>
  <c r="L15" i="7"/>
  <c r="M15" i="7"/>
  <c r="P5" i="1" l="1"/>
  <c r="S5" i="1"/>
  <c r="S13" i="1"/>
  <c r="U20" i="1"/>
  <c r="P9" i="1"/>
  <c r="Q24" i="1"/>
  <c r="Q7" i="1"/>
  <c r="S19" i="1"/>
  <c r="Q8" i="1"/>
  <c r="Q28" i="1"/>
  <c r="U5" i="1"/>
  <c r="P24" i="1"/>
  <c r="Q13" i="1"/>
  <c r="P35" i="1"/>
  <c r="P13" i="1"/>
  <c r="Q19" i="1"/>
  <c r="Q6" i="1"/>
  <c r="U6" i="1"/>
  <c r="V6" i="1"/>
  <c r="P6" i="1"/>
  <c r="P26" i="1"/>
  <c r="U26" i="1"/>
  <c r="Q26" i="1"/>
  <c r="V26" i="1"/>
  <c r="P14" i="1"/>
  <c r="Q14" i="1"/>
  <c r="U14" i="1"/>
  <c r="V14" i="1"/>
  <c r="V31" i="1"/>
  <c r="U19" i="1"/>
  <c r="Q17" i="1"/>
  <c r="Q35" i="1"/>
  <c r="U31" i="1"/>
  <c r="V20" i="1"/>
  <c r="P17" i="1"/>
  <c r="V5" i="1"/>
  <c r="Q31" i="1"/>
  <c r="P19" i="1"/>
  <c r="V17" i="1"/>
  <c r="V35" i="1"/>
  <c r="Q20" i="1"/>
  <c r="Q5" i="1"/>
  <c r="V24" i="1"/>
  <c r="V13" i="1"/>
  <c r="W5" i="1"/>
  <c r="I19" i="1"/>
  <c r="I13" i="1"/>
  <c r="I5" i="1"/>
  <c r="W4" i="1"/>
  <c r="Y18" i="1"/>
  <c r="Y23" i="1"/>
  <c r="X18" i="1"/>
  <c r="Y25" i="1"/>
  <c r="W18" i="1"/>
  <c r="Y34" i="1"/>
  <c r="Y12" i="1"/>
  <c r="I9" i="1"/>
  <c r="I8" i="1"/>
  <c r="I7" i="1"/>
  <c r="I28" i="1"/>
  <c r="M10" i="3"/>
  <c r="L10" i="3"/>
  <c r="M18" i="3"/>
  <c r="L18" i="3"/>
  <c r="M13" i="3"/>
  <c r="L13" i="3"/>
  <c r="M14" i="3"/>
  <c r="L14" i="3"/>
  <c r="M15" i="3"/>
  <c r="L15" i="3"/>
  <c r="M12" i="3"/>
  <c r="L12" i="3"/>
  <c r="M11" i="3"/>
  <c r="L11" i="3"/>
  <c r="M4" i="3"/>
  <c r="L4" i="3"/>
  <c r="M7" i="3"/>
  <c r="L7" i="3"/>
  <c r="M9" i="3"/>
  <c r="L9" i="3"/>
  <c r="M17" i="3"/>
  <c r="L17" i="3"/>
  <c r="M5" i="3"/>
  <c r="L5" i="3"/>
  <c r="M8" i="3"/>
  <c r="L8" i="3"/>
  <c r="M6" i="3"/>
  <c r="L6" i="3"/>
  <c r="M16" i="3"/>
  <c r="L16" i="3"/>
  <c r="N4" i="7"/>
  <c r="N5" i="7"/>
  <c r="N6" i="7"/>
  <c r="N7" i="7"/>
  <c r="N8" i="7"/>
  <c r="N9" i="7"/>
  <c r="N10" i="7"/>
  <c r="N11" i="7"/>
  <c r="N12" i="7"/>
  <c r="N13" i="7"/>
  <c r="N14" i="7"/>
  <c r="N15" i="7"/>
  <c r="N16" i="7"/>
  <c r="N17" i="7"/>
  <c r="N18" i="7"/>
  <c r="N19" i="7"/>
  <c r="N20" i="7"/>
  <c r="N21" i="7"/>
  <c r="N22" i="7"/>
  <c r="N23" i="7"/>
  <c r="N24" i="7"/>
  <c r="N25" i="7"/>
  <c r="K6" i="7"/>
  <c r="J6" i="7"/>
  <c r="J12" i="7"/>
  <c r="K12" i="7"/>
  <c r="N26" i="7" l="1"/>
  <c r="H6" i="7"/>
  <c r="U6" i="7" s="1"/>
  <c r="G6" i="7"/>
  <c r="H12" i="7"/>
  <c r="G12" i="7"/>
  <c r="V6" i="7" l="1"/>
  <c r="Q6" i="7"/>
  <c r="R6" i="7"/>
  <c r="T6" i="7"/>
  <c r="S6" i="7"/>
  <c r="P6" i="7"/>
  <c r="O6" i="7"/>
  <c r="V12" i="7"/>
  <c r="R12" i="7"/>
  <c r="Q12" i="7"/>
  <c r="U12" i="7"/>
  <c r="S12" i="7"/>
  <c r="P12" i="7"/>
  <c r="O12" i="7"/>
  <c r="T12" i="7"/>
  <c r="M31" i="7" l="1"/>
  <c r="K31" i="7"/>
  <c r="R3" i="7"/>
  <c r="Q3" i="7"/>
  <c r="P3" i="7"/>
  <c r="O3" i="7"/>
  <c r="M24" i="3"/>
  <c r="K24" i="3"/>
  <c r="N4" i="3"/>
  <c r="N5" i="3"/>
  <c r="N6" i="3"/>
  <c r="N7" i="3"/>
  <c r="N8" i="3"/>
  <c r="N9" i="3"/>
  <c r="N10" i="3"/>
  <c r="N11" i="3"/>
  <c r="N12" i="3"/>
  <c r="N13" i="3"/>
  <c r="N14" i="3"/>
  <c r="N15" i="3"/>
  <c r="N16" i="3"/>
  <c r="N17" i="3"/>
  <c r="N18" i="3"/>
  <c r="R3" i="3"/>
  <c r="Q3" i="3"/>
  <c r="P3" i="3"/>
  <c r="O3" i="3"/>
  <c r="T3" i="1"/>
  <c r="O37" i="1"/>
  <c r="O4" i="1"/>
  <c r="O10" i="1"/>
  <c r="O12" i="1"/>
  <c r="O15" i="1"/>
  <c r="O16" i="1"/>
  <c r="O18" i="1"/>
  <c r="O21" i="1"/>
  <c r="O22" i="1"/>
  <c r="O23" i="1"/>
  <c r="O25" i="1"/>
  <c r="O27" i="1"/>
  <c r="O29" i="1"/>
  <c r="O30" i="1"/>
  <c r="O32" i="1"/>
  <c r="O33" i="1"/>
  <c r="O34" i="1"/>
  <c r="O36" i="1"/>
  <c r="M41" i="1"/>
  <c r="K41" i="1"/>
  <c r="S3" i="1"/>
  <c r="R3" i="1"/>
  <c r="Q3" i="1"/>
  <c r="P3" i="1"/>
  <c r="M31" i="4"/>
  <c r="K31" i="4"/>
  <c r="O3" i="4"/>
  <c r="N3" i="4"/>
  <c r="I3" i="4"/>
  <c r="G3" i="4" s="1"/>
  <c r="J3" i="4"/>
  <c r="N38" i="5"/>
  <c r="T3" i="5"/>
  <c r="S3" i="5"/>
  <c r="R3" i="5"/>
  <c r="L38" i="5"/>
  <c r="Q3" i="5"/>
  <c r="G3" i="5"/>
  <c r="K15" i="5"/>
  <c r="L15" i="5"/>
  <c r="K24" i="5"/>
  <c r="L24" i="5"/>
  <c r="K32" i="5"/>
  <c r="L32" i="5"/>
  <c r="N19" i="3" l="1"/>
  <c r="P22" i="1"/>
  <c r="Q22" i="1"/>
  <c r="Q33" i="1"/>
  <c r="P33" i="1"/>
  <c r="P32" i="1"/>
  <c r="Q32" i="1"/>
  <c r="Q18" i="1"/>
  <c r="P18" i="1"/>
  <c r="Q16" i="1"/>
  <c r="P16" i="1"/>
  <c r="P15" i="1"/>
  <c r="Q15" i="1"/>
  <c r="R34" i="1"/>
  <c r="S34" i="1"/>
  <c r="Q21" i="1"/>
  <c r="P21" i="1"/>
  <c r="P27" i="1"/>
  <c r="Q27" i="1"/>
  <c r="Q12" i="1"/>
  <c r="P12" i="1"/>
  <c r="Q4" i="1"/>
  <c r="P4" i="1"/>
  <c r="P37" i="1"/>
  <c r="Q37" i="1"/>
  <c r="P30" i="1"/>
  <c r="Q30" i="1"/>
  <c r="S25" i="1"/>
  <c r="R25" i="1"/>
  <c r="Q36" i="1"/>
  <c r="P36" i="1"/>
  <c r="Q23" i="1"/>
  <c r="P23" i="1"/>
  <c r="P10" i="1"/>
  <c r="Q10" i="1"/>
  <c r="L26" i="7"/>
  <c r="M26" i="7"/>
  <c r="I37" i="1"/>
  <c r="T37" i="1" s="1"/>
  <c r="H37" i="1"/>
  <c r="P3" i="4"/>
  <c r="Q3" i="4"/>
  <c r="U3" i="5"/>
  <c r="V3" i="5"/>
  <c r="I3" i="5"/>
  <c r="G24" i="5"/>
  <c r="G15" i="5"/>
  <c r="I15" i="5"/>
  <c r="I32" i="5"/>
  <c r="I24" i="5"/>
  <c r="P15" i="5" l="1"/>
  <c r="T15" i="5"/>
  <c r="S15" i="5"/>
  <c r="V24" i="5"/>
  <c r="O24" i="5"/>
  <c r="Q24" i="5" s="1"/>
  <c r="S32" i="5"/>
  <c r="P32" i="5"/>
  <c r="T32" i="5"/>
  <c r="U15" i="5"/>
  <c r="O15" i="5"/>
  <c r="Q15" i="5" s="1"/>
  <c r="P24" i="5"/>
  <c r="S24" i="5"/>
  <c r="T24" i="5"/>
  <c r="R37" i="1"/>
  <c r="S37" i="1"/>
  <c r="W37" i="1"/>
  <c r="X37" i="1"/>
  <c r="Y37" i="1"/>
  <c r="W3" i="5"/>
  <c r="X3" i="5"/>
  <c r="U24" i="5"/>
  <c r="W15" i="5"/>
  <c r="Q32" i="5"/>
  <c r="R32" i="5"/>
  <c r="V15" i="5"/>
  <c r="R24" i="5"/>
  <c r="W32" i="5"/>
  <c r="X15" i="5"/>
  <c r="X32" i="5"/>
  <c r="V32" i="5"/>
  <c r="U32" i="5"/>
  <c r="W24" i="5"/>
  <c r="X24" i="5"/>
  <c r="R15" i="5" l="1"/>
  <c r="M4" i="4"/>
  <c r="M25" i="4" s="1"/>
  <c r="G72" i="4" s="1"/>
  <c r="M5" i="4"/>
  <c r="L24" i="4"/>
  <c r="J24" i="4" s="1"/>
  <c r="K24" i="4"/>
  <c r="I24" i="4" s="1"/>
  <c r="L21" i="4"/>
  <c r="K19" i="4"/>
  <c r="I19" i="4" s="1"/>
  <c r="K21" i="4"/>
  <c r="L6" i="4"/>
  <c r="K6" i="4"/>
  <c r="K11" i="4"/>
  <c r="I11" i="4" s="1"/>
  <c r="L4" i="4"/>
  <c r="K4" i="4"/>
  <c r="L12" i="4"/>
  <c r="K12" i="4"/>
  <c r="L9" i="4"/>
  <c r="J9" i="4" s="1"/>
  <c r="K9" i="4"/>
  <c r="I9" i="4" s="1"/>
  <c r="J11" i="4"/>
  <c r="J18" i="4"/>
  <c r="I18" i="4"/>
  <c r="G23" i="4"/>
  <c r="Q23" i="4" s="1"/>
  <c r="K14" i="4"/>
  <c r="K22" i="4"/>
  <c r="I22" i="4" s="1"/>
  <c r="L13" i="4"/>
  <c r="J13" i="4" s="1"/>
  <c r="K13" i="4"/>
  <c r="I13" i="4" s="1"/>
  <c r="L7" i="4"/>
  <c r="J7" i="4" s="1"/>
  <c r="K8" i="4"/>
  <c r="K7" i="4"/>
  <c r="I7" i="4" s="1"/>
  <c r="L8" i="4"/>
  <c r="L5" i="4"/>
  <c r="K5" i="4"/>
  <c r="J22" i="4"/>
  <c r="I20" i="4"/>
  <c r="J20" i="4"/>
  <c r="J19" i="4"/>
  <c r="J18" i="7"/>
  <c r="J19" i="7"/>
  <c r="J20" i="7"/>
  <c r="J21" i="7"/>
  <c r="K18" i="7"/>
  <c r="K19" i="7"/>
  <c r="K20" i="7"/>
  <c r="K21" i="7"/>
  <c r="J22" i="7"/>
  <c r="K22" i="7"/>
  <c r="J23" i="7"/>
  <c r="K23" i="7"/>
  <c r="G22" i="4" l="1"/>
  <c r="G19" i="4"/>
  <c r="O19" i="4" s="1"/>
  <c r="G20" i="4"/>
  <c r="P20" i="4" s="1"/>
  <c r="G18" i="4"/>
  <c r="G21" i="7"/>
  <c r="S21" i="7" s="1"/>
  <c r="G22" i="7"/>
  <c r="T22" i="7" s="1"/>
  <c r="H21" i="7"/>
  <c r="V21" i="7" s="1"/>
  <c r="I36" i="1"/>
  <c r="T36" i="1" s="1"/>
  <c r="H36" i="1"/>
  <c r="G18" i="7"/>
  <c r="T18" i="7" s="1"/>
  <c r="G23" i="7"/>
  <c r="S23" i="7" s="1"/>
  <c r="N23" i="4"/>
  <c r="O23" i="4"/>
  <c r="P23" i="4"/>
  <c r="G11" i="4"/>
  <c r="N11" i="4" s="1"/>
  <c r="G24" i="4"/>
  <c r="N24" i="4" s="1"/>
  <c r="G9" i="4"/>
  <c r="G7" i="4"/>
  <c r="G13" i="4"/>
  <c r="G20" i="7"/>
  <c r="S20" i="7" s="1"/>
  <c r="G19" i="7"/>
  <c r="H20" i="7"/>
  <c r="R20" i="7" s="1"/>
  <c r="H19" i="7"/>
  <c r="H18" i="7"/>
  <c r="H22" i="7"/>
  <c r="H23" i="7"/>
  <c r="T21" i="7" l="1"/>
  <c r="O20" i="4"/>
  <c r="N20" i="4"/>
  <c r="Q20" i="4"/>
  <c r="R36" i="1"/>
  <c r="S36" i="1"/>
  <c r="W36" i="1"/>
  <c r="X36" i="1"/>
  <c r="Y36" i="1"/>
  <c r="R21" i="7"/>
  <c r="U21" i="7"/>
  <c r="S18" i="7"/>
  <c r="Q21" i="7"/>
  <c r="S22" i="7"/>
  <c r="N19" i="4"/>
  <c r="T23" i="7"/>
  <c r="Q19" i="4"/>
  <c r="P19" i="4"/>
  <c r="P11" i="4"/>
  <c r="V20" i="7"/>
  <c r="O11" i="4"/>
  <c r="Q11" i="4"/>
  <c r="N22" i="4"/>
  <c r="Q22" i="4"/>
  <c r="P22" i="4"/>
  <c r="O22" i="4"/>
  <c r="Q18" i="4"/>
  <c r="P18" i="4"/>
  <c r="N18" i="4"/>
  <c r="O18" i="4"/>
  <c r="Q16" i="4"/>
  <c r="P16" i="4"/>
  <c r="O16" i="4"/>
  <c r="N16" i="4"/>
  <c r="Q13" i="4"/>
  <c r="P13" i="4"/>
  <c r="O13" i="4"/>
  <c r="N13" i="4"/>
  <c r="N7" i="4"/>
  <c r="P7" i="4"/>
  <c r="Q7" i="4"/>
  <c r="O7" i="4"/>
  <c r="P9" i="4"/>
  <c r="Q9" i="4"/>
  <c r="O9" i="4"/>
  <c r="N9" i="4"/>
  <c r="O24" i="4"/>
  <c r="P24" i="4"/>
  <c r="Q24" i="4"/>
  <c r="Q20" i="7"/>
  <c r="U20" i="7"/>
  <c r="T20" i="7"/>
  <c r="T19" i="7"/>
  <c r="S19" i="7"/>
  <c r="Q18" i="7"/>
  <c r="U18" i="7"/>
  <c r="R18" i="7"/>
  <c r="V18" i="7"/>
  <c r="Q19" i="7"/>
  <c r="U19" i="7"/>
  <c r="R19" i="7"/>
  <c r="V19" i="7"/>
  <c r="U22" i="7"/>
  <c r="V22" i="7"/>
  <c r="Q22" i="7"/>
  <c r="R22" i="7"/>
  <c r="U23" i="7"/>
  <c r="V23" i="7"/>
  <c r="Q23" i="7"/>
  <c r="R23" i="7"/>
  <c r="J80" i="7" l="1"/>
  <c r="J79" i="7"/>
  <c r="K25" i="7"/>
  <c r="J25" i="7"/>
  <c r="K24" i="7"/>
  <c r="J24" i="7"/>
  <c r="K17" i="7"/>
  <c r="J17" i="7"/>
  <c r="K16" i="7"/>
  <c r="J16" i="7"/>
  <c r="K15" i="7"/>
  <c r="J15" i="7"/>
  <c r="K14" i="7"/>
  <c r="J14" i="7"/>
  <c r="K13" i="7"/>
  <c r="J13" i="7"/>
  <c r="K11" i="7"/>
  <c r="J11" i="7"/>
  <c r="K10" i="7"/>
  <c r="J10" i="7"/>
  <c r="K9" i="7"/>
  <c r="J9" i="7"/>
  <c r="K8" i="7"/>
  <c r="J8" i="7"/>
  <c r="K7" i="7"/>
  <c r="J7" i="7"/>
  <c r="K5" i="7"/>
  <c r="J5" i="7"/>
  <c r="K4" i="7"/>
  <c r="J4" i="7"/>
  <c r="J77" i="4"/>
  <c r="J76" i="4"/>
  <c r="J72" i="3"/>
  <c r="J71" i="3"/>
  <c r="K86" i="5"/>
  <c r="K85" i="5"/>
  <c r="J98" i="1"/>
  <c r="J99" i="1"/>
  <c r="J26" i="7" l="1"/>
  <c r="K26" i="7"/>
  <c r="G25" i="1"/>
  <c r="H23" i="1"/>
  <c r="H33" i="1"/>
  <c r="I33" i="1"/>
  <c r="T33" i="1" s="1"/>
  <c r="I21" i="1"/>
  <c r="T21" i="1" s="1"/>
  <c r="H32" i="1"/>
  <c r="I32" i="1"/>
  <c r="T32" i="1" s="1"/>
  <c r="H30" i="1"/>
  <c r="G29" i="1"/>
  <c r="I29" i="1"/>
  <c r="T29" i="1" s="1"/>
  <c r="H29" i="1"/>
  <c r="I27" i="1"/>
  <c r="T27" i="1" s="1"/>
  <c r="H27" i="1"/>
  <c r="I22" i="1"/>
  <c r="T22" i="1" s="1"/>
  <c r="H21" i="1"/>
  <c r="H7" i="7"/>
  <c r="Q7" i="7" s="1"/>
  <c r="H25" i="7"/>
  <c r="U25" i="7" s="1"/>
  <c r="G9" i="7"/>
  <c r="G14" i="7"/>
  <c r="H11" i="7"/>
  <c r="V11" i="7" s="1"/>
  <c r="G24" i="7"/>
  <c r="H16" i="7"/>
  <c r="V16" i="7" s="1"/>
  <c r="H9" i="7"/>
  <c r="V9" i="7" s="1"/>
  <c r="H4" i="7"/>
  <c r="H14" i="7"/>
  <c r="V14" i="7" s="1"/>
  <c r="H24" i="7"/>
  <c r="U24" i="7" s="1"/>
  <c r="G11" i="7"/>
  <c r="G16" i="7"/>
  <c r="H8" i="7"/>
  <c r="U8" i="7" s="1"/>
  <c r="H10" i="7"/>
  <c r="Q10" i="7" s="1"/>
  <c r="H13" i="7"/>
  <c r="V13" i="7" s="1"/>
  <c r="H15" i="7"/>
  <c r="U15" i="7" s="1"/>
  <c r="H17" i="7"/>
  <c r="U17" i="7" s="1"/>
  <c r="G4" i="7"/>
  <c r="G7" i="7"/>
  <c r="P7" i="7" s="1"/>
  <c r="G5" i="7"/>
  <c r="G8" i="7"/>
  <c r="G10" i="7"/>
  <c r="G13" i="7"/>
  <c r="G15" i="7"/>
  <c r="G17" i="7"/>
  <c r="G25" i="7"/>
  <c r="H5" i="7"/>
  <c r="N33" i="5"/>
  <c r="M33" i="5"/>
  <c r="L20" i="5"/>
  <c r="K20" i="5"/>
  <c r="L16" i="5"/>
  <c r="K16" i="5"/>
  <c r="L14" i="5"/>
  <c r="K14" i="5"/>
  <c r="L22" i="5"/>
  <c r="K22" i="5"/>
  <c r="L17" i="5"/>
  <c r="K17" i="5"/>
  <c r="L18" i="5"/>
  <c r="K18" i="5"/>
  <c r="L9" i="5"/>
  <c r="K9" i="5"/>
  <c r="L25" i="5"/>
  <c r="K25" i="5"/>
  <c r="L23" i="5"/>
  <c r="K23" i="5"/>
  <c r="L10" i="5"/>
  <c r="K10" i="5"/>
  <c r="L19" i="5"/>
  <c r="K19" i="5"/>
  <c r="L29" i="5"/>
  <c r="K29" i="5"/>
  <c r="L21" i="5"/>
  <c r="K21" i="5"/>
  <c r="L13" i="5"/>
  <c r="K13" i="5"/>
  <c r="L26" i="5"/>
  <c r="K26" i="5"/>
  <c r="L30" i="5"/>
  <c r="K30" i="5"/>
  <c r="L7" i="5"/>
  <c r="K7" i="5"/>
  <c r="L5" i="5"/>
  <c r="K5" i="5"/>
  <c r="L31" i="5"/>
  <c r="K31" i="5"/>
  <c r="L6" i="5"/>
  <c r="K6" i="5"/>
  <c r="G6" i="5" s="1"/>
  <c r="O6" i="5" s="1"/>
  <c r="L27" i="5"/>
  <c r="K27" i="5"/>
  <c r="L8" i="5"/>
  <c r="K8" i="5"/>
  <c r="L4" i="5"/>
  <c r="K4" i="5"/>
  <c r="L12" i="5"/>
  <c r="K12" i="5"/>
  <c r="G12" i="5" s="1"/>
  <c r="O12" i="5" s="1"/>
  <c r="L28" i="5"/>
  <c r="K28" i="5"/>
  <c r="L11" i="5"/>
  <c r="K11" i="5"/>
  <c r="L25" i="4"/>
  <c r="K25" i="4"/>
  <c r="J21" i="4"/>
  <c r="I21" i="4"/>
  <c r="J17" i="4"/>
  <c r="I17" i="4"/>
  <c r="J15" i="4"/>
  <c r="I15" i="4"/>
  <c r="J14" i="4"/>
  <c r="I14" i="4"/>
  <c r="J12" i="4"/>
  <c r="I12" i="4"/>
  <c r="G10" i="4"/>
  <c r="J8" i="4"/>
  <c r="I8" i="4"/>
  <c r="J6" i="4"/>
  <c r="I6" i="4"/>
  <c r="J5" i="4"/>
  <c r="I5" i="4"/>
  <c r="J4" i="4"/>
  <c r="I4" i="4"/>
  <c r="M19" i="3"/>
  <c r="L19" i="3"/>
  <c r="K18" i="3"/>
  <c r="J18" i="3"/>
  <c r="K17" i="3"/>
  <c r="J17" i="3"/>
  <c r="K16" i="3"/>
  <c r="J16" i="3"/>
  <c r="K15" i="3"/>
  <c r="J15" i="3"/>
  <c r="K14" i="3"/>
  <c r="J14" i="3"/>
  <c r="K13" i="3"/>
  <c r="J13" i="3"/>
  <c r="K12" i="3"/>
  <c r="J12" i="3"/>
  <c r="K11" i="3"/>
  <c r="J11" i="3"/>
  <c r="K10" i="3"/>
  <c r="J10" i="3"/>
  <c r="K9" i="3"/>
  <c r="J9" i="3"/>
  <c r="K8" i="3"/>
  <c r="J8" i="3"/>
  <c r="K7" i="3"/>
  <c r="J7" i="3"/>
  <c r="K6" i="3"/>
  <c r="J6" i="3"/>
  <c r="K5" i="3"/>
  <c r="J5" i="3"/>
  <c r="K4" i="3"/>
  <c r="J4" i="3"/>
  <c r="G9" i="3" l="1"/>
  <c r="G30" i="5"/>
  <c r="G29" i="5"/>
  <c r="G25" i="5"/>
  <c r="G26" i="7"/>
  <c r="Q4" i="7"/>
  <c r="H26" i="7"/>
  <c r="G38" i="1"/>
  <c r="G15" i="4"/>
  <c r="N15" i="4" s="1"/>
  <c r="G21" i="4"/>
  <c r="P21" i="4" s="1"/>
  <c r="G17" i="4"/>
  <c r="Q17" i="4" s="1"/>
  <c r="G13" i="3"/>
  <c r="G4" i="3"/>
  <c r="G8" i="3"/>
  <c r="G4" i="4"/>
  <c r="R29" i="1"/>
  <c r="S29" i="1"/>
  <c r="R33" i="1"/>
  <c r="S33" i="1"/>
  <c r="R32" i="1"/>
  <c r="S32" i="1"/>
  <c r="S23" i="1"/>
  <c r="R23" i="1"/>
  <c r="R27" i="1"/>
  <c r="S27" i="1"/>
  <c r="U29" i="1"/>
  <c r="V29" i="1"/>
  <c r="P29" i="1"/>
  <c r="Q29" i="1"/>
  <c r="V25" i="1"/>
  <c r="P25" i="1"/>
  <c r="Q25" i="1"/>
  <c r="U25" i="1"/>
  <c r="S30" i="1"/>
  <c r="R30" i="1"/>
  <c r="R21" i="1"/>
  <c r="S21" i="1"/>
  <c r="W29" i="1"/>
  <c r="X29" i="1"/>
  <c r="W33" i="1"/>
  <c r="X33" i="1"/>
  <c r="Y29" i="1"/>
  <c r="W23" i="1"/>
  <c r="X23" i="1"/>
  <c r="W30" i="1"/>
  <c r="X30" i="1"/>
  <c r="W21" i="1"/>
  <c r="X21" i="1"/>
  <c r="Y32" i="1"/>
  <c r="Y22" i="1"/>
  <c r="W32" i="1"/>
  <c r="X32" i="1"/>
  <c r="W27" i="1"/>
  <c r="X27" i="1"/>
  <c r="Y21" i="1"/>
  <c r="Y27" i="1"/>
  <c r="Y33" i="1"/>
  <c r="G10" i="3"/>
  <c r="G18" i="3"/>
  <c r="G14" i="3"/>
  <c r="G15" i="3"/>
  <c r="G12" i="3"/>
  <c r="G11" i="3"/>
  <c r="G7" i="3"/>
  <c r="G17" i="3"/>
  <c r="G5" i="3"/>
  <c r="T5" i="3" s="1"/>
  <c r="G6" i="3"/>
  <c r="G16" i="3"/>
  <c r="O4" i="7"/>
  <c r="P4" i="7"/>
  <c r="V25" i="7"/>
  <c r="R25" i="7"/>
  <c r="Q25" i="7"/>
  <c r="R7" i="7"/>
  <c r="G14" i="4"/>
  <c r="Q14" i="4" s="1"/>
  <c r="U7" i="7"/>
  <c r="U9" i="7"/>
  <c r="V7" i="7"/>
  <c r="S14" i="7"/>
  <c r="S11" i="7"/>
  <c r="T24" i="7"/>
  <c r="G5" i="4"/>
  <c r="N5" i="4" s="1"/>
  <c r="G12" i="4"/>
  <c r="N12" i="4" s="1"/>
  <c r="T14" i="7"/>
  <c r="S24" i="7"/>
  <c r="U11" i="7"/>
  <c r="K33" i="5"/>
  <c r="L33" i="5"/>
  <c r="G4" i="5"/>
  <c r="O4" i="5" s="1"/>
  <c r="G31" i="5"/>
  <c r="G26" i="5"/>
  <c r="G19" i="5"/>
  <c r="G9" i="5"/>
  <c r="Q12" i="5"/>
  <c r="R12" i="5"/>
  <c r="R6" i="5"/>
  <c r="Q6" i="5"/>
  <c r="G28" i="5"/>
  <c r="O28" i="5" s="1"/>
  <c r="G27" i="5"/>
  <c r="O27" i="5" s="1"/>
  <c r="G7" i="5"/>
  <c r="O7" i="5" s="1"/>
  <c r="G21" i="5"/>
  <c r="O21" i="5" s="1"/>
  <c r="G11" i="5"/>
  <c r="G8" i="5"/>
  <c r="O8" i="5" s="1"/>
  <c r="G18" i="5"/>
  <c r="O18" i="5" s="1"/>
  <c r="G20" i="5"/>
  <c r="O20" i="5" s="1"/>
  <c r="G17" i="5"/>
  <c r="O17" i="5" s="1"/>
  <c r="G22" i="5"/>
  <c r="O22" i="5" s="1"/>
  <c r="G23" i="5"/>
  <c r="O23" i="5" s="1"/>
  <c r="G16" i="5"/>
  <c r="O16" i="5" s="1"/>
  <c r="G13" i="5"/>
  <c r="O13" i="5" s="1"/>
  <c r="G10" i="5"/>
  <c r="O10" i="5" s="1"/>
  <c r="G14" i="5"/>
  <c r="O14" i="5" s="1"/>
  <c r="P10" i="4"/>
  <c r="N10" i="4"/>
  <c r="Q10" i="4"/>
  <c r="O10" i="4"/>
  <c r="G6" i="4"/>
  <c r="N6" i="4" s="1"/>
  <c r="G8" i="4"/>
  <c r="U16" i="7"/>
  <c r="R9" i="7"/>
  <c r="R16" i="7"/>
  <c r="Q16" i="7"/>
  <c r="U4" i="7"/>
  <c r="R4" i="7"/>
  <c r="T9" i="7"/>
  <c r="Q9" i="7"/>
  <c r="S9" i="7"/>
  <c r="V4" i="7"/>
  <c r="Q11" i="7"/>
  <c r="R14" i="7"/>
  <c r="R11" i="7"/>
  <c r="Q14" i="7"/>
  <c r="U14" i="7"/>
  <c r="S16" i="7"/>
  <c r="R24" i="7"/>
  <c r="R15" i="7"/>
  <c r="Q24" i="7"/>
  <c r="V15" i="7"/>
  <c r="Q15" i="7"/>
  <c r="V24" i="7"/>
  <c r="O7" i="7"/>
  <c r="O10" i="7" s="1"/>
  <c r="T11" i="7"/>
  <c r="T16" i="7"/>
  <c r="Q17" i="7"/>
  <c r="R17" i="7"/>
  <c r="V17" i="7"/>
  <c r="S4" i="7"/>
  <c r="O8" i="7"/>
  <c r="P11" i="7" s="1"/>
  <c r="V8" i="7"/>
  <c r="T4" i="7"/>
  <c r="Q8" i="7"/>
  <c r="R8" i="7"/>
  <c r="V10" i="7"/>
  <c r="T7" i="7"/>
  <c r="U10" i="7"/>
  <c r="R10" i="7"/>
  <c r="Q13" i="7"/>
  <c r="U13" i="7"/>
  <c r="S7" i="7"/>
  <c r="R13" i="7"/>
  <c r="U5" i="7"/>
  <c r="R5" i="7"/>
  <c r="V5" i="7"/>
  <c r="Q5" i="7"/>
  <c r="T8" i="7"/>
  <c r="S8" i="7"/>
  <c r="T10" i="7"/>
  <c r="S10" i="7"/>
  <c r="T25" i="7"/>
  <c r="S25" i="7"/>
  <c r="T17" i="7"/>
  <c r="S17" i="7"/>
  <c r="T15" i="7"/>
  <c r="S15" i="7"/>
  <c r="T5" i="7"/>
  <c r="S5" i="7"/>
  <c r="O5" i="7"/>
  <c r="P9" i="7" s="1"/>
  <c r="P5" i="7"/>
  <c r="T13" i="7"/>
  <c r="S13" i="7"/>
  <c r="H5" i="3"/>
  <c r="V5" i="3" s="1"/>
  <c r="I25" i="4"/>
  <c r="J19" i="3"/>
  <c r="I27" i="5"/>
  <c r="I6" i="5"/>
  <c r="I12" i="5"/>
  <c r="I31" i="5"/>
  <c r="I4" i="5"/>
  <c r="I11" i="5"/>
  <c r="I28" i="5"/>
  <c r="I8" i="5"/>
  <c r="I5" i="5"/>
  <c r="I7" i="5"/>
  <c r="I30" i="5"/>
  <c r="I26" i="5"/>
  <c r="I13" i="5"/>
  <c r="I21" i="5"/>
  <c r="I29" i="5"/>
  <c r="I19" i="5"/>
  <c r="I10" i="5"/>
  <c r="I23" i="5"/>
  <c r="I25" i="5"/>
  <c r="I9" i="5"/>
  <c r="I18" i="5"/>
  <c r="I17" i="5"/>
  <c r="I22" i="5"/>
  <c r="I14" i="5"/>
  <c r="I16" i="5"/>
  <c r="I20" i="5"/>
  <c r="J25" i="4"/>
  <c r="K19" i="3"/>
  <c r="H4" i="3"/>
  <c r="H6" i="3"/>
  <c r="H7" i="3"/>
  <c r="H8" i="3"/>
  <c r="H9" i="3"/>
  <c r="H10" i="3"/>
  <c r="H11" i="3"/>
  <c r="H12" i="3"/>
  <c r="H13" i="3"/>
  <c r="H14" i="3"/>
  <c r="H15" i="3"/>
  <c r="H16" i="3"/>
  <c r="H17" i="3"/>
  <c r="H18" i="3"/>
  <c r="P10" i="5" l="1"/>
  <c r="T10" i="5" s="1"/>
  <c r="T14" i="5"/>
  <c r="P14" i="5"/>
  <c r="S14" i="5"/>
  <c r="T22" i="5"/>
  <c r="P22" i="5"/>
  <c r="S22" i="5"/>
  <c r="U11" i="5"/>
  <c r="O11" i="5"/>
  <c r="R11" i="5" s="1"/>
  <c r="P17" i="5"/>
  <c r="T17" i="5" s="1"/>
  <c r="T21" i="5"/>
  <c r="S21" i="5"/>
  <c r="P21" i="5"/>
  <c r="P11" i="5"/>
  <c r="T11" i="5"/>
  <c r="S11" i="5"/>
  <c r="P27" i="5"/>
  <c r="S27" i="5" s="1"/>
  <c r="P8" i="5"/>
  <c r="S8" i="5" s="1"/>
  <c r="T18" i="5"/>
  <c r="P18" i="5"/>
  <c r="S18" i="5"/>
  <c r="R9" i="5"/>
  <c r="O9" i="5"/>
  <c r="S28" i="5"/>
  <c r="T28" i="5"/>
  <c r="P28" i="5"/>
  <c r="P4" i="5"/>
  <c r="P9" i="5"/>
  <c r="T9" i="5" s="1"/>
  <c r="T26" i="5"/>
  <c r="P26" i="5"/>
  <c r="S26" i="5"/>
  <c r="P31" i="5"/>
  <c r="S31" i="5" s="1"/>
  <c r="Q19" i="5"/>
  <c r="O19" i="5"/>
  <c r="O25" i="5"/>
  <c r="R25" i="5" s="1"/>
  <c r="P16" i="5"/>
  <c r="T16" i="5" s="1"/>
  <c r="T29" i="5"/>
  <c r="S29" i="5"/>
  <c r="P29" i="5"/>
  <c r="T25" i="5"/>
  <c r="S25" i="5"/>
  <c r="P25" i="5"/>
  <c r="T30" i="5"/>
  <c r="P30" i="5"/>
  <c r="S30" i="5"/>
  <c r="S12" i="5"/>
  <c r="T12" i="5"/>
  <c r="P12" i="5"/>
  <c r="O26" i="5"/>
  <c r="R26" i="5" s="1"/>
  <c r="O29" i="5"/>
  <c r="Q29" i="5" s="1"/>
  <c r="P5" i="5"/>
  <c r="T5" i="5" s="1"/>
  <c r="P19" i="5"/>
  <c r="T19" i="5" s="1"/>
  <c r="T13" i="5"/>
  <c r="S13" i="5"/>
  <c r="P13" i="5"/>
  <c r="S20" i="5"/>
  <c r="T20" i="5"/>
  <c r="P20" i="5"/>
  <c r="P23" i="5"/>
  <c r="S23" i="5" s="1"/>
  <c r="P7" i="5"/>
  <c r="T7" i="5"/>
  <c r="S7" i="5"/>
  <c r="P6" i="5"/>
  <c r="T6" i="5" s="1"/>
  <c r="R31" i="5"/>
  <c r="O31" i="5"/>
  <c r="O30" i="5"/>
  <c r="Q30" i="5" s="1"/>
  <c r="Q25" i="5"/>
  <c r="H89" i="1"/>
  <c r="V38" i="1"/>
  <c r="N17" i="4"/>
  <c r="O4" i="4"/>
  <c r="G25" i="4"/>
  <c r="H19" i="3"/>
  <c r="G66" i="3" s="1"/>
  <c r="G19" i="3"/>
  <c r="I33" i="5"/>
  <c r="V4" i="5"/>
  <c r="G33" i="5"/>
  <c r="O15" i="4"/>
  <c r="P15" i="4"/>
  <c r="Q15" i="4"/>
  <c r="P17" i="4"/>
  <c r="O17" i="4"/>
  <c r="P38" i="1"/>
  <c r="U38" i="1"/>
  <c r="Q38" i="1"/>
  <c r="P14" i="4"/>
  <c r="N14" i="4"/>
  <c r="O12" i="4"/>
  <c r="O14" i="4"/>
  <c r="P12" i="4"/>
  <c r="U26" i="7"/>
  <c r="T26" i="7"/>
  <c r="S26" i="7"/>
  <c r="V26" i="7"/>
  <c r="Q26" i="7"/>
  <c r="P8" i="7"/>
  <c r="O14" i="7"/>
  <c r="P14" i="7"/>
  <c r="O9" i="7"/>
  <c r="O11" i="7"/>
  <c r="P10" i="7"/>
  <c r="R26" i="7"/>
  <c r="I15" i="1"/>
  <c r="H16" i="1"/>
  <c r="H15" i="1"/>
  <c r="H10" i="1"/>
  <c r="Q12" i="4"/>
  <c r="R19" i="5"/>
  <c r="Q9" i="5"/>
  <c r="Q31" i="5"/>
  <c r="V31" i="5"/>
  <c r="Q10" i="5"/>
  <c r="R10" i="5"/>
  <c r="R18" i="5"/>
  <c r="Q18" i="5"/>
  <c r="Q13" i="5"/>
  <c r="R13" i="5"/>
  <c r="R8" i="5"/>
  <c r="Q8" i="5"/>
  <c r="Q20" i="5"/>
  <c r="R20" i="5"/>
  <c r="W31" i="5"/>
  <c r="Q16" i="5"/>
  <c r="R16" i="5"/>
  <c r="R21" i="5"/>
  <c r="Q21" i="5"/>
  <c r="Q14" i="5"/>
  <c r="R14" i="5"/>
  <c r="X5" i="5"/>
  <c r="Q23" i="5"/>
  <c r="R23" i="5"/>
  <c r="Q7" i="5"/>
  <c r="R7" i="5"/>
  <c r="R22" i="5"/>
  <c r="Q22" i="5"/>
  <c r="V27" i="5"/>
  <c r="R27" i="5"/>
  <c r="Q27" i="5"/>
  <c r="R17" i="5"/>
  <c r="Q17" i="5"/>
  <c r="Q28" i="5"/>
  <c r="R28" i="5"/>
  <c r="Q8" i="4"/>
  <c r="P8" i="4"/>
  <c r="O8" i="4"/>
  <c r="N8" i="4"/>
  <c r="N21" i="4"/>
  <c r="O21" i="4"/>
  <c r="Q21" i="4"/>
  <c r="O6" i="4"/>
  <c r="P6" i="4"/>
  <c r="Q6" i="4"/>
  <c r="G73" i="7"/>
  <c r="I78" i="7"/>
  <c r="H78" i="7"/>
  <c r="H73" i="7"/>
  <c r="G78" i="7"/>
  <c r="H77" i="7"/>
  <c r="G77" i="7"/>
  <c r="I77" i="7"/>
  <c r="I73" i="7"/>
  <c r="I74" i="7"/>
  <c r="H74" i="7"/>
  <c r="G74" i="7"/>
  <c r="Q5" i="3"/>
  <c r="O5" i="3"/>
  <c r="U5" i="3"/>
  <c r="R5" i="3"/>
  <c r="S5" i="3"/>
  <c r="Q4" i="4"/>
  <c r="P4" i="4"/>
  <c r="U27" i="5"/>
  <c r="P5" i="3"/>
  <c r="W11" i="5"/>
  <c r="X27" i="5"/>
  <c r="N4" i="4"/>
  <c r="R4" i="5"/>
  <c r="W6" i="5"/>
  <c r="V5" i="5"/>
  <c r="W4" i="5"/>
  <c r="X4" i="5"/>
  <c r="W28" i="5"/>
  <c r="X28" i="5"/>
  <c r="Q4" i="5"/>
  <c r="X6" i="5"/>
  <c r="U31" i="5"/>
  <c r="V11" i="5"/>
  <c r="W27" i="5"/>
  <c r="U5" i="5"/>
  <c r="U4" i="5"/>
  <c r="X8" i="5"/>
  <c r="W12" i="5"/>
  <c r="X12" i="5"/>
  <c r="X31" i="5"/>
  <c r="X11" i="5"/>
  <c r="W5" i="5"/>
  <c r="W8" i="5"/>
  <c r="W13" i="5"/>
  <c r="X13" i="5"/>
  <c r="V20" i="5"/>
  <c r="U20" i="5"/>
  <c r="V16" i="5"/>
  <c r="U16" i="5"/>
  <c r="V22" i="5"/>
  <c r="U22" i="5"/>
  <c r="V17" i="5"/>
  <c r="U17" i="5"/>
  <c r="V9" i="5"/>
  <c r="U9" i="5"/>
  <c r="V23" i="5"/>
  <c r="U23" i="5"/>
  <c r="V19" i="5"/>
  <c r="U19" i="5"/>
  <c r="V21" i="5"/>
  <c r="U21" i="5"/>
  <c r="V26" i="5"/>
  <c r="U26" i="5"/>
  <c r="V7" i="5"/>
  <c r="U7" i="5"/>
  <c r="W14" i="5"/>
  <c r="X14" i="5"/>
  <c r="W25" i="5"/>
  <c r="X25" i="5"/>
  <c r="W29" i="5"/>
  <c r="X29" i="5"/>
  <c r="W20" i="5"/>
  <c r="X20" i="5"/>
  <c r="W16" i="5"/>
  <c r="X16" i="5"/>
  <c r="W22" i="5"/>
  <c r="X22" i="5"/>
  <c r="W17" i="5"/>
  <c r="X17" i="5"/>
  <c r="W9" i="5"/>
  <c r="X9" i="5"/>
  <c r="W23" i="5"/>
  <c r="X23" i="5"/>
  <c r="W19" i="5"/>
  <c r="X19" i="5"/>
  <c r="W21" i="5"/>
  <c r="X21" i="5"/>
  <c r="W26" i="5"/>
  <c r="X26" i="5"/>
  <c r="W7" i="5"/>
  <c r="X7" i="5"/>
  <c r="U28" i="5"/>
  <c r="V28" i="5"/>
  <c r="W18" i="5"/>
  <c r="X18" i="5"/>
  <c r="W10" i="5"/>
  <c r="X10" i="5"/>
  <c r="W30" i="5"/>
  <c r="X30" i="5"/>
  <c r="V8" i="5"/>
  <c r="U8" i="5"/>
  <c r="V14" i="5"/>
  <c r="U14" i="5"/>
  <c r="V18" i="5"/>
  <c r="U18" i="5"/>
  <c r="V25" i="5"/>
  <c r="U25" i="5"/>
  <c r="V10" i="5"/>
  <c r="U10" i="5"/>
  <c r="V29" i="5"/>
  <c r="U29" i="5"/>
  <c r="V13" i="5"/>
  <c r="U13" i="5"/>
  <c r="V30" i="5"/>
  <c r="U30" i="5"/>
  <c r="U6" i="5"/>
  <c r="V6" i="5"/>
  <c r="V12" i="5"/>
  <c r="U12" i="5"/>
  <c r="Q5" i="4"/>
  <c r="O5" i="4"/>
  <c r="P5" i="4"/>
  <c r="T14" i="3"/>
  <c r="P14" i="3"/>
  <c r="S14" i="3"/>
  <c r="O14" i="3"/>
  <c r="T8" i="3"/>
  <c r="P8" i="3"/>
  <c r="S8" i="3"/>
  <c r="O8" i="3"/>
  <c r="U17" i="3"/>
  <c r="Q17" i="3"/>
  <c r="V17" i="3"/>
  <c r="R17" i="3"/>
  <c r="U16" i="3"/>
  <c r="Q16" i="3"/>
  <c r="V16" i="3"/>
  <c r="R16" i="3"/>
  <c r="U14" i="3"/>
  <c r="Q14" i="3"/>
  <c r="V14" i="3"/>
  <c r="R14" i="3"/>
  <c r="U12" i="3"/>
  <c r="Q12" i="3"/>
  <c r="V12" i="3"/>
  <c r="R12" i="3"/>
  <c r="U10" i="3"/>
  <c r="Q10" i="3"/>
  <c r="V10" i="3"/>
  <c r="R10" i="3"/>
  <c r="U8" i="3"/>
  <c r="Q8" i="3"/>
  <c r="V8" i="3"/>
  <c r="R8" i="3"/>
  <c r="U6" i="3"/>
  <c r="Q6" i="3"/>
  <c r="V6" i="3"/>
  <c r="R6" i="3"/>
  <c r="T17" i="3"/>
  <c r="P17" i="3"/>
  <c r="S17" i="3"/>
  <c r="O17" i="3"/>
  <c r="T16" i="3"/>
  <c r="P16" i="3"/>
  <c r="S16" i="3"/>
  <c r="O16" i="3"/>
  <c r="T12" i="3"/>
  <c r="P12" i="3"/>
  <c r="S12" i="3"/>
  <c r="O12" i="3"/>
  <c r="T6" i="3"/>
  <c r="P6" i="3"/>
  <c r="S6" i="3"/>
  <c r="O6" i="3"/>
  <c r="S4" i="3"/>
  <c r="O4" i="3"/>
  <c r="P4" i="3"/>
  <c r="T4" i="3"/>
  <c r="T18" i="3"/>
  <c r="P18" i="3"/>
  <c r="S18" i="3"/>
  <c r="O18" i="3"/>
  <c r="T15" i="3"/>
  <c r="P15" i="3"/>
  <c r="S15" i="3"/>
  <c r="O15" i="3"/>
  <c r="T13" i="3"/>
  <c r="P13" i="3"/>
  <c r="S13" i="3"/>
  <c r="O13" i="3"/>
  <c r="T11" i="3"/>
  <c r="P11" i="3"/>
  <c r="S11" i="3"/>
  <c r="O11" i="3"/>
  <c r="T9" i="3"/>
  <c r="P9" i="3"/>
  <c r="S9" i="3"/>
  <c r="O9" i="3"/>
  <c r="T7" i="3"/>
  <c r="P7" i="3"/>
  <c r="S7" i="3"/>
  <c r="O7" i="3"/>
  <c r="U4" i="3"/>
  <c r="Q4" i="3"/>
  <c r="V4" i="3"/>
  <c r="R4" i="3"/>
  <c r="T10" i="3"/>
  <c r="P10" i="3"/>
  <c r="S10" i="3"/>
  <c r="O10" i="3"/>
  <c r="U18" i="3"/>
  <c r="Q18" i="3"/>
  <c r="V18" i="3"/>
  <c r="R18" i="3"/>
  <c r="U15" i="3"/>
  <c r="Q15" i="3"/>
  <c r="V15" i="3"/>
  <c r="R15" i="3"/>
  <c r="U13" i="3"/>
  <c r="Q13" i="3"/>
  <c r="V13" i="3"/>
  <c r="R13" i="3"/>
  <c r="U11" i="3"/>
  <c r="Q11" i="3"/>
  <c r="V11" i="3"/>
  <c r="R11" i="3"/>
  <c r="U9" i="3"/>
  <c r="Q9" i="3"/>
  <c r="V9" i="3"/>
  <c r="R9" i="3"/>
  <c r="U7" i="3"/>
  <c r="Q7" i="3"/>
  <c r="V7" i="3"/>
  <c r="R7" i="3"/>
  <c r="Q11" i="5" l="1"/>
  <c r="Q26" i="5"/>
  <c r="T23" i="5"/>
  <c r="S19" i="5"/>
  <c r="S9" i="5"/>
  <c r="T31" i="5"/>
  <c r="R30" i="5"/>
  <c r="S16" i="5"/>
  <c r="T27" i="5"/>
  <c r="P33" i="5"/>
  <c r="G80" i="5" s="1"/>
  <c r="S5" i="5"/>
  <c r="T8" i="5"/>
  <c r="O33" i="5"/>
  <c r="G79" i="5" s="1"/>
  <c r="R29" i="5"/>
  <c r="S4" i="5"/>
  <c r="S17" i="5"/>
  <c r="T4" i="5"/>
  <c r="S6" i="5"/>
  <c r="S10" i="5"/>
  <c r="H38" i="1"/>
  <c r="T15" i="1"/>
  <c r="I38" i="1"/>
  <c r="H75" i="4"/>
  <c r="I75" i="4"/>
  <c r="G75" i="4"/>
  <c r="R15" i="1"/>
  <c r="S15" i="1"/>
  <c r="R10" i="1"/>
  <c r="S10" i="1"/>
  <c r="R16" i="1"/>
  <c r="S16" i="1"/>
  <c r="W10" i="1"/>
  <c r="X10" i="1"/>
  <c r="W15" i="1"/>
  <c r="X15" i="1"/>
  <c r="X16" i="1"/>
  <c r="W16" i="1"/>
  <c r="Y15" i="1"/>
  <c r="Y38" i="1" s="1"/>
  <c r="P15" i="7"/>
  <c r="O15" i="7"/>
  <c r="O13" i="7"/>
  <c r="P13" i="7"/>
  <c r="O17" i="7"/>
  <c r="P17" i="7"/>
  <c r="R19" i="3"/>
  <c r="T19" i="3"/>
  <c r="V19" i="3"/>
  <c r="S19" i="3"/>
  <c r="U19" i="3"/>
  <c r="P19" i="3"/>
  <c r="Q19" i="3"/>
  <c r="O19" i="3"/>
  <c r="O25" i="4"/>
  <c r="M32" i="4" s="1"/>
  <c r="N25" i="4"/>
  <c r="K32" i="4" s="1"/>
  <c r="Q33" i="5"/>
  <c r="N32" i="7"/>
  <c r="H76" i="7" s="1"/>
  <c r="L32" i="7"/>
  <c r="J78" i="7"/>
  <c r="J74" i="7"/>
  <c r="J73" i="7"/>
  <c r="J77" i="7"/>
  <c r="G84" i="5"/>
  <c r="H70" i="3"/>
  <c r="H69" i="3"/>
  <c r="G70" i="3"/>
  <c r="G69" i="3"/>
  <c r="I65" i="3"/>
  <c r="I70" i="3"/>
  <c r="G65" i="3"/>
  <c r="H65" i="3"/>
  <c r="I69" i="3"/>
  <c r="H72" i="4"/>
  <c r="I72" i="4"/>
  <c r="I66" i="3"/>
  <c r="H66" i="3"/>
  <c r="J80" i="5"/>
  <c r="I80" i="5"/>
  <c r="J84" i="5"/>
  <c r="J83" i="5"/>
  <c r="I84" i="5"/>
  <c r="I83" i="5"/>
  <c r="G83" i="5"/>
  <c r="J79" i="5"/>
  <c r="I79" i="5"/>
  <c r="V33" i="5"/>
  <c r="W33" i="5"/>
  <c r="Q25" i="4"/>
  <c r="N32" i="4" s="1"/>
  <c r="U33" i="5"/>
  <c r="X33" i="5"/>
  <c r="P25" i="4"/>
  <c r="L32" i="4" s="1"/>
  <c r="R33" i="5" l="1"/>
  <c r="N39" i="5" s="1"/>
  <c r="G82" i="5" s="1"/>
  <c r="S33" i="5"/>
  <c r="T33" i="5"/>
  <c r="L39" i="5"/>
  <c r="G81" i="5" s="1"/>
  <c r="I91" i="1"/>
  <c r="H91" i="1"/>
  <c r="G91" i="1"/>
  <c r="J91" i="1" s="1"/>
  <c r="I90" i="1"/>
  <c r="H90" i="1"/>
  <c r="G90" i="1"/>
  <c r="J90" i="1" s="1"/>
  <c r="I96" i="1"/>
  <c r="G96" i="1"/>
  <c r="H96" i="1"/>
  <c r="X38" i="1"/>
  <c r="W38" i="1"/>
  <c r="P20" i="7"/>
  <c r="O20" i="7"/>
  <c r="O16" i="7"/>
  <c r="P16" i="7"/>
  <c r="O18" i="7"/>
  <c r="P18" i="7"/>
  <c r="I76" i="7"/>
  <c r="H75" i="7"/>
  <c r="I75" i="7"/>
  <c r="K83" i="5"/>
  <c r="J75" i="4"/>
  <c r="J69" i="3"/>
  <c r="K84" i="5"/>
  <c r="K79" i="5"/>
  <c r="J66" i="3"/>
  <c r="J70" i="3"/>
  <c r="K80" i="5"/>
  <c r="J65" i="3"/>
  <c r="J72" i="4"/>
  <c r="M39" i="5"/>
  <c r="L25" i="3"/>
  <c r="K25" i="3"/>
  <c r="G67" i="3" s="1"/>
  <c r="G73" i="4"/>
  <c r="O39" i="5"/>
  <c r="N25" i="3"/>
  <c r="M25" i="3"/>
  <c r="G68" i="3" s="1"/>
  <c r="G74" i="4"/>
  <c r="J96" i="1" l="1"/>
  <c r="P21" i="7"/>
  <c r="O21" i="7"/>
  <c r="P19" i="7"/>
  <c r="O19" i="7"/>
  <c r="O23" i="7"/>
  <c r="P23" i="7"/>
  <c r="I73" i="4"/>
  <c r="H73" i="4"/>
  <c r="I68" i="3"/>
  <c r="H68" i="3"/>
  <c r="H67" i="3"/>
  <c r="I67" i="3"/>
  <c r="I74" i="4"/>
  <c r="H74" i="4"/>
  <c r="J82" i="5"/>
  <c r="I82" i="5"/>
  <c r="J81" i="5"/>
  <c r="I81" i="5"/>
  <c r="G97" i="1"/>
  <c r="O22" i="7" l="1"/>
  <c r="P22" i="7"/>
  <c r="O24" i="7"/>
  <c r="P24" i="7"/>
  <c r="J73" i="4"/>
  <c r="J67" i="3"/>
  <c r="J68" i="3"/>
  <c r="J74" i="4"/>
  <c r="K82" i="5"/>
  <c r="K81" i="5"/>
  <c r="G92" i="1"/>
  <c r="I93" i="1"/>
  <c r="G93" i="1"/>
  <c r="H97" i="1"/>
  <c r="I97" i="1"/>
  <c r="I95" i="1"/>
  <c r="H95" i="1"/>
  <c r="G95" i="1"/>
  <c r="I89" i="1"/>
  <c r="G89" i="1"/>
  <c r="J89" i="1" s="1"/>
  <c r="O25" i="7" l="1"/>
  <c r="O26" i="7" s="1"/>
  <c r="K32" i="7" s="1"/>
  <c r="P25" i="7"/>
  <c r="P26" i="7" s="1"/>
  <c r="M32" i="7" s="1"/>
  <c r="J88" i="5"/>
  <c r="I79" i="4"/>
  <c r="I74" i="3"/>
  <c r="J97" i="1"/>
  <c r="H93" i="1"/>
  <c r="J93" i="1" s="1"/>
  <c r="J95" i="1"/>
  <c r="G76" i="7" l="1"/>
  <c r="J76" i="7" s="1"/>
  <c r="M34" i="7"/>
  <c r="G75" i="7"/>
  <c r="J75" i="7" s="1"/>
  <c r="K34" i="7"/>
  <c r="J92" i="1"/>
  <c r="I101" i="1" s="1"/>
  <c r="I82" i="7" l="1"/>
</calcChain>
</file>

<file path=xl/sharedStrings.xml><?xml version="1.0" encoding="utf-8"?>
<sst xmlns="http://schemas.openxmlformats.org/spreadsheetml/2006/main" count="1310" uniqueCount="620">
  <si>
    <t>Sperwerstraat 1</t>
  </si>
  <si>
    <t>BRIN</t>
  </si>
  <si>
    <t>Naam school</t>
  </si>
  <si>
    <t>Adres</t>
  </si>
  <si>
    <t>PC</t>
  </si>
  <si>
    <t>Plaats</t>
  </si>
  <si>
    <t>Telefoon</t>
  </si>
  <si>
    <t>Totaal</t>
  </si>
  <si>
    <t>Neede</t>
  </si>
  <si>
    <t>Mariaschool</t>
  </si>
  <si>
    <t>Zw/w p/m</t>
  </si>
  <si>
    <t>kleur p/m</t>
  </si>
  <si>
    <t>Datum in gebruikname</t>
  </si>
  <si>
    <t>Zw/w p/j</t>
  </si>
  <si>
    <t>Kleur p/j</t>
  </si>
  <si>
    <t>Aantal maanden</t>
  </si>
  <si>
    <t>Afdrukprijs kleur</t>
  </si>
  <si>
    <t>Eenmalige implementatiekosten (uitrol)</t>
  </si>
  <si>
    <t>Eenmalige implementatiekosten (instructie en training)</t>
  </si>
  <si>
    <t xml:space="preserve"> (optioneel, telt niet mee in totaalprijs)</t>
  </si>
  <si>
    <r>
      <t>Meerprijs verhuizing</t>
    </r>
    <r>
      <rPr>
        <vertAlign val="superscript"/>
        <sz val="11"/>
        <rFont val="Calibri"/>
        <family val="2"/>
        <scheme val="minor"/>
      </rPr>
      <t>3</t>
    </r>
    <r>
      <rPr>
        <sz val="11"/>
        <rFont val="Calibri"/>
        <family val="2"/>
        <scheme val="minor"/>
      </rPr>
      <t xml:space="preserve"> van een MFP per keer </t>
    </r>
  </si>
  <si>
    <t>Totaalprijs</t>
  </si>
  <si>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</si>
  <si>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</si>
  <si>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</si>
  <si>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</si>
  <si>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t xml:space="preserve">Uitsluitend de roze en groen gekleurde cellen onderaan de werkbladen dienen te worden ingevuld. Aan de hand van formules wordt onderin het werkblad de totaalprijs zichtbaar. Deze totaalprijs wordt gebruikt voor de beoordeling op prijs.
</t>
  </si>
  <si>
    <t xml:space="preserve">De opgegeven MFP's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Overeenkomst met onmiddellijke ingang te ontbinden.
</t>
  </si>
  <si>
    <t>Invulcellen prijzen</t>
  </si>
  <si>
    <t>Software</t>
  </si>
  <si>
    <t>Optie jaar 1</t>
  </si>
  <si>
    <t>Optie jaar 2</t>
  </si>
  <si>
    <t>Eerste 48 maanden</t>
  </si>
  <si>
    <t>Afdrukprijs zwart/wit</t>
  </si>
  <si>
    <t>Optionele Software</t>
  </si>
  <si>
    <t>Scan to Dropbox / My Dropbox (Eis O4) per MFP per maand</t>
  </si>
  <si>
    <t>OCR scannen naar MS Office (Eis O5) per MFP per maand</t>
  </si>
  <si>
    <t>Pull printing (Eis O8) per MFP per maand</t>
  </si>
  <si>
    <t>Aantal afdrukken</t>
  </si>
  <si>
    <t>Model 1
(eis M1 t/m M27)</t>
  </si>
  <si>
    <t>Model 2
(eis M1 t/m M27)</t>
  </si>
  <si>
    <t>Aantal zw/w afdrukken per optiejaar M1</t>
  </si>
  <si>
    <t>Aantal kleur afdrukken per optiejaar M1</t>
  </si>
  <si>
    <t>Aantal zw/w afdrukken per optiejaar M2</t>
  </si>
  <si>
    <t>Aantal kleur afdrukken per optiejaar M2</t>
  </si>
  <si>
    <t xml:space="preserve">Onderaan het tabblad "Prijzenblad" staan enkele voetnoten vermeld. Deze verschaffen de Inschrijver extra informatie over de op te geven prijzen. Elke Inschrijver wordt geadviseerd hier grondig kennis van te nemen.
</t>
  </si>
  <si>
    <r>
      <t>Leaseprijs</t>
    </r>
    <r>
      <rPr>
        <vertAlign val="superscript"/>
        <sz val="11"/>
        <color theme="1"/>
        <rFont val="Calibri Light"/>
        <family val="2"/>
      </rPr>
      <t>1</t>
    </r>
    <r>
      <rPr>
        <sz val="11"/>
        <color theme="1"/>
        <rFont val="Calibri Light"/>
        <family val="2"/>
      </rPr>
      <t xml:space="preserve"> per MFP model 2 per maand </t>
    </r>
  </si>
  <si>
    <r>
      <t xml:space="preserve"> Leaseprijs</t>
    </r>
    <r>
      <rPr>
        <vertAlign val="superscript"/>
        <sz val="11"/>
        <color theme="1"/>
        <rFont val="Calibri Light"/>
        <family val="2"/>
      </rPr>
      <t>1</t>
    </r>
    <r>
      <rPr>
        <sz val="11"/>
        <color theme="1"/>
        <rFont val="Calibri Light"/>
        <family val="2"/>
      </rPr>
      <t xml:space="preserve"> per MFP model 1 per maand </t>
    </r>
  </si>
  <si>
    <t>Totaal model 2: Leaseprijs alle machines</t>
  </si>
  <si>
    <t>Totaal model 1: Leaseprijs alle machines</t>
  </si>
  <si>
    <t xml:space="preserve">Afdrukkosten zwart/wit </t>
  </si>
  <si>
    <t>Afdrukken kleur</t>
  </si>
  <si>
    <t>Subtotaal</t>
  </si>
  <si>
    <t>Omschrijving</t>
  </si>
  <si>
    <t>zwart/wit per optiejaar</t>
  </si>
  <si>
    <t>kleur per optiejaar</t>
  </si>
  <si>
    <t>Pakket 1</t>
  </si>
  <si>
    <t>Pakket 2</t>
  </si>
  <si>
    <t>Pakket 3</t>
  </si>
  <si>
    <t>Pakket 4</t>
  </si>
  <si>
    <t>Pakket 5</t>
  </si>
  <si>
    <t>Pakket 6</t>
  </si>
  <si>
    <t>Pakket 7</t>
  </si>
  <si>
    <t>Pakket 8</t>
  </si>
  <si>
    <t>Prijs per maand per MFP tijdens de optiejaren</t>
  </si>
  <si>
    <t>Prijs per maand per MFP tijdens de eerste 48 maanden</t>
  </si>
  <si>
    <t>Meerprijs perforatie unit (2-gaats) model 1 per MFP per maand</t>
  </si>
  <si>
    <t>Meerprijs perforatie unit (2-gaats) model 2 per MFP per maand</t>
  </si>
  <si>
    <t>Meerprijs niet/vouw finisher (bookletmaker³) model 1 per MFP per maand</t>
  </si>
  <si>
    <t>Meerprijs niet/vouw finisher (bookletmaker³) model 2 per MFP per maand</t>
  </si>
  <si>
    <t>Meerprijs externe finisher bij model 1 per MFP per maand</t>
  </si>
  <si>
    <t>Meerprijs externe finisher bij model 2 per MFP per maand</t>
  </si>
  <si>
    <t>Bulklade bij model 1 in plaats van lade 3 + 4 per MFP per maand</t>
  </si>
  <si>
    <t>Bulklade bij model 2 in plaats van lade 3 + 4 per MFP per maand</t>
  </si>
  <si>
    <t>Invullen pakketten</t>
  </si>
  <si>
    <t xml:space="preserve">De licht roze cellen op alle tabbladen dienen te worden ingevuld. Alleen een bedrag (in cijfers) mag worden ingevuld. Een negatief bedrag is niet toegestaan. De opgegeven prijzen dienen reëel en waar te maken zijn. Deze bedragen worden niet meegerekend in de Totaalprijs. Iedere Stichting kan te zijner tijd besluiten of zij gebruik wenst te maken van de hier opgegeven opties. De prijs is net als alle andere prijzen vast gedurende de looptijd van de Overeenkomst.
</t>
  </si>
  <si>
    <r>
      <rPr>
        <vertAlign val="superscript"/>
        <sz val="10"/>
        <color theme="1"/>
        <rFont val="Calibri"/>
        <family val="2"/>
        <scheme val="minor"/>
      </rPr>
      <t>1</t>
    </r>
    <r>
      <rPr>
        <sz val="10"/>
        <color theme="1"/>
        <rFont val="Calibri Light"/>
        <family val="2"/>
      </rPr>
      <t xml:space="preserve"> De opgegeven prijzen dienen te voldoen aan de eisen zoals gesteld in de Uitnodiging tot Inschrijving.</t>
    </r>
  </si>
  <si>
    <r>
      <rPr>
        <vertAlign val="superscript"/>
        <sz val="10"/>
        <color theme="1"/>
        <rFont val="Calibri"/>
        <family val="2"/>
        <scheme val="minor"/>
      </rPr>
      <t xml:space="preserve">2 </t>
    </r>
    <r>
      <rPr>
        <sz val="10"/>
        <color theme="1"/>
        <rFont val="Calibri Light"/>
        <family val="2"/>
      </rPr>
      <t xml:space="preserve">Het gaat hierbij om een verhuizing tussen Locaties van de Opdrachtgever bovenop het aantal verhuizingen genoemd in de Uitnodiging tot Inschrijving. Het apparaat wordt ontkoppeld verplaatst en opnieuw aangesloten, gereed voor gebruik. </t>
    </r>
  </si>
  <si>
    <r>
      <rPr>
        <vertAlign val="superscript"/>
        <sz val="10"/>
        <color theme="1"/>
        <rFont val="Calibri"/>
        <family val="2"/>
        <scheme val="minor"/>
      </rPr>
      <t xml:space="preserve">3 </t>
    </r>
    <r>
      <rPr>
        <sz val="10"/>
        <color theme="1"/>
        <rFont val="Calibri Light"/>
        <family val="2"/>
      </rPr>
      <t>Het betreft een functie waarbij een A4 vel gevouwen wordt en een nietje in de rug van gevouwen boekje wordt geplaatst. De opgegeven prijs is de meerprijs ten opzichte van de standaardfinisher die is uitgevraagd in de Uitnodiging tot Inschrijving.</t>
    </r>
  </si>
  <si>
    <t>Totale implementatiekosten (éénmalig)</t>
  </si>
  <si>
    <t>Uitrol</t>
  </si>
  <si>
    <t>Instructie en training</t>
  </si>
  <si>
    <t>Licentie en maintenance kosten voor Software</t>
  </si>
  <si>
    <t>Afdrukprijs per Afdruk voor zwart/wit en kleur</t>
  </si>
  <si>
    <t>De huurcomponent (hardware)</t>
  </si>
  <si>
    <t>Meerprijs verhuizing² van een MFP (Eis C10) per keer</t>
  </si>
  <si>
    <t>Optionele Software / Hardware</t>
  </si>
  <si>
    <t>Paslezer t.b.v. identificatie met smartphone (Eis  S1) per MFP per maand</t>
  </si>
  <si>
    <t>Voor alle Locaties (dus alle MFP's), later op factuur te specificeren per Locatie</t>
  </si>
  <si>
    <t>01QH01</t>
  </si>
  <si>
    <t>VSO De Isselborgh</t>
  </si>
  <si>
    <t>01CN</t>
  </si>
  <si>
    <t>'t Iemenschoer</t>
  </si>
  <si>
    <t>08PQ03</t>
  </si>
  <si>
    <t>De Wissel</t>
  </si>
  <si>
    <t>01QH05</t>
  </si>
  <si>
    <t>De Veenlanden</t>
  </si>
  <si>
    <t>19QO</t>
  </si>
  <si>
    <t>Dr Herderscheeschool</t>
  </si>
  <si>
    <t>04EJ04</t>
  </si>
  <si>
    <t>OZC Zutphen</t>
  </si>
  <si>
    <t>04EJ01</t>
  </si>
  <si>
    <t>SO De Isselborgh</t>
  </si>
  <si>
    <t>18QP</t>
  </si>
  <si>
    <t>04EJ</t>
  </si>
  <si>
    <t>SO Klein Borculo</t>
  </si>
  <si>
    <t>08PQ</t>
  </si>
  <si>
    <t>SO/VSO De Elimschool</t>
  </si>
  <si>
    <t>VSO 't Korhoen</t>
  </si>
  <si>
    <t>VSO De Elimschool</t>
  </si>
  <si>
    <t>VSO De Korte Dreef</t>
  </si>
  <si>
    <t>VSO De Triviant</t>
  </si>
  <si>
    <t>01QH06</t>
  </si>
  <si>
    <t>VSO Lochem</t>
  </si>
  <si>
    <t>01QH</t>
  </si>
  <si>
    <t>VSO Klein Borculo</t>
  </si>
  <si>
    <t>Slotlaan 35</t>
  </si>
  <si>
    <t>7006 HA</t>
  </si>
  <si>
    <t>Doetinchem</t>
  </si>
  <si>
    <t>0314 - 39 25 37</t>
  </si>
  <si>
    <t>Ruijsdaelstraat 49</t>
  </si>
  <si>
    <t>7556 WS</t>
  </si>
  <si>
    <t>Hengelo OV</t>
  </si>
  <si>
    <t>074 - 291 87 27</t>
  </si>
  <si>
    <t>Vriezenveenseweg 229</t>
  </si>
  <si>
    <t>7602 PT</t>
  </si>
  <si>
    <t>Almelo</t>
  </si>
  <si>
    <t>0546 - 53 94 04</t>
  </si>
  <si>
    <t>Schapendijk 3</t>
  </si>
  <si>
    <t>7608 LV</t>
  </si>
  <si>
    <t>0546 - 86 19 26</t>
  </si>
  <si>
    <t>Govert Flinckstraat 1</t>
  </si>
  <si>
    <t>7204 HK</t>
  </si>
  <si>
    <t>Zutphen</t>
  </si>
  <si>
    <t>0575 - 77 55 55</t>
  </si>
  <si>
    <t>Kapperskolkweg 40</t>
  </si>
  <si>
    <t>7007 DT</t>
  </si>
  <si>
    <t>Bleekenweg 1-B</t>
  </si>
  <si>
    <t>7161 AB</t>
  </si>
  <si>
    <t>0545 - 29 10 28</t>
  </si>
  <si>
    <t>Schoollaan 1</t>
  </si>
  <si>
    <t>7271 NS</t>
  </si>
  <si>
    <t>Borculo</t>
  </si>
  <si>
    <t>0545 - 27 39 44</t>
  </si>
  <si>
    <t>Luttenbergerweg 11</t>
  </si>
  <si>
    <t>7447 PB</t>
  </si>
  <si>
    <t>Hellendoorn</t>
  </si>
  <si>
    <t>0548 - 65 51 66</t>
  </si>
  <si>
    <t>Korhoenstraat 2</t>
  </si>
  <si>
    <t>7557 PC</t>
  </si>
  <si>
    <t>074 - 250 05 97</t>
  </si>
  <si>
    <t>Burcht 107</t>
  </si>
  <si>
    <t>7608 JD</t>
  </si>
  <si>
    <t>0546 - 49 10 48</t>
  </si>
  <si>
    <t>Luttenbergerweg 13</t>
  </si>
  <si>
    <t>Korte Dreef 1</t>
  </si>
  <si>
    <t>7271NM</t>
  </si>
  <si>
    <t>0545 - 27 56 56</t>
  </si>
  <si>
    <t>Bleekenweg 1A</t>
  </si>
  <si>
    <t>0545 - 28 82 22</t>
  </si>
  <si>
    <t>Ampsenseweg 10</t>
  </si>
  <si>
    <t>7241 NB</t>
  </si>
  <si>
    <t>Lochem</t>
  </si>
  <si>
    <t>0573 - 75 08 72</t>
  </si>
  <si>
    <t>Schoollaan 3</t>
  </si>
  <si>
    <t>0545 - 27 22 59</t>
  </si>
  <si>
    <t>De Springplank</t>
  </si>
  <si>
    <t>SO De Leeuwerik</t>
  </si>
  <si>
    <t>07PI</t>
  </si>
  <si>
    <t>De Akker</t>
  </si>
  <si>
    <t>05BG</t>
  </si>
  <si>
    <t>St. Catharina</t>
  </si>
  <si>
    <t>04XH</t>
  </si>
  <si>
    <t>De Zevensprong</t>
  </si>
  <si>
    <t>05BL</t>
  </si>
  <si>
    <t>St. Michaëlschool</t>
  </si>
  <si>
    <t>09WS</t>
  </si>
  <si>
    <t>IKC Schatrijk</t>
  </si>
  <si>
    <t>14ZW</t>
  </si>
  <si>
    <t>St. Jozefschool Moordrecht</t>
  </si>
  <si>
    <t>08ZK</t>
  </si>
  <si>
    <t>Speel- en Werkhoeve</t>
  </si>
  <si>
    <t>10YZ</t>
  </si>
  <si>
    <t>St. Jozefschool Oudewater</t>
  </si>
  <si>
    <t>10PG</t>
  </si>
  <si>
    <t>Willibrord-Milandschool hoofdlocatie Dronenplein</t>
  </si>
  <si>
    <t>10PG01</t>
  </si>
  <si>
    <t>Willibrord-Milandschool nevenlocatie Hazekade</t>
  </si>
  <si>
    <t>11MK</t>
  </si>
  <si>
    <t>06JG</t>
  </si>
  <si>
    <t>Dorpsschool De Bron</t>
  </si>
  <si>
    <t>28AK</t>
  </si>
  <si>
    <t>St. Aloysius hoofdlocatie Spieringstraat</t>
  </si>
  <si>
    <t>28AK (2)</t>
  </si>
  <si>
    <t>St. Aloysius nevenlocatie Vrijestraat</t>
  </si>
  <si>
    <t>03NZ</t>
  </si>
  <si>
    <t>De Krullevaar</t>
  </si>
  <si>
    <t>06FY</t>
  </si>
  <si>
    <t>De Bijenkorf</t>
  </si>
  <si>
    <t>09WM</t>
  </si>
  <si>
    <t>Kardinaal Alfrinkschool</t>
  </si>
  <si>
    <t>22KF (2)</t>
  </si>
  <si>
    <t>'t Carillon hoofdlocatie Ouverturelaan</t>
  </si>
  <si>
    <t>22KF</t>
  </si>
  <si>
    <t>'t Carillon nevenlocatie Geerpolderweg</t>
  </si>
  <si>
    <t>07ST</t>
  </si>
  <si>
    <t>De Regenboog</t>
  </si>
  <si>
    <t>11VU (2)</t>
  </si>
  <si>
    <t>De Cirkel hoofdlocatie Brittenburg</t>
  </si>
  <si>
    <t>11VU</t>
  </si>
  <si>
    <t>De Cirkel nevenlocatie Rijnlust</t>
  </si>
  <si>
    <t>12FK</t>
  </si>
  <si>
    <t>Speciaal basisonderwijs (SBO) De Oostvogel</t>
  </si>
  <si>
    <t>08KA</t>
  </si>
  <si>
    <t>De Goudakker</t>
  </si>
  <si>
    <t>11KG</t>
  </si>
  <si>
    <t>De Triangel</t>
  </si>
  <si>
    <t>40765</t>
  </si>
  <si>
    <t>Bestuurskantoor</t>
  </si>
  <si>
    <t>Populierenhof 2</t>
  </si>
  <si>
    <t>2771 DG</t>
  </si>
  <si>
    <t>Boskoop</t>
  </si>
  <si>
    <t>0172 - 21 59 12</t>
  </si>
  <si>
    <t>Grote Haven 2d</t>
  </si>
  <si>
    <t>2851 BM</t>
  </si>
  <si>
    <t>Haastrecht</t>
  </si>
  <si>
    <t>0182 - 50 15 97</t>
  </si>
  <si>
    <t>Snijdelwijklaan 4C</t>
  </si>
  <si>
    <t>2771 SX</t>
  </si>
  <si>
    <t>0172 - 21 38 86</t>
  </si>
  <si>
    <t>Vincent van Goghstraat 18</t>
  </si>
  <si>
    <t>2391 VB</t>
  </si>
  <si>
    <t>Hazerswoude-Dorp</t>
  </si>
  <si>
    <t>0172 - 58 98 69</t>
  </si>
  <si>
    <t>Eendrachtsweg 30</t>
  </si>
  <si>
    <t>2411 VL</t>
  </si>
  <si>
    <t>Bodegraven</t>
  </si>
  <si>
    <t>0172 - 61 34 05</t>
  </si>
  <si>
    <t>Oudersvrucht 3</t>
  </si>
  <si>
    <t>2841 LN</t>
  </si>
  <si>
    <t>Moordrecht</t>
  </si>
  <si>
    <t>0182 - 37 26 00</t>
  </si>
  <si>
    <t>Leeuwerik 1</t>
  </si>
  <si>
    <t>2411 KR</t>
  </si>
  <si>
    <t>0172 - 61 16 08</t>
  </si>
  <si>
    <t>De Cope 28</t>
  </si>
  <si>
    <t>3421 XL</t>
  </si>
  <si>
    <t>Oudewater</t>
  </si>
  <si>
    <t>0348 - 56 12 09</t>
  </si>
  <si>
    <t>Dronenplein 1B</t>
  </si>
  <si>
    <t>2411 HE</t>
  </si>
  <si>
    <t>0172 - 61 45 91</t>
  </si>
  <si>
    <t>Hazekade 10</t>
  </si>
  <si>
    <t>2411 PP</t>
  </si>
  <si>
    <t>Bodegraven-Meije</t>
  </si>
  <si>
    <t>0172 - 68 55 06</t>
  </si>
  <si>
    <t>Nieuwstraat 9-11</t>
  </si>
  <si>
    <t>3421 BT</t>
  </si>
  <si>
    <t>0348 - 56 16 52</t>
  </si>
  <si>
    <t>Drielingschouw 1</t>
  </si>
  <si>
    <t>2811 LP</t>
  </si>
  <si>
    <t>Reeuwijk</t>
  </si>
  <si>
    <t>0182 - 39 32 34</t>
  </si>
  <si>
    <t>Spieringstraat 18</t>
  </si>
  <si>
    <t>2801 ZM</t>
  </si>
  <si>
    <t>Gouda</t>
  </si>
  <si>
    <t>0182 - 51 53 38</t>
  </si>
  <si>
    <t>A.G. de Vrijestraat 1</t>
  </si>
  <si>
    <t>2806 SP</t>
  </si>
  <si>
    <t>0182 - 52 21 67</t>
  </si>
  <si>
    <t>Doelenplein 26</t>
  </si>
  <si>
    <t>2871 CV</t>
  </si>
  <si>
    <t>Schoonhoven</t>
  </si>
  <si>
    <t>0182 - 38 28 47</t>
  </si>
  <si>
    <t>Aalberseplein 6</t>
  </si>
  <si>
    <t>2805 EG</t>
  </si>
  <si>
    <t>0182 - 51 66 75</t>
  </si>
  <si>
    <t>Zuidplashof 1</t>
  </si>
  <si>
    <t>2743 CR</t>
  </si>
  <si>
    <t>Waddinxveen</t>
  </si>
  <si>
    <t>0182 - 61 98 56</t>
  </si>
  <si>
    <t>Ouverturelaan 10</t>
  </si>
  <si>
    <t>2807 JT</t>
  </si>
  <si>
    <t>0182 - 52 48 18</t>
  </si>
  <si>
    <t>Geerpolderweg 32-34</t>
  </si>
  <si>
    <t>2807 LS</t>
  </si>
  <si>
    <t>0182 - 58 68 78</t>
  </si>
  <si>
    <t>Willem de Zwijgerlaan 55</t>
  </si>
  <si>
    <t>0182 - 74 30 09</t>
  </si>
  <si>
    <t>Brittenburg 50</t>
  </si>
  <si>
    <t>2804 ZZ</t>
  </si>
  <si>
    <t>0182 - 53 98 77</t>
  </si>
  <si>
    <t>Rijnlust 42-44</t>
  </si>
  <si>
    <t>2804 LC</t>
  </si>
  <si>
    <t>0182 - 53 35 60</t>
  </si>
  <si>
    <t>Scharroosingel 54</t>
  </si>
  <si>
    <t>2807 CX</t>
  </si>
  <si>
    <t>0182 - 58 48 85</t>
  </si>
  <si>
    <t>Reigerstraat 37</t>
  </si>
  <si>
    <t>2802 EM</t>
  </si>
  <si>
    <t>0182 - 51 56 57</t>
  </si>
  <si>
    <t>Coniferensingel 20</t>
  </si>
  <si>
    <t>2803 JH</t>
  </si>
  <si>
    <t>0182 - 53 02 25</t>
  </si>
  <si>
    <t>Aalberseplein 5</t>
  </si>
  <si>
    <t>0182 - 67 00 51</t>
  </si>
  <si>
    <t>04NH</t>
  </si>
  <si>
    <t>Adriaan Roland Holstschool</t>
  </si>
  <si>
    <t>06QZ</t>
  </si>
  <si>
    <t>Parcival</t>
  </si>
  <si>
    <t>06RD</t>
  </si>
  <si>
    <t>Vrije School Zaanstreek</t>
  </si>
  <si>
    <t>09DF</t>
  </si>
  <si>
    <t>09NN01</t>
  </si>
  <si>
    <t>Rudolf Steinerschool</t>
  </si>
  <si>
    <t>09NN</t>
  </si>
  <si>
    <t>09ZG</t>
  </si>
  <si>
    <t>24RA</t>
  </si>
  <si>
    <t>Waterlandschool</t>
  </si>
  <si>
    <t>24RB</t>
  </si>
  <si>
    <t>31FK</t>
  </si>
  <si>
    <t>09DF01</t>
  </si>
  <si>
    <t>Vrije School Kleverpark</t>
  </si>
  <si>
    <t>Prins Hendriklaan 56-58</t>
  </si>
  <si>
    <t>1862 EL</t>
  </si>
  <si>
    <t>Bergen NH</t>
  </si>
  <si>
    <t>072 - 581 36 13</t>
  </si>
  <si>
    <t>Nachtegaal 146</t>
  </si>
  <si>
    <t>1628 DJ</t>
  </si>
  <si>
    <t>Hoorn NH</t>
  </si>
  <si>
    <t>0229 - 23 10 11</t>
  </si>
  <si>
    <t>Galjoenstraat 111B</t>
  </si>
  <si>
    <t>1503 AR</t>
  </si>
  <si>
    <t>Zaandam</t>
  </si>
  <si>
    <t>075 - 617 40 47</t>
  </si>
  <si>
    <t>Weltevredenstraat 9</t>
  </si>
  <si>
    <t>2022 VA</t>
  </si>
  <si>
    <t>Haarlem</t>
  </si>
  <si>
    <t>023 - 537 35 78</t>
  </si>
  <si>
    <t>1826 KL</t>
  </si>
  <si>
    <t>Alkmaar</t>
  </si>
  <si>
    <t>072 - 561 86 02</t>
  </si>
  <si>
    <t>Mercuriusstraat 13</t>
  </si>
  <si>
    <t>1829 CE</t>
  </si>
  <si>
    <t>Oudorp NH</t>
  </si>
  <si>
    <t>072 - 515 84 18</t>
  </si>
  <si>
    <t>Engelandlaan 2-2</t>
  </si>
  <si>
    <t>2034 NA</t>
  </si>
  <si>
    <t>023 - 540 33 95</t>
  </si>
  <si>
    <t>Reigersbek 2-4</t>
  </si>
  <si>
    <t>1441 SZ</t>
  </si>
  <si>
    <t>Purmerend</t>
  </si>
  <si>
    <t>0229 - 42 16 72</t>
  </si>
  <si>
    <t>Abellalaan 74</t>
  </si>
  <si>
    <t>2182 TZ</t>
  </si>
  <si>
    <t>Hillegom</t>
  </si>
  <si>
    <t>0252 - 52 48 99</t>
  </si>
  <si>
    <t>Dokter van Nieveltweg 20</t>
  </si>
  <si>
    <t>1901 GD</t>
  </si>
  <si>
    <t>Castricum</t>
  </si>
  <si>
    <t>0251 - 29 28 97</t>
  </si>
  <si>
    <t>Wouwermanstraat 49a</t>
  </si>
  <si>
    <t>2023 XD</t>
  </si>
  <si>
    <t>023 - 202 32 35</t>
  </si>
  <si>
    <t>04PO</t>
  </si>
  <si>
    <t>De Marliaantjes</t>
  </si>
  <si>
    <t>12KM</t>
  </si>
  <si>
    <t>De Tweeklank (Alberdastraat)</t>
  </si>
  <si>
    <t>61751</t>
  </si>
  <si>
    <t>Stafbureau</t>
  </si>
  <si>
    <t>12ZN</t>
  </si>
  <si>
    <t>Eltheto</t>
  </si>
  <si>
    <t>12TB</t>
  </si>
  <si>
    <t>De Bron</t>
  </si>
  <si>
    <t>22LL</t>
  </si>
  <si>
    <t>Shalom</t>
  </si>
  <si>
    <t>13TK</t>
  </si>
  <si>
    <t>De Pölle</t>
  </si>
  <si>
    <t>13PK</t>
  </si>
  <si>
    <t>Rehoboth</t>
  </si>
  <si>
    <t>13FI</t>
  </si>
  <si>
    <t>22LL (2)</t>
  </si>
  <si>
    <t>Shalom De Weeme</t>
  </si>
  <si>
    <t>09UG (2)</t>
  </si>
  <si>
    <t>De Fontein Hoofdweg</t>
  </si>
  <si>
    <t>09UG</t>
  </si>
  <si>
    <t>De Fontein Oranjestraat</t>
  </si>
  <si>
    <t>01KZ</t>
  </si>
  <si>
    <t>De Sleutel</t>
  </si>
  <si>
    <t>09QR</t>
  </si>
  <si>
    <t>De Smithoek</t>
  </si>
  <si>
    <t>10KP</t>
  </si>
  <si>
    <t>De Maten</t>
  </si>
  <si>
    <t>Hammerweg 8</t>
  </si>
  <si>
    <t>7447 SM</t>
  </si>
  <si>
    <t>0548 - 68 12 70</t>
  </si>
  <si>
    <t>Albardastraat 35</t>
  </si>
  <si>
    <t>7611 BE</t>
  </si>
  <si>
    <t>Aadorp</t>
  </si>
  <si>
    <t>0546 - 49 28 08</t>
  </si>
  <si>
    <t>Schoolstraat 5</t>
  </si>
  <si>
    <t>7671 GG</t>
  </si>
  <si>
    <t>Vriezenveen</t>
  </si>
  <si>
    <t>0546 - 57 89 62</t>
  </si>
  <si>
    <t>Schoolstraat 9</t>
  </si>
  <si>
    <t>0546 - 56 76 56</t>
  </si>
  <si>
    <t>Molenstraat 2</t>
  </si>
  <si>
    <t>7671 KB</t>
  </si>
  <si>
    <t>0546 - 56 77 48</t>
  </si>
  <si>
    <t>Zicht 2</t>
  </si>
  <si>
    <t>7671 ND</t>
  </si>
  <si>
    <t>0546 - 56 75 47</t>
  </si>
  <si>
    <t>Oude Hoevenweg 97</t>
  </si>
  <si>
    <t xml:space="preserve">7671 PH </t>
  </si>
  <si>
    <t>0546 - 56 76 37</t>
  </si>
  <si>
    <t>Buitenlandweg 1</t>
  </si>
  <si>
    <t>7671 RK</t>
  </si>
  <si>
    <t>0546 - 56 75 64</t>
  </si>
  <si>
    <t>De Leeuwerik 1</t>
  </si>
  <si>
    <t xml:space="preserve">7671 ZX </t>
  </si>
  <si>
    <t>0546 - 56 73 90</t>
  </si>
  <si>
    <t>Koningshof 4</t>
  </si>
  <si>
    <t>7672 GE</t>
  </si>
  <si>
    <t>0546 - 56 28 52</t>
  </si>
  <si>
    <t>Hoofdweg 56</t>
  </si>
  <si>
    <t>7676 AG</t>
  </si>
  <si>
    <t>Westerhaar</t>
  </si>
  <si>
    <t>0546 - 65 93 20</t>
  </si>
  <si>
    <t>Oranjestraat 2C</t>
  </si>
  <si>
    <t>0546 - 65 81 22</t>
  </si>
  <si>
    <t>Stobbelaan 61</t>
  </si>
  <si>
    <t xml:space="preserve">7681 ZN  </t>
  </si>
  <si>
    <t>Vroomshoop</t>
  </si>
  <si>
    <t>0546 - 64 61 14</t>
  </si>
  <si>
    <t>7683 CK</t>
  </si>
  <si>
    <t>Den Ham</t>
  </si>
  <si>
    <t>0546 - 67 13 72</t>
  </si>
  <si>
    <t>Roelofsbrink 12</t>
  </si>
  <si>
    <t>Broekmaten 6</t>
  </si>
  <si>
    <t>7683 XH</t>
  </si>
  <si>
    <t>0546 - 67 12 31</t>
  </si>
  <si>
    <t>19LM</t>
  </si>
  <si>
    <t>De Dubbeldekker</t>
  </si>
  <si>
    <t>19NA (2)</t>
  </si>
  <si>
    <t>IPS Hilversum (loc. Rembrandt)</t>
  </si>
  <si>
    <t>19NA (3)</t>
  </si>
  <si>
    <t>IPS Hilversum (loc. Frans Hals)</t>
  </si>
  <si>
    <t>19CY</t>
  </si>
  <si>
    <t>Fabritiusschool (hoofdlocatie)</t>
  </si>
  <si>
    <t>41493</t>
  </si>
  <si>
    <t>Bestuurskantoor Stip</t>
  </si>
  <si>
    <t>21QB</t>
  </si>
  <si>
    <t>De Windkanter</t>
  </si>
  <si>
    <t>19NA</t>
  </si>
  <si>
    <t>Violenschool</t>
  </si>
  <si>
    <t>19CY01</t>
  </si>
  <si>
    <t>Fabritiusschool (2e locatie)</t>
  </si>
  <si>
    <t>19DD</t>
  </si>
  <si>
    <t>Goudenregenschool (hoofdlocatie)</t>
  </si>
  <si>
    <t>19DI</t>
  </si>
  <si>
    <t>Elckerlyc</t>
  </si>
  <si>
    <t>19DD01</t>
  </si>
  <si>
    <t>Goudenregenschool (loc. Kerkelanden)</t>
  </si>
  <si>
    <t>19DI01</t>
  </si>
  <si>
    <t>Vondelschool</t>
  </si>
  <si>
    <t>19MW</t>
  </si>
  <si>
    <t>De Gooise Daltonschool</t>
  </si>
  <si>
    <t>19NA (4)</t>
  </si>
  <si>
    <t>IPS Hilversum (loc. Mondrian)</t>
  </si>
  <si>
    <t>03BA</t>
  </si>
  <si>
    <t>Jan van Rijckenborgh (loc. Hilversum)</t>
  </si>
  <si>
    <t>19DM</t>
  </si>
  <si>
    <t>Sterrenschool Hilversum</t>
  </si>
  <si>
    <t>19DP</t>
  </si>
  <si>
    <t>Dr. Ir. C. Lelyschool</t>
  </si>
  <si>
    <t>19MR (2)</t>
  </si>
  <si>
    <t>Lorentzschool (loc. Van 't Hoffplein)</t>
  </si>
  <si>
    <t>19MR01</t>
  </si>
  <si>
    <t>IKC Villa Vrolik</t>
  </si>
  <si>
    <t>19MR</t>
  </si>
  <si>
    <t>Lorentzschool (hoofdlocatie)</t>
  </si>
  <si>
    <t>Oude Amersfoortseweg 196</t>
  </si>
  <si>
    <t>1212 AL</t>
  </si>
  <si>
    <t>Hilversum</t>
  </si>
  <si>
    <t>035 - 685 17 76</t>
  </si>
  <si>
    <t>Rembrandtlaan 30</t>
  </si>
  <si>
    <t>1213 BH</t>
  </si>
  <si>
    <t>035 - 621 60 53</t>
  </si>
  <si>
    <t>Frans Halslaan 57A</t>
  </si>
  <si>
    <t>1213 BK</t>
  </si>
  <si>
    <t>035 - 693 06 41</t>
  </si>
  <si>
    <t>Fabritiuslaan 52</t>
  </si>
  <si>
    <t>1213 CT</t>
  </si>
  <si>
    <t>035 - 621 17 02</t>
  </si>
  <si>
    <t>Oude Enghweg 2</t>
  </si>
  <si>
    <t>1217 JC</t>
  </si>
  <si>
    <t>035 - 622 13 70</t>
  </si>
  <si>
    <t>Soestdijkerstraatweg 129</t>
  </si>
  <si>
    <t>1213 VX</t>
  </si>
  <si>
    <t>035 - 624 19 05</t>
  </si>
  <si>
    <t>Violenstraat 3</t>
  </si>
  <si>
    <t>1214 CJ</t>
  </si>
  <si>
    <t>035 - 621 17 03</t>
  </si>
  <si>
    <t>Egelantierstraat 115</t>
  </si>
  <si>
    <t>1214 EC</t>
  </si>
  <si>
    <t>Goudenregenlaan 1</t>
  </si>
  <si>
    <t>1214 NC</t>
  </si>
  <si>
    <t>035 - 624 31 52</t>
  </si>
  <si>
    <t>Van Hogendorplaan 1A</t>
  </si>
  <si>
    <t>1215 EG</t>
  </si>
  <si>
    <t>035 - 624 84 54</t>
  </si>
  <si>
    <t>Augustinushof 59</t>
  </si>
  <si>
    <t>1216 LD</t>
  </si>
  <si>
    <t>035 - 621 61 42</t>
  </si>
  <si>
    <t>Schuttersweg 36</t>
  </si>
  <si>
    <t>1217 PZ</t>
  </si>
  <si>
    <t>035 - 621 16 16</t>
  </si>
  <si>
    <t>Vuurvlindermeent 56</t>
  </si>
  <si>
    <t>1218 GZ</t>
  </si>
  <si>
    <t>035 - 691 24 46</t>
  </si>
  <si>
    <t>Minckelersstraat 36</t>
  </si>
  <si>
    <t>1221 KH</t>
  </si>
  <si>
    <t>035 - 685 30 21</t>
  </si>
  <si>
    <t>‘s Gravesandelaan 15-17</t>
  </si>
  <si>
    <t>1222 SX</t>
  </si>
  <si>
    <t>035 - 683 29 13</t>
  </si>
  <si>
    <t>Huygensstraat 35</t>
  </si>
  <si>
    <t>1222 TJ</t>
  </si>
  <si>
    <t>035 - 685 19 19</t>
  </si>
  <si>
    <t>Lopes Diaslaan 85</t>
  </si>
  <si>
    <t>1222 VC</t>
  </si>
  <si>
    <t>035 - 642 09 80</t>
  </si>
  <si>
    <t>Van 't Hoffplein 2</t>
  </si>
  <si>
    <t>1223 EG</t>
  </si>
  <si>
    <t>Harry Banninkstraat 3 </t>
  </si>
  <si>
    <t>1223 MP</t>
  </si>
  <si>
    <t>035 - 642 60 20</t>
  </si>
  <si>
    <t>Lorentzweg 135</t>
  </si>
  <si>
    <t>1223 HN</t>
  </si>
  <si>
    <t>035 - 685 58 23</t>
  </si>
  <si>
    <t>De Lindeboom</t>
  </si>
  <si>
    <t>Korte Verspronckweg 7-9</t>
  </si>
  <si>
    <t>2023 BS</t>
  </si>
  <si>
    <t>06 - 51 40 18 26</t>
  </si>
  <si>
    <t>Kennemerland</t>
  </si>
  <si>
    <t>De Toermalijn</t>
  </si>
  <si>
    <t>Vrijeschool Castricum</t>
  </si>
  <si>
    <t>De Sterrenzanger</t>
  </si>
  <si>
    <t>Spijkerboorpad 4</t>
  </si>
  <si>
    <t>2037 XZ</t>
  </si>
  <si>
    <t>09ZG001</t>
  </si>
  <si>
    <t>huidig model</t>
  </si>
  <si>
    <t>MP C4504</t>
  </si>
  <si>
    <t>MP C4503SP</t>
  </si>
  <si>
    <t>10YZ (2)</t>
  </si>
  <si>
    <t>De Kluwen 5a</t>
  </si>
  <si>
    <t>MP C4000AD</t>
  </si>
  <si>
    <t>MP C2800AD</t>
  </si>
  <si>
    <t>2741 DB</t>
  </si>
  <si>
    <t>De Brede school</t>
  </si>
  <si>
    <t xml:space="preserve">2802 LD </t>
  </si>
  <si>
    <t>Datum in gebruikname nieuwe MFP</t>
  </si>
  <si>
    <t># zw/w afdrukken M1</t>
  </si>
  <si>
    <t># kleur afdrukken M1</t>
  </si>
  <si>
    <t># zw/w afdrukken M2</t>
  </si>
  <si>
    <t># kleur afdrukken M2</t>
  </si>
  <si>
    <t xml:space="preserve">einnddatum nieuwe overeenkomst </t>
  </si>
  <si>
    <t># zw/w afdrukken M3</t>
  </si>
  <si>
    <t>Aantal zw/w afdrukken per optiejaar M3</t>
  </si>
  <si>
    <t>Houtwal 16</t>
  </si>
  <si>
    <t>VSO De Brug (Groene Brug)</t>
  </si>
  <si>
    <t>VSO De Brug (Brughuis)</t>
  </si>
  <si>
    <t xml:space="preserve"> 1.632 </t>
  </si>
  <si>
    <t xml:space="preserve"> -   </t>
  </si>
  <si>
    <t>Model 3
(eis M1 t/m M27)</t>
  </si>
  <si>
    <t xml:space="preserve"> 1.224.444 </t>
  </si>
  <si>
    <t xml:space="preserve"> 1.669.716 </t>
  </si>
  <si>
    <t xml:space="preserve"> 102.037 </t>
  </si>
  <si>
    <t xml:space="preserve"> 139.143 </t>
  </si>
  <si>
    <t>Houtsmastraat 11</t>
  </si>
  <si>
    <t>7001 EW</t>
  </si>
  <si>
    <t>Raadhuisstraat 26</t>
  </si>
  <si>
    <t>7002 KA</t>
  </si>
  <si>
    <t>Calslaan 14</t>
  </si>
  <si>
    <t>7003 CZ</t>
  </si>
  <si>
    <t>7201 ES</t>
  </si>
  <si>
    <t>Model 1
(eis M1 t/m M28)</t>
  </si>
  <si>
    <t>Scan to OneDrive / My OneDrive (Eis O3) per MFP per maand</t>
  </si>
  <si>
    <t>Scan to Google Drive / My Google Drive (Eis O2) per MFP per maand</t>
  </si>
  <si>
    <t>Scan to Sharepoint online / My Sharepoint online (Eis O5) per MFP per maand</t>
  </si>
  <si>
    <t>OCR scannen naar Searchable pdf en pdf/A (Eis O7) per MFP per maand</t>
  </si>
  <si>
    <t>Software per MFP (ongeacht model) per maand (Eis S1 t/m S18))</t>
  </si>
  <si>
    <r>
      <t>Leaseprijs</t>
    </r>
    <r>
      <rPr>
        <vertAlign val="superscript"/>
        <sz val="11"/>
        <color theme="1"/>
        <rFont val="Calibri Light"/>
        <family val="2"/>
      </rPr>
      <t>1</t>
    </r>
    <r>
      <rPr>
        <sz val="11"/>
        <color theme="1"/>
        <rFont val="Calibri Light"/>
        <family val="2"/>
      </rPr>
      <t xml:space="preserve"> per Printer model 3 per maand </t>
    </r>
  </si>
  <si>
    <t>Afdrukprijs per Afdruk voor zwart/wit en kleur Model 1 en 2</t>
  </si>
  <si>
    <t>Afdrukprijs per Afdruk voor zwart/wit en kleur Model 3</t>
  </si>
  <si>
    <t>Model 1 en 2</t>
  </si>
  <si>
    <t>Model 3</t>
  </si>
  <si>
    <t>Totaal model 3: Leaseprijs alle machines</t>
  </si>
  <si>
    <t>Afdrukkosten zwart/wit model 3</t>
  </si>
  <si>
    <t>Afdrukkosten zwart/wit model 1 en 2</t>
  </si>
  <si>
    <t>Software per model 1 en 2 per maand (Eis S1 t/m S18))</t>
  </si>
  <si>
    <t>Software per model 3 per maand (Eis S1 t/m S18))</t>
  </si>
  <si>
    <t>Software model 1 en 2</t>
  </si>
  <si>
    <t>Software model 3</t>
  </si>
  <si>
    <t>Overige opties model 1 en 2</t>
  </si>
  <si>
    <r>
      <t>De opgegeven prijzen zijn in overeenstemming met het gestelde in de Uitnodiging to</t>
    </r>
    <r>
      <rPr>
        <sz val="11"/>
        <rFont val="Calibri"/>
        <family val="2"/>
        <scheme val="minor"/>
      </rPr>
      <t xml:space="preserve">t Inschrijving </t>
    </r>
    <r>
      <rPr>
        <sz val="11"/>
        <color theme="1"/>
        <rFont val="Calibri Light"/>
        <family val="2"/>
      </rPr>
      <t xml:space="preserve">en de bijlagen (waaronder maar niet beperkt tot het Programma van Eisen). 
</t>
    </r>
  </si>
  <si>
    <t xml:space="preserve">De licht groene cellen op alle tabbladen dienen te worden ingevuld (door een kruisje te zetten). In het Programma van Eisen (Bijlage 5 uit de Uitnodiging tot Inschrijving) worden alle Optionele Software eisen weergegeven, deze eisen zijn ook zichtbaar in alle tabbladen van dit rekenblad. Aangezien sommige Inschrijvers deze eisen het liefst in een pakket willen aanbieden en daar geen standaard voor is dienen de Inschrijvers zelf een aantal pakketten (of 1 pakket) samen te stellen. De pakketten kunnen samengesteld worden door per Optionele Software eis een kruisje te zetten in welk pakket deze eis zit. Dit betekent dat er meerdere eisen kunnen zitten in 1 pakket, maar het kan ook zijn dat alle eisen apart in een pakket worden aangeboden. Hieronder worden twee voorbeelden gepresenteerd ter verduidelijking.
Opdrachtgever is op zoek naar pakketten waar zo min mogelijk overlap van de Optionele Software eisen in zit. Echter alle eisen dienen wel minimaal in 1 pakket te zitten. Bij de berekening van de totaalprijs wordt er vanuit gegaan dat Opdrachtgever alle pakketten zal afnemen. Dit wordt gedaan om alle Inschrijvingen goed 1 op 1 te kunnen vergelijken. Of er naderhand daadwerkelijk 1 of meerdere pakketten worden afgenomen is niet zeker.
Tip! Mocht Inschrijver standaard pakketten hebben die uitgebreider zijn dan de Optionele Software eisen kan dit bij de beantwoording van de laatste vraag uit tabel 10  over de toegevoegde waarde (van de Uitnodiging tot Inschrijving) worden aangegeven.
</t>
  </si>
  <si>
    <t>Eerste E.J. Potgieterstraat 21</t>
  </si>
  <si>
    <t>0182 - 52 71 01</t>
  </si>
  <si>
    <t xml:space="preserve">De groene cellen van alle tabbladen dienen te worden ingevuld. Bovenin ieder tabblad kan het merk + type/model worden aangegeven. Alleen een bedrag (in cijfers) mag worden ingevuld. Een negatief bedrag is niet toegestaan. De opgegeven prijzen dienen reëel en waar te maken zijn.
</t>
  </si>
  <si>
    <t xml:space="preserve">De aantallen en keuze van de Apparatuur per Locatie kunnen na de gunning nog worden aangepast. Deze inventarisatie is gebaseerd op het huidige verbruik en behoefte.
</t>
  </si>
  <si>
    <t>Kosten tags en passen t.b.v. nieuwe medewerkers</t>
  </si>
  <si>
    <t>Passen per 10 stuks inclusief activeren en gebruiksklaar opleveren</t>
  </si>
  <si>
    <t>Tags per 10 stuks inclusief activeren en gebruiksklaar opleveren</t>
  </si>
  <si>
    <t>Model 3; extra papierlade per printer per maand</t>
  </si>
  <si>
    <t>Aantal maanden model 1</t>
  </si>
  <si>
    <t>Aantal maanden model 2</t>
  </si>
  <si>
    <t>Extra Software</t>
  </si>
  <si>
    <t>Extra Software model 1 en 2</t>
  </si>
  <si>
    <t>Optionele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</si>
</sst>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 numFmtId="166" formatCode="_ [$€-413]\ * #,##0.00_ ;_ [$€-413]\ * \-#,##0.00_ ;_ [$€-413]\ * &quot;-&quot;??_ ;_ @_ "/>
    <numFmt numFmtId="167" formatCode="_ [$€-2]\ * #,##0.00_ ;_ [$€-2]\ * \-#,##0.00_ ;_ [$€-2]\ * &quot;-&quot;??_ ;_ @_ "/>
    <numFmt numFmtId="168" formatCode="&quot;zw/w tot&quot;\ d/m/yyyy"/>
    <numFmt numFmtId="169" formatCode="&quot;tot&quot;\ d/m/yyyy"/>
    <numFmt numFmtId="170" formatCode="&quot;kleur tot&quot;\ d/m/yyyy"/>
  </numFmts>
  <fonts count="25" x14ac:knownFonts="1">
    <font>
      <sz val="11"/>
      <color theme="1"/>
      <name val="Calibri Light"/>
      <family val="2"/>
    </font>
    <font>
      <sz val="11"/>
      <color theme="1"/>
      <name val="Calibri Light"/>
      <family val="2"/>
    </font>
    <font>
      <sz val="8"/>
      <name val="Calibri Light"/>
      <family val="2"/>
    </font>
    <font>
      <sz val="11"/>
      <name val="Calibri Light"/>
      <family val="2"/>
    </font>
    <font>
      <b/>
      <sz val="11"/>
      <color theme="1"/>
      <name val="Calibri Light"/>
      <family val="2"/>
    </font>
    <font>
      <sz val="10"/>
      <color theme="1"/>
      <name val="Calibri Light"/>
      <family val="2"/>
    </font>
    <font>
      <vertAlign val="superscript"/>
      <sz val="11"/>
      <name val="Calibri"/>
      <family val="2"/>
      <scheme val="minor"/>
    </font>
    <font>
      <sz val="11"/>
      <name val="Calibri"/>
      <family val="2"/>
      <scheme val="minor"/>
    </font>
    <font>
      <sz val="18"/>
      <color theme="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b/>
      <sz val="16"/>
      <name val="Calibri"/>
      <family val="2"/>
      <scheme val="minor"/>
    </font>
    <font>
      <b/>
      <sz val="10"/>
      <color theme="0"/>
      <name val="Calibri"/>
      <family val="2"/>
      <scheme val="minor"/>
    </font>
    <font>
      <sz val="11"/>
      <color rgb="FFFF0000"/>
      <name val="Calibri Light"/>
      <family val="2"/>
    </font>
    <font>
      <vertAlign val="superscript"/>
      <sz val="11"/>
      <color theme="1"/>
      <name val="Calibri Light"/>
      <family val="2"/>
    </font>
    <font>
      <b/>
      <sz val="11"/>
      <name val="Calibri Light"/>
      <family val="2"/>
    </font>
    <font>
      <b/>
      <sz val="18"/>
      <name val="Calibri"/>
      <family val="2"/>
      <scheme val="minor"/>
    </font>
    <font>
      <sz val="14"/>
      <color rgb="FFFF0000"/>
      <name val="Calibri Light"/>
      <family val="2"/>
    </font>
    <font>
      <vertAlign val="superscript"/>
      <sz val="10"/>
      <color theme="1"/>
      <name val="Calibri"/>
      <family val="2"/>
      <scheme val="minor"/>
    </font>
    <font>
      <sz val="11"/>
      <color rgb="FF7030A0"/>
      <name val="Calibri Light"/>
      <family val="2"/>
    </font>
    <font>
      <b/>
      <sz val="10"/>
      <color theme="0"/>
      <name val="Calibri Light"/>
      <family val="2"/>
    </font>
    <font>
      <b/>
      <sz val="10"/>
      <color theme="1"/>
      <name val="Calibri Light"/>
      <family val="2"/>
    </font>
    <font>
      <b/>
      <sz val="11"/>
      <color theme="0"/>
      <name val="Calibri Light"/>
      <family val="2"/>
    </font>
    <font>
      <b/>
      <sz val="11"/>
      <color rgb="FFFFC000"/>
      <name val="Calibri Light"/>
      <family val="2"/>
    </font>
  </fonts>
  <fills count="14">
    <fill>
      <patternFill patternType="none"/>
    </fill>
    <fill>
      <patternFill patternType="gray125"/>
    </fill>
    <fill>
      <patternFill patternType="solid">
        <fgColor theme="7" tint="0.79998168889431442"/>
        <bgColor indexed="64"/>
      </patternFill>
    </fill>
    <fill>
      <patternFill patternType="solid">
        <fgColor theme="2" tint="-4.9989318521683403E-2"/>
        <bgColor indexed="64"/>
      </patternFill>
    </fill>
    <fill>
      <patternFill patternType="solid">
        <fgColor rgb="FF00FF99"/>
        <bgColor indexed="64"/>
      </patternFill>
    </fill>
    <fill>
      <patternFill patternType="solid">
        <fgColor rgb="FFFFC000"/>
        <bgColor theme="4"/>
      </patternFill>
    </fill>
    <fill>
      <patternFill patternType="solid">
        <fgColor rgb="FFFFC000"/>
        <bgColor indexed="64"/>
      </patternFill>
    </fill>
    <fill>
      <patternFill patternType="solid">
        <fgColor rgb="FFCDFFEC"/>
        <bgColor indexed="64"/>
      </patternFill>
    </fill>
    <fill>
      <patternFill patternType="solid">
        <fgColor rgb="FFFFEFFF"/>
        <bgColor indexed="64"/>
      </patternFill>
    </fill>
    <fill>
      <patternFill patternType="solid">
        <fgColor rgb="FFCDFFEB"/>
        <bgColor indexed="64"/>
      </patternFill>
    </fill>
    <fill>
      <patternFill patternType="solid">
        <fgColor theme="7" tint="-0.249977111117893"/>
        <bgColor indexed="64"/>
      </patternFill>
    </fill>
    <fill>
      <patternFill patternType="solid">
        <fgColor theme="5"/>
        <bgColor indexed="64"/>
      </patternFill>
    </fill>
    <fill>
      <patternFill patternType="solid">
        <fgColor rgb="FFFFFF00"/>
        <bgColor indexed="64"/>
      </patternFill>
    </fill>
    <fill>
      <patternFill patternType="solid">
        <fgColor rgb="FFFFCC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04">
    <xf numFmtId="0" fontId="0" fillId="0" borderId="0" xfId="0"/>
    <xf numFmtId="164" fontId="0" fillId="0" borderId="0" xfId="1" applyNumberFormat="1" applyFont="1"/>
    <xf numFmtId="3" fontId="0" fillId="0" borderId="0" xfId="0" applyNumberFormat="1"/>
    <xf numFmtId="164" fontId="0" fillId="0" borderId="0" xfId="0" applyNumberFormat="1"/>
    <xf numFmtId="14" fontId="0" fillId="0" borderId="0" xfId="0" applyNumberFormat="1"/>
    <xf numFmtId="164" fontId="0" fillId="0" borderId="0" xfId="0" applyNumberFormat="1" applyFont="1"/>
    <xf numFmtId="0" fontId="3" fillId="0" borderId="0" xfId="0" applyFont="1"/>
    <xf numFmtId="0" fontId="0" fillId="0" borderId="0" xfId="0" applyAlignment="1">
      <alignment horizontal="right"/>
    </xf>
    <xf numFmtId="3" fontId="0" fillId="0" borderId="0" xfId="1" applyNumberFormat="1" applyFont="1"/>
    <xf numFmtId="0" fontId="5" fillId="0" borderId="0" xfId="0" applyFont="1" applyAlignment="1">
      <alignment horizontal="left" vertical="center"/>
    </xf>
    <xf numFmtId="0" fontId="5" fillId="0" borderId="0" xfId="0" applyFont="1" applyFill="1" applyAlignment="1">
      <alignment horizontal="left" vertical="center" wrapText="1"/>
    </xf>
    <xf numFmtId="44" fontId="0" fillId="0" borderId="0" xfId="2" applyFont="1" applyFill="1" applyBorder="1" applyProtection="1">
      <protection locked="0"/>
    </xf>
    <xf numFmtId="164" fontId="0" fillId="0" borderId="0" xfId="1" applyNumberFormat="1" applyFont="1" applyProtection="1">
      <protection hidden="1"/>
    </xf>
    <xf numFmtId="0" fontId="0" fillId="0" borderId="0" xfId="0" applyProtection="1">
      <protection hidden="1"/>
    </xf>
    <xf numFmtId="44" fontId="8" fillId="0" borderId="0" xfId="0" applyNumberFormat="1" applyFont="1" applyAlignment="1" applyProtection="1">
      <alignment horizontal="center"/>
      <protection hidden="1"/>
    </xf>
    <xf numFmtId="167" fontId="0" fillId="0" borderId="0" xfId="0" applyNumberFormat="1" applyProtection="1">
      <protection hidden="1"/>
    </xf>
    <xf numFmtId="164" fontId="0" fillId="0" borderId="0" xfId="1" applyNumberFormat="1" applyFont="1" applyAlignment="1" applyProtection="1">
      <alignment vertical="center"/>
      <protection hidden="1"/>
    </xf>
    <xf numFmtId="0" fontId="0" fillId="0" borderId="0" xfId="0" applyAlignment="1" applyProtection="1">
      <alignment horizontal="center"/>
      <protection hidden="1"/>
    </xf>
    <xf numFmtId="0" fontId="0" fillId="0" borderId="0" xfId="0" applyAlignment="1">
      <alignment horizontal="right"/>
    </xf>
    <xf numFmtId="0" fontId="0" fillId="0" borderId="1" xfId="0" applyBorder="1" applyAlignment="1">
      <alignment wrapText="1"/>
    </xf>
    <xf numFmtId="0" fontId="0" fillId="0" borderId="1" xfId="0" applyBorder="1" applyAlignment="1">
      <alignment vertical="top" wrapText="1"/>
    </xf>
    <xf numFmtId="0" fontId="9" fillId="0" borderId="1" xfId="0" applyFont="1" applyFill="1" applyBorder="1" applyAlignment="1">
      <alignment vertical="center"/>
    </xf>
    <xf numFmtId="44" fontId="9" fillId="0" borderId="1" xfId="2" applyFont="1" applyFill="1" applyBorder="1" applyAlignment="1" applyProtection="1">
      <alignment vertical="center" wrapText="1"/>
      <protection locked="0"/>
    </xf>
    <xf numFmtId="0" fontId="0" fillId="0" borderId="0" xfId="0" applyAlignment="1">
      <alignment horizontal="right"/>
    </xf>
    <xf numFmtId="0" fontId="4" fillId="0" borderId="0" xfId="0" applyFont="1" applyAlignment="1">
      <alignment horizontal="right"/>
    </xf>
    <xf numFmtId="44" fontId="7" fillId="0" borderId="0" xfId="2" applyFont="1" applyFill="1" applyBorder="1" applyAlignment="1" applyProtection="1">
      <alignment horizontal="center"/>
      <protection locked="0"/>
    </xf>
    <xf numFmtId="0" fontId="0" fillId="0" borderId="0" xfId="0" applyAlignment="1">
      <alignment horizontal="center"/>
    </xf>
    <xf numFmtId="0" fontId="0" fillId="0" borderId="0" xfId="0" applyAlignment="1">
      <alignment horizontal="center" vertical="center"/>
    </xf>
    <xf numFmtId="166" fontId="7" fillId="0" borderId="0" xfId="2" applyNumberFormat="1" applyFont="1" applyFill="1" applyBorder="1" applyAlignment="1" applyProtection="1">
      <alignment horizontal="center"/>
      <protection locked="0"/>
    </xf>
    <xf numFmtId="164" fontId="0" fillId="2" borderId="1" xfId="0" applyNumberFormat="1" applyFill="1" applyBorder="1" applyAlignment="1" applyProtection="1">
      <alignment vertical="center"/>
      <protection hidden="1"/>
    </xf>
    <xf numFmtId="164" fontId="0" fillId="0" borderId="0" xfId="0" applyNumberFormat="1" applyAlignment="1">
      <alignment horizontal="center"/>
    </xf>
    <xf numFmtId="0" fontId="0" fillId="0" borderId="0" xfId="0" applyAlignment="1"/>
    <xf numFmtId="0" fontId="0" fillId="0" borderId="0" xfId="0" applyFill="1" applyBorder="1" applyAlignment="1" applyProtection="1">
      <protection hidden="1"/>
    </xf>
    <xf numFmtId="0" fontId="0" fillId="0" borderId="0" xfId="0" applyAlignment="1">
      <alignment wrapText="1"/>
    </xf>
    <xf numFmtId="164" fontId="0" fillId="0" borderId="0" xfId="1" applyNumberFormat="1" applyFont="1" applyAlignment="1">
      <alignment horizontal="center" vertical="center"/>
    </xf>
    <xf numFmtId="164" fontId="0" fillId="0" borderId="0" xfId="0" applyNumberFormat="1" applyAlignment="1">
      <alignment horizontal="center" vertical="center"/>
    </xf>
    <xf numFmtId="0" fontId="5" fillId="0" borderId="0" xfId="0" applyFont="1" applyAlignment="1">
      <alignment horizontal="left" vertical="center" wrapText="1"/>
    </xf>
    <xf numFmtId="164" fontId="0" fillId="0" borderId="0" xfId="0" applyNumberFormat="1" applyAlignment="1">
      <alignment vertical="top"/>
    </xf>
    <xf numFmtId="0" fontId="14" fillId="0" borderId="0" xfId="0" applyFont="1"/>
    <xf numFmtId="0" fontId="3" fillId="0" borderId="0" xfId="0" applyFont="1" applyAlignment="1"/>
    <xf numFmtId="0" fontId="14" fillId="0" borderId="0" xfId="0" applyFont="1" applyAlignment="1"/>
    <xf numFmtId="0" fontId="0" fillId="0" borderId="0" xfId="0" applyBorder="1" applyAlignment="1">
      <alignment horizontal="right"/>
    </xf>
    <xf numFmtId="0" fontId="0" fillId="0" borderId="0" xfId="0" applyAlignment="1" applyProtection="1">
      <alignment horizontal="left" wrapText="1"/>
      <protection hidden="1"/>
    </xf>
    <xf numFmtId="0" fontId="4" fillId="0" borderId="1" xfId="0" applyFont="1" applyBorder="1" applyAlignment="1">
      <alignment horizontal="center"/>
    </xf>
    <xf numFmtId="0" fontId="4" fillId="0" borderId="1" xfId="0" applyFont="1" applyBorder="1" applyAlignment="1">
      <alignment horizontal="center" wrapText="1"/>
    </xf>
    <xf numFmtId="0" fontId="0" fillId="0" borderId="0" xfId="0" applyBorder="1" applyAlignment="1">
      <alignment horizontal="center" vertical="center"/>
    </xf>
    <xf numFmtId="166" fontId="7" fillId="4" borderId="1" xfId="3" applyNumberFormat="1" applyFont="1" applyFill="1" applyBorder="1" applyAlignment="1" applyProtection="1">
      <alignment horizontal="center" vertical="center"/>
      <protection locked="0"/>
    </xf>
    <xf numFmtId="166" fontId="7" fillId="4" borderId="1" xfId="3" applyNumberFormat="1" applyFont="1" applyFill="1" applyBorder="1" applyAlignment="1" applyProtection="1">
      <alignment horizontal="center"/>
      <protection locked="0"/>
    </xf>
    <xf numFmtId="165" fontId="7" fillId="4" borderId="1" xfId="2" applyNumberFormat="1" applyFont="1" applyFill="1" applyBorder="1" applyAlignment="1" applyProtection="1">
      <alignment horizontal="center"/>
      <protection locked="0"/>
    </xf>
    <xf numFmtId="44" fontId="7" fillId="4" borderId="1" xfId="2" applyFont="1" applyFill="1" applyBorder="1" applyAlignment="1" applyProtection="1">
      <alignment horizontal="center"/>
      <protection locked="0"/>
    </xf>
    <xf numFmtId="44" fontId="7" fillId="4" borderId="1" xfId="2" applyNumberFormat="1" applyFont="1" applyFill="1" applyBorder="1" applyAlignment="1" applyProtection="1">
      <alignment horizontal="center"/>
      <protection locked="0"/>
    </xf>
    <xf numFmtId="164" fontId="4" fillId="2" borderId="1" xfId="0" applyNumberFormat="1" applyFont="1" applyFill="1" applyBorder="1" applyAlignment="1" applyProtection="1">
      <alignment vertical="center"/>
      <protection hidden="1"/>
    </xf>
    <xf numFmtId="0" fontId="0" fillId="3" borderId="5" xfId="0" applyFill="1" applyBorder="1" applyAlignment="1"/>
    <xf numFmtId="0" fontId="0" fillId="3" borderId="5" xfId="0" applyFont="1" applyFill="1" applyBorder="1" applyAlignment="1">
      <alignment horizontal="right"/>
    </xf>
    <xf numFmtId="44" fontId="0" fillId="3" borderId="5" xfId="0" applyNumberFormat="1" applyFont="1" applyFill="1" applyBorder="1" applyAlignment="1">
      <alignment horizontal="center"/>
    </xf>
    <xf numFmtId="0" fontId="0" fillId="0" borderId="5" xfId="0" applyBorder="1" applyAlignment="1"/>
    <xf numFmtId="0" fontId="0" fillId="0" borderId="5" xfId="0" applyFont="1" applyFill="1" applyBorder="1" applyAlignment="1">
      <alignment horizontal="right"/>
    </xf>
    <xf numFmtId="44" fontId="0" fillId="0" borderId="5" xfId="0" applyNumberFormat="1" applyFont="1" applyFill="1" applyBorder="1" applyAlignment="1">
      <alignment horizontal="center"/>
    </xf>
    <xf numFmtId="0" fontId="14" fillId="3" borderId="5" xfId="0" applyFont="1" applyFill="1" applyBorder="1" applyAlignment="1"/>
    <xf numFmtId="0" fontId="14" fillId="0" borderId="5" xfId="0" applyFont="1" applyBorder="1" applyAlignment="1"/>
    <xf numFmtId="0" fontId="3" fillId="3" borderId="5" xfId="0" applyFont="1" applyFill="1" applyBorder="1" applyAlignment="1">
      <alignment horizontal="right"/>
    </xf>
    <xf numFmtId="166" fontId="9" fillId="4" borderId="1" xfId="2" applyNumberFormat="1" applyFont="1" applyFill="1" applyBorder="1" applyAlignment="1" applyProtection="1">
      <alignment horizontal="left" vertical="center"/>
      <protection locked="0"/>
    </xf>
    <xf numFmtId="44" fontId="7" fillId="7" borderId="1" xfId="2" applyNumberFormat="1" applyFont="1" applyFill="1" applyBorder="1" applyAlignment="1" applyProtection="1">
      <alignment horizontal="center"/>
      <protection locked="0"/>
    </xf>
    <xf numFmtId="166" fontId="7" fillId="8" borderId="4" xfId="2" applyNumberFormat="1" applyFont="1" applyFill="1" applyBorder="1" applyAlignment="1" applyProtection="1">
      <alignment horizontal="center"/>
      <protection locked="0"/>
    </xf>
    <xf numFmtId="166" fontId="7" fillId="8" borderId="1" xfId="2" applyNumberFormat="1" applyFont="1" applyFill="1" applyBorder="1" applyAlignment="1" applyProtection="1">
      <alignment horizontal="center"/>
      <protection locked="0"/>
    </xf>
    <xf numFmtId="0" fontId="0" fillId="6" borderId="6" xfId="0" applyFill="1" applyBorder="1"/>
    <xf numFmtId="0" fontId="0" fillId="6" borderId="7" xfId="0" applyFill="1" applyBorder="1"/>
    <xf numFmtId="0" fontId="16" fillId="5" borderId="7" xfId="0" applyFont="1" applyFill="1" applyBorder="1" applyAlignment="1">
      <alignment horizontal="center" wrapText="1"/>
    </xf>
    <xf numFmtId="0" fontId="16" fillId="5" borderId="7" xfId="0" applyFont="1" applyFill="1" applyBorder="1" applyAlignment="1">
      <alignment horizontal="center"/>
    </xf>
    <xf numFmtId="164" fontId="16" fillId="5" borderId="8" xfId="1" applyNumberFormat="1" applyFont="1" applyFill="1" applyBorder="1" applyAlignment="1">
      <alignment horizontal="center"/>
    </xf>
    <xf numFmtId="0" fontId="0" fillId="3" borderId="9" xfId="0" applyFill="1" applyBorder="1" applyAlignment="1"/>
    <xf numFmtId="44" fontId="4" fillId="3" borderId="10" xfId="2" applyNumberFormat="1" applyFont="1" applyFill="1" applyBorder="1"/>
    <xf numFmtId="0" fontId="0" fillId="0" borderId="9" xfId="0" applyBorder="1" applyAlignment="1"/>
    <xf numFmtId="44" fontId="4" fillId="0" borderId="10" xfId="2" applyNumberFormat="1" applyFont="1" applyFill="1" applyBorder="1"/>
    <xf numFmtId="0" fontId="14" fillId="3" borderId="9" xfId="0" applyFont="1" applyFill="1" applyBorder="1" applyAlignment="1"/>
    <xf numFmtId="0" fontId="14" fillId="0" borderId="9" xfId="0" applyFont="1" applyBorder="1" applyAlignment="1"/>
    <xf numFmtId="0" fontId="3" fillId="0" borderId="11" xfId="0" applyFont="1" applyBorder="1" applyAlignment="1"/>
    <xf numFmtId="0" fontId="3" fillId="0" borderId="12" xfId="0" applyFont="1" applyBorder="1" applyAlignment="1"/>
    <xf numFmtId="0" fontId="3" fillId="0" borderId="12" xfId="0" applyFont="1" applyFill="1" applyBorder="1" applyAlignment="1">
      <alignment horizontal="right"/>
    </xf>
    <xf numFmtId="44" fontId="4" fillId="0" borderId="13" xfId="2" applyNumberFormat="1" applyFont="1" applyFill="1" applyBorder="1"/>
    <xf numFmtId="44" fontId="9" fillId="8" borderId="1" xfId="2" applyFont="1" applyFill="1" applyBorder="1" applyAlignment="1" applyProtection="1">
      <alignment vertical="center" wrapText="1"/>
      <protection locked="0"/>
    </xf>
    <xf numFmtId="0" fontId="4" fillId="0" borderId="0" xfId="0" applyFont="1" applyBorder="1" applyAlignment="1">
      <alignment horizontal="right" vertical="center"/>
    </xf>
    <xf numFmtId="44" fontId="7" fillId="9" borderId="1" xfId="2" applyNumberFormat="1" applyFont="1" applyFill="1" applyBorder="1" applyAlignment="1" applyProtection="1">
      <alignment horizontal="center"/>
      <protection locked="0"/>
    </xf>
    <xf numFmtId="0" fontId="0" fillId="0" borderId="0" xfId="0" applyFill="1"/>
    <xf numFmtId="0" fontId="0" fillId="0" borderId="0" xfId="0" applyFill="1" applyBorder="1"/>
    <xf numFmtId="44" fontId="7" fillId="0" borderId="0" xfId="2" applyNumberFormat="1" applyFont="1" applyFill="1" applyBorder="1" applyAlignment="1" applyProtection="1">
      <alignment horizontal="center"/>
      <protection locked="0"/>
    </xf>
    <xf numFmtId="0" fontId="18" fillId="0" borderId="0" xfId="0" applyFont="1"/>
    <xf numFmtId="0" fontId="5" fillId="0" borderId="0" xfId="0" applyFont="1" applyProtection="1">
      <protection hidden="1"/>
    </xf>
    <xf numFmtId="0" fontId="5" fillId="0" borderId="0" xfId="0" applyFont="1" applyAlignment="1" applyProtection="1">
      <alignment horizontal="left"/>
      <protection hidden="1"/>
    </xf>
    <xf numFmtId="44" fontId="0" fillId="10" borderId="5" xfId="0" applyNumberFormat="1" applyFont="1" applyFill="1" applyBorder="1" applyAlignment="1">
      <alignment horizontal="center"/>
    </xf>
    <xf numFmtId="44" fontId="0" fillId="10" borderId="12" xfId="0" applyNumberFormat="1" applyFont="1" applyFill="1" applyBorder="1" applyAlignment="1">
      <alignment horizontal="center"/>
    </xf>
    <xf numFmtId="0" fontId="17" fillId="6" borderId="14" xfId="0" applyFont="1" applyFill="1" applyBorder="1" applyAlignment="1" applyProtection="1">
      <alignment horizontal="right"/>
      <protection hidden="1"/>
    </xf>
    <xf numFmtId="44" fontId="13" fillId="11" borderId="2" xfId="2" applyFont="1" applyFill="1" applyBorder="1" applyAlignment="1" applyProtection="1">
      <alignment horizontal="center" vertical="center"/>
      <protection hidden="1"/>
    </xf>
    <xf numFmtId="168" fontId="13" fillId="11" borderId="3" xfId="0" applyNumberFormat="1" applyFont="1" applyFill="1" applyBorder="1" applyAlignment="1" applyProtection="1">
      <alignment horizontal="center" vertical="center" wrapText="1"/>
      <protection hidden="1"/>
    </xf>
    <xf numFmtId="0" fontId="13" fillId="11" borderId="3" xfId="0" applyFont="1" applyFill="1" applyBorder="1" applyAlignment="1" applyProtection="1">
      <alignment horizontal="center" vertical="center" wrapText="1"/>
      <protection hidden="1"/>
    </xf>
    <xf numFmtId="0" fontId="13" fillId="11" borderId="4" xfId="0" applyFont="1" applyFill="1" applyBorder="1" applyAlignment="1" applyProtection="1">
      <alignment horizontal="center" vertical="center" wrapText="1"/>
      <protection hidden="1"/>
    </xf>
    <xf numFmtId="164" fontId="4" fillId="2" borderId="0" xfId="0" applyNumberFormat="1" applyFont="1" applyFill="1" applyBorder="1" applyAlignment="1" applyProtection="1">
      <alignment vertical="center"/>
      <protection hidden="1"/>
    </xf>
    <xf numFmtId="166" fontId="7" fillId="0" borderId="0" xfId="3" applyNumberFormat="1" applyFont="1" applyFill="1" applyBorder="1" applyAlignment="1" applyProtection="1">
      <alignment horizontal="center" vertical="center"/>
      <protection locked="0"/>
    </xf>
    <xf numFmtId="0" fontId="0" fillId="0" borderId="0" xfId="0" applyFill="1" applyAlignment="1">
      <alignment horizontal="right"/>
    </xf>
    <xf numFmtId="0" fontId="0" fillId="0" borderId="0" xfId="0" applyFill="1" applyBorder="1" applyAlignment="1">
      <alignment horizontal="right"/>
    </xf>
    <xf numFmtId="164" fontId="0" fillId="2" borderId="0" xfId="0" applyNumberFormat="1" applyFill="1" applyBorder="1" applyAlignment="1" applyProtection="1">
      <alignment vertical="center"/>
      <protection hidden="1"/>
    </xf>
    <xf numFmtId="165" fontId="7" fillId="0" borderId="0" xfId="2" applyNumberFormat="1" applyFont="1" applyFill="1" applyBorder="1" applyAlignment="1" applyProtection="1">
      <alignment horizontal="center"/>
      <protection locked="0"/>
    </xf>
    <xf numFmtId="44" fontId="13" fillId="11" borderId="2" xfId="2" applyFont="1" applyFill="1" applyBorder="1" applyAlignment="1" applyProtection="1">
      <alignment horizontal="center" vertical="center" wrapText="1"/>
      <protection hidden="1"/>
    </xf>
    <xf numFmtId="0" fontId="0" fillId="0" borderId="0" xfId="0" applyNumberFormat="1" applyAlignment="1">
      <alignment horizontal="center" vertical="top"/>
    </xf>
    <xf numFmtId="0" fontId="0" fillId="0" borderId="0" xfId="0" applyNumberFormat="1" applyAlignment="1">
      <alignment horizontal="center"/>
    </xf>
    <xf numFmtId="0" fontId="0" fillId="0" borderId="0" xfId="0" applyNumberFormat="1" applyAlignment="1">
      <alignment horizontal="center" vertical="center"/>
    </xf>
    <xf numFmtId="0" fontId="12" fillId="11" borderId="1" xfId="0" applyFont="1" applyFill="1" applyBorder="1"/>
    <xf numFmtId="0" fontId="0" fillId="0" borderId="0" xfId="0" applyAlignment="1">
      <alignment horizontal="right"/>
    </xf>
    <xf numFmtId="0" fontId="0" fillId="0" borderId="0" xfId="0" applyAlignment="1">
      <alignment horizontal="right"/>
    </xf>
    <xf numFmtId="164" fontId="0" fillId="0" borderId="0" xfId="1" applyNumberFormat="1" applyFont="1" applyAlignment="1">
      <alignment horizontal="left" vertical="center"/>
    </xf>
    <xf numFmtId="0" fontId="5" fillId="0" borderId="0" xfId="0" applyNumberFormat="1" applyFont="1" applyAlignment="1">
      <alignment horizontal="center" vertical="center"/>
    </xf>
    <xf numFmtId="164" fontId="5" fillId="0" borderId="0" xfId="1" applyNumberFormat="1" applyFont="1" applyAlignment="1">
      <alignment horizontal="center" vertical="center"/>
    </xf>
    <xf numFmtId="14" fontId="0" fillId="0" borderId="0" xfId="0" applyNumberFormat="1" applyFill="1"/>
    <xf numFmtId="0" fontId="0" fillId="0" borderId="0" xfId="0" applyAlignment="1">
      <alignment horizontal="right"/>
    </xf>
    <xf numFmtId="44" fontId="7" fillId="4" borderId="0" xfId="2" applyNumberFormat="1" applyFont="1" applyFill="1" applyBorder="1" applyAlignment="1" applyProtection="1">
      <alignment horizontal="center"/>
      <protection locked="0"/>
    </xf>
    <xf numFmtId="166" fontId="7" fillId="8" borderId="0" xfId="2" applyNumberFormat="1" applyFont="1" applyFill="1" applyBorder="1" applyAlignment="1" applyProtection="1">
      <alignment horizontal="center"/>
      <protection locked="0"/>
    </xf>
    <xf numFmtId="164" fontId="3" fillId="0" borderId="0" xfId="1" applyNumberFormat="1" applyFont="1"/>
    <xf numFmtId="14" fontId="20" fillId="0" borderId="0" xfId="0" applyNumberFormat="1" applyFont="1"/>
    <xf numFmtId="14" fontId="20" fillId="0" borderId="0" xfId="0" applyNumberFormat="1" applyFont="1" applyFill="1"/>
    <xf numFmtId="0" fontId="5" fillId="11" borderId="0" xfId="0" applyFont="1" applyFill="1" applyAlignment="1">
      <alignment horizontal="left" vertical="center" wrapText="1"/>
    </xf>
    <xf numFmtId="3" fontId="5" fillId="11" borderId="0" xfId="0" applyNumberFormat="1" applyFont="1" applyFill="1" applyAlignment="1">
      <alignment horizontal="left" vertical="center" wrapText="1"/>
    </xf>
    <xf numFmtId="14" fontId="5" fillId="11" borderId="0" xfId="0" applyNumberFormat="1" applyFont="1" applyFill="1" applyAlignment="1">
      <alignment horizontal="left" vertical="center" wrapText="1"/>
    </xf>
    <xf numFmtId="164" fontId="5" fillId="11" borderId="0" xfId="1" applyNumberFormat="1" applyFont="1" applyFill="1" applyAlignment="1">
      <alignment horizontal="left" vertical="center" wrapText="1"/>
    </xf>
    <xf numFmtId="169" fontId="21" fillId="11" borderId="0" xfId="1" applyNumberFormat="1" applyFont="1" applyFill="1" applyAlignment="1">
      <alignment horizontal="center" vertical="center" wrapText="1"/>
    </xf>
    <xf numFmtId="0" fontId="5" fillId="0" borderId="0" xfId="0" applyNumberFormat="1" applyFont="1" applyFill="1" applyAlignment="1">
      <alignment horizontal="left" wrapText="1"/>
    </xf>
    <xf numFmtId="0" fontId="22" fillId="0" borderId="0" xfId="0" applyNumberFormat="1" applyFont="1" applyFill="1" applyAlignment="1">
      <alignment horizontal="left" wrapText="1"/>
    </xf>
    <xf numFmtId="170" fontId="13" fillId="11" borderId="3" xfId="0" applyNumberFormat="1" applyFont="1" applyFill="1" applyBorder="1" applyAlignment="1" applyProtection="1">
      <alignment horizontal="center" vertical="center" wrapText="1"/>
      <protection hidden="1"/>
    </xf>
    <xf numFmtId="164" fontId="3" fillId="11" borderId="0" xfId="1" applyNumberFormat="1" applyFont="1" applyFill="1" applyAlignment="1">
      <alignment horizontal="left" vertical="center" wrapText="1"/>
    </xf>
    <xf numFmtId="164" fontId="0" fillId="11" borderId="0" xfId="1" applyNumberFormat="1" applyFont="1" applyFill="1" applyAlignment="1">
      <alignment horizontal="left" vertical="center" wrapText="1"/>
    </xf>
    <xf numFmtId="0" fontId="5" fillId="0" borderId="0" xfId="0" applyFont="1" applyFill="1" applyAlignment="1">
      <alignment horizontal="left" wrapText="1"/>
    </xf>
    <xf numFmtId="169" fontId="23" fillId="11" borderId="0" xfId="1" applyNumberFormat="1" applyFont="1" applyFill="1" applyAlignment="1">
      <alignment horizontal="center" vertical="center" wrapText="1"/>
    </xf>
    <xf numFmtId="0" fontId="20" fillId="0" borderId="0" xfId="0" applyFont="1" applyFill="1"/>
    <xf numFmtId="164" fontId="20" fillId="0" borderId="0" xfId="1" applyNumberFormat="1" applyFont="1"/>
    <xf numFmtId="0" fontId="20" fillId="0" borderId="0" xfId="0" applyFont="1"/>
    <xf numFmtId="0" fontId="20" fillId="0" borderId="0" xfId="0" applyNumberFormat="1" applyFont="1" applyAlignment="1">
      <alignment horizontal="center"/>
    </xf>
    <xf numFmtId="0" fontId="5" fillId="11" borderId="0" xfId="0" applyFont="1" applyFill="1" applyAlignment="1">
      <alignment horizontal="center" vertical="center"/>
    </xf>
    <xf numFmtId="164" fontId="5" fillId="11" borderId="0" xfId="1" applyNumberFormat="1" applyFont="1" applyFill="1" applyAlignment="1">
      <alignment horizontal="center" vertical="center" wrapText="1"/>
    </xf>
    <xf numFmtId="164" fontId="0" fillId="11" borderId="0" xfId="1" applyNumberFormat="1" applyFont="1" applyFill="1" applyAlignment="1">
      <alignment horizontal="center" vertical="center" wrapText="1"/>
    </xf>
    <xf numFmtId="14" fontId="5" fillId="0" borderId="0" xfId="0" applyNumberFormat="1" applyFont="1" applyAlignment="1">
      <alignment horizontal="center" vertical="center"/>
    </xf>
    <xf numFmtId="0" fontId="5" fillId="0" borderId="0" xfId="0" applyFont="1" applyFill="1" applyAlignment="1">
      <alignment horizontal="center" wrapText="1"/>
    </xf>
    <xf numFmtId="164" fontId="0" fillId="11" borderId="0" xfId="1" applyNumberFormat="1" applyFont="1" applyFill="1" applyAlignment="1">
      <alignment horizontal="center" wrapText="1"/>
    </xf>
    <xf numFmtId="0" fontId="5" fillId="11" borderId="0" xfId="0" applyFont="1" applyFill="1" applyBorder="1" applyAlignment="1">
      <alignment horizontal="left" vertical="center" wrapText="1"/>
    </xf>
    <xf numFmtId="3" fontId="5" fillId="11" borderId="0" xfId="0" applyNumberFormat="1" applyFont="1" applyFill="1" applyBorder="1" applyAlignment="1">
      <alignment horizontal="left" vertical="center" wrapText="1"/>
    </xf>
    <xf numFmtId="14" fontId="5" fillId="11" borderId="0" xfId="0" applyNumberFormat="1" applyFont="1" applyFill="1" applyBorder="1" applyAlignment="1">
      <alignment horizontal="left" vertical="center" wrapText="1"/>
    </xf>
    <xf numFmtId="164" fontId="5" fillId="11" borderId="0" xfId="1" applyNumberFormat="1" applyFont="1" applyFill="1" applyBorder="1" applyAlignment="1">
      <alignment horizontal="left" vertical="center" wrapText="1"/>
    </xf>
    <xf numFmtId="169" fontId="21" fillId="11" borderId="0" xfId="1" applyNumberFormat="1" applyFont="1" applyFill="1" applyBorder="1" applyAlignment="1">
      <alignment horizontal="center" vertical="center" wrapText="1"/>
    </xf>
    <xf numFmtId="0" fontId="5" fillId="0" borderId="0" xfId="0" applyFont="1" applyFill="1" applyBorder="1" applyAlignment="1">
      <alignment horizontal="center" wrapText="1"/>
    </xf>
    <xf numFmtId="0" fontId="5" fillId="0" borderId="0" xfId="0" applyFont="1" applyFill="1" applyBorder="1" applyAlignment="1">
      <alignment horizontal="left" wrapText="1"/>
    </xf>
    <xf numFmtId="14" fontId="0" fillId="0" borderId="0" xfId="0" applyNumberFormat="1" applyAlignment="1">
      <alignment horizontal="center"/>
    </xf>
    <xf numFmtId="0" fontId="5" fillId="0" borderId="0" xfId="0" applyNumberFormat="1" applyFont="1" applyFill="1" applyBorder="1" applyAlignment="1">
      <alignment horizontal="center" wrapText="1"/>
    </xf>
    <xf numFmtId="0" fontId="22" fillId="0" borderId="0" xfId="0" applyNumberFormat="1" applyFont="1" applyFill="1" applyBorder="1" applyAlignment="1">
      <alignment horizontal="center" wrapText="1"/>
    </xf>
    <xf numFmtId="0" fontId="5" fillId="0" borderId="0" xfId="0" applyFont="1" applyFill="1" applyBorder="1" applyAlignment="1">
      <alignment horizontal="right" wrapText="1"/>
    </xf>
    <xf numFmtId="0" fontId="5" fillId="0" borderId="0" xfId="0" applyFont="1" applyAlignment="1">
      <alignment horizontal="center" wrapText="1"/>
    </xf>
    <xf numFmtId="0" fontId="5" fillId="0" borderId="0" xfId="0" applyFont="1" applyFill="1" applyAlignment="1">
      <alignment wrapText="1"/>
    </xf>
    <xf numFmtId="3" fontId="3" fillId="0" borderId="0" xfId="0" applyNumberFormat="1" applyFont="1" applyFill="1"/>
    <xf numFmtId="3" fontId="0" fillId="0" borderId="0" xfId="0" applyNumberFormat="1" applyFill="1"/>
    <xf numFmtId="0" fontId="3" fillId="0" borderId="0" xfId="0" applyNumberFormat="1" applyFont="1" applyAlignment="1">
      <alignment horizontal="center"/>
    </xf>
    <xf numFmtId="14" fontId="3" fillId="0" borderId="0" xfId="0" applyNumberFormat="1" applyFont="1" applyFill="1"/>
    <xf numFmtId="0" fontId="3" fillId="0" borderId="0" xfId="0" applyFont="1" applyFill="1"/>
    <xf numFmtId="0" fontId="3" fillId="0" borderId="0" xfId="0" applyFont="1" applyAlignment="1">
      <alignment horizontal="center"/>
    </xf>
    <xf numFmtId="0" fontId="0" fillId="0" borderId="0" xfId="0" applyAlignment="1">
      <alignment horizontal="right"/>
    </xf>
    <xf numFmtId="164" fontId="0" fillId="0" borderId="0" xfId="0" applyNumberFormat="1" applyAlignment="1">
      <alignment horizontal="right" vertical="center"/>
    </xf>
    <xf numFmtId="164" fontId="0" fillId="0" borderId="0" xfId="1" applyNumberFormat="1" applyFont="1" applyAlignment="1">
      <alignment horizontal="right" vertical="center"/>
    </xf>
    <xf numFmtId="164" fontId="0" fillId="0" borderId="0" xfId="1" applyNumberFormat="1" applyFont="1" applyFill="1"/>
    <xf numFmtId="3" fontId="0" fillId="0" borderId="0" xfId="1" applyNumberFormat="1" applyFont="1" applyFill="1"/>
    <xf numFmtId="0" fontId="24" fillId="0" borderId="0" xfId="0" applyFont="1"/>
    <xf numFmtId="0" fontId="24" fillId="0" borderId="0" xfId="0" applyFont="1" applyAlignment="1">
      <alignment horizontal="center"/>
    </xf>
    <xf numFmtId="14" fontId="24" fillId="0" borderId="0" xfId="0" applyNumberFormat="1" applyFont="1" applyFill="1"/>
    <xf numFmtId="164" fontId="24" fillId="0" borderId="0" xfId="1" applyNumberFormat="1" applyFont="1"/>
    <xf numFmtId="44" fontId="0" fillId="3" borderId="5" xfId="2" applyFont="1" applyFill="1" applyBorder="1" applyAlignment="1">
      <alignment horizontal="center"/>
    </xf>
    <xf numFmtId="44" fontId="4" fillId="3" borderId="10" xfId="2" applyFont="1" applyFill="1" applyBorder="1"/>
    <xf numFmtId="44" fontId="0" fillId="0" borderId="5" xfId="2" applyFont="1" applyFill="1" applyBorder="1" applyAlignment="1">
      <alignment horizontal="center"/>
    </xf>
    <xf numFmtId="44" fontId="4" fillId="0" borderId="10" xfId="2" applyFont="1" applyFill="1" applyBorder="1"/>
    <xf numFmtId="0" fontId="14" fillId="0" borderId="9" xfId="0" applyFont="1" applyFill="1" applyBorder="1" applyAlignment="1"/>
    <xf numFmtId="0" fontId="14" fillId="0" borderId="5" xfId="0" applyFont="1" applyFill="1" applyBorder="1" applyAlignment="1"/>
    <xf numFmtId="0" fontId="3" fillId="0" borderId="5" xfId="0" applyFont="1" applyFill="1" applyBorder="1" applyAlignment="1">
      <alignment horizontal="right"/>
    </xf>
    <xf numFmtId="0" fontId="3" fillId="3" borderId="11" xfId="0" applyFont="1" applyFill="1" applyBorder="1" applyAlignment="1"/>
    <xf numFmtId="0" fontId="3" fillId="3" borderId="12" xfId="0" applyFont="1" applyFill="1" applyBorder="1" applyAlignment="1"/>
    <xf numFmtId="0" fontId="3" fillId="3" borderId="12" xfId="0" applyFont="1" applyFill="1" applyBorder="1" applyAlignment="1">
      <alignment horizontal="right"/>
    </xf>
    <xf numFmtId="44" fontId="4" fillId="3" borderId="13" xfId="2" applyNumberFormat="1" applyFont="1" applyFill="1" applyBorder="1"/>
    <xf numFmtId="0" fontId="0" fillId="12" borderId="0" xfId="0" applyFill="1"/>
    <xf numFmtId="164" fontId="0" fillId="12" borderId="0" xfId="1" applyNumberFormat="1" applyFont="1" applyFill="1"/>
    <xf numFmtId="0" fontId="5" fillId="4" borderId="1" xfId="0" applyNumberFormat="1" applyFont="1" applyFill="1" applyBorder="1" applyAlignment="1">
      <alignment horizontal="center" vertical="center"/>
    </xf>
    <xf numFmtId="0" fontId="5" fillId="4" borderId="1" xfId="0" applyNumberFormat="1" applyFont="1" applyFill="1" applyBorder="1" applyAlignment="1">
      <alignment horizontal="center"/>
    </xf>
    <xf numFmtId="0" fontId="0" fillId="0" borderId="0" xfId="0" applyAlignment="1">
      <alignment horizontal="right"/>
    </xf>
    <xf numFmtId="0" fontId="0" fillId="0" borderId="0" xfId="0" applyAlignment="1">
      <alignment horizontal="right"/>
    </xf>
    <xf numFmtId="0" fontId="4" fillId="0" borderId="0" xfId="0" applyFont="1" applyBorder="1" applyAlignment="1">
      <alignment horizontal="center"/>
    </xf>
    <xf numFmtId="44" fontId="7" fillId="7" borderId="0" xfId="2" applyNumberFormat="1" applyFont="1" applyFill="1" applyBorder="1" applyAlignment="1" applyProtection="1">
      <alignment horizontal="center"/>
      <protection locked="0"/>
    </xf>
    <xf numFmtId="169" fontId="16" fillId="0" borderId="1" xfId="1" applyNumberFormat="1" applyFont="1" applyFill="1" applyBorder="1" applyAlignment="1">
      <alignment horizontal="center" vertical="center" wrapText="1"/>
    </xf>
    <xf numFmtId="44" fontId="13" fillId="0" borderId="0" xfId="2" applyFont="1" applyFill="1" applyBorder="1" applyAlignment="1" applyProtection="1">
      <alignment horizontal="center" vertical="center"/>
      <protection hidden="1"/>
    </xf>
    <xf numFmtId="0" fontId="13" fillId="0" borderId="0" xfId="0" applyFont="1" applyFill="1" applyBorder="1" applyAlignment="1" applyProtection="1">
      <alignment horizontal="center" vertical="center" wrapText="1"/>
      <protection hidden="1"/>
    </xf>
    <xf numFmtId="169" fontId="16" fillId="0" borderId="1" xfId="1" applyNumberFormat="1" applyFont="1" applyFill="1" applyBorder="1" applyAlignment="1">
      <alignment horizontal="center" wrapText="1"/>
    </xf>
    <xf numFmtId="169" fontId="16" fillId="6" borderId="7" xfId="1" applyNumberFormat="1" applyFont="1" applyFill="1" applyBorder="1" applyAlignment="1">
      <alignment horizontal="center" wrapText="1"/>
    </xf>
    <xf numFmtId="0" fontId="0" fillId="0" borderId="0" xfId="0" applyAlignment="1">
      <alignment horizontal="right"/>
    </xf>
    <xf numFmtId="0" fontId="16" fillId="5" borderId="7" xfId="0" applyFont="1" applyFill="1" applyBorder="1" applyAlignment="1">
      <alignment horizontal="right"/>
    </xf>
    <xf numFmtId="0" fontId="0" fillId="6" borderId="7" xfId="0" applyFill="1" applyBorder="1" applyAlignment="1">
      <alignment horizontal="right"/>
    </xf>
    <xf numFmtId="44" fontId="9" fillId="9" borderId="1" xfId="2" applyFont="1" applyFill="1" applyBorder="1" applyAlignment="1" applyProtection="1">
      <alignment horizontal="center" vertical="center" wrapText="1"/>
      <protection locked="0"/>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right"/>
    </xf>
    <xf numFmtId="44" fontId="17" fillId="6" borderId="15" xfId="2" applyFont="1" applyFill="1" applyBorder="1" applyAlignment="1" applyProtection="1">
      <alignment horizontal="center" vertical="center"/>
      <protection hidden="1"/>
    </xf>
    <xf numFmtId="44" fontId="17" fillId="6" borderId="16" xfId="2" applyFont="1" applyFill="1" applyBorder="1" applyAlignment="1" applyProtection="1">
      <alignment horizontal="center" vertical="center"/>
      <protection hidden="1"/>
    </xf>
    <xf numFmtId="44" fontId="7" fillId="8" borderId="1" xfId="2" applyNumberFormat="1" applyFont="1" applyFill="1" applyBorder="1" applyAlignment="1" applyProtection="1">
      <alignment horizontal="center"/>
      <protection locked="0"/>
    </xf>
    <xf numFmtId="44" fontId="7" fillId="13" borderId="1" xfId="2" applyNumberFormat="1" applyFont="1" applyFill="1" applyBorder="1" applyAlignment="1" applyProtection="1">
      <alignment horizontal="center"/>
      <protection locked="0"/>
    </xf>
  </cellXfs>
  <cellStyles count="4">
    <cellStyle name="Komma" xfId="1" builtinId="3"/>
    <cellStyle name="Procent" xfId="3" builtinId="5"/>
    <cellStyle name="Standaard" xfId="0" builtinId="0"/>
    <cellStyle name="Valuta" xfId="2" builtinId="4"/>
  </cellStyles>
  <dxfs count="172">
    <dxf>
      <font>
        <b/>
        <i val="0"/>
        <color rgb="FFFF0000"/>
      </font>
    </dxf>
    <dxf>
      <font>
        <b/>
        <i val="0"/>
        <color rgb="FFFF0000"/>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164" formatCode="_ * #,##0_ ;_ * \-#,##0_ ;_ * &quot;-&quot;??_ ;_ @_ "/>
    </dxf>
    <dxf>
      <numFmt numFmtId="3" formatCode="#,##0"/>
    </dxf>
    <dxf>
      <numFmt numFmtId="164" formatCode="_ * #,##0_ ;_ * \-#,##0_ ;_ * &quot;-&quot;??_ ;_ @_ "/>
    </dxf>
    <dxf>
      <numFmt numFmtId="19" formatCode="d/m/yyyy"/>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top" textRotation="0" wrapText="0" indent="0" justifyLastLine="0" shrinkToFit="0" readingOrder="0"/>
    </dxf>
    <dxf>
      <numFmt numFmtId="0" formatCode="General"/>
      <alignment horizontal="center" vertical="bottom" textRotation="0" wrapText="0" indent="0" justifyLastLine="0" shrinkToFit="0" readingOrder="0"/>
    </dxf>
    <dxf>
      <numFmt numFmtId="3" formatCode="#,##0"/>
    </dxf>
    <dxf>
      <border outline="0">
        <top style="thin">
          <color rgb="FF46C2FF"/>
        </top>
      </border>
    </dxf>
    <dxf>
      <border outline="0">
        <bottom style="thin">
          <color rgb="FF46C2FF"/>
        </bottom>
      </border>
    </dxf>
    <dxf>
      <font>
        <b val="0"/>
        <i val="0"/>
        <strike val="0"/>
        <condense val="0"/>
        <extend val="0"/>
        <outline val="0"/>
        <shadow val="0"/>
        <u val="none"/>
        <vertAlign val="baseline"/>
        <sz val="10"/>
        <color theme="1"/>
        <name val="Calibri Light"/>
        <family val="2"/>
        <scheme val="none"/>
      </font>
      <fill>
        <patternFill patternType="none">
          <fgColor indexed="64"/>
          <bgColor indexed="65"/>
        </patternFill>
      </fill>
      <alignment horizontal="center" vertical="bottom" textRotation="0" wrapText="1" indent="0" justifyLastLine="0" shrinkToFit="0" readingOrder="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3" formatCode="#,##0"/>
    </dxf>
    <dxf>
      <numFmt numFmtId="3" formatCode="#,##0"/>
    </dxf>
    <dxf>
      <numFmt numFmtId="3" formatCode="#,##0"/>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9" formatCode="d/m/yyyy"/>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top" textRotation="0" wrapText="0" indent="0" justifyLastLine="0" shrinkToFit="0" readingOrder="0"/>
    </dxf>
    <dxf>
      <numFmt numFmtId="0" formatCode="General"/>
      <alignment horizontal="center" vertical="bottom" textRotation="0" wrapText="0" indent="0" justifyLastLine="0" shrinkToFit="0" readingOrder="0"/>
    </dxf>
    <dxf>
      <numFmt numFmtId="3" formatCode="#,##0"/>
    </dxf>
    <dxf>
      <border outline="0">
        <top style="thin">
          <color theme="4" tint="0.39997558519241921"/>
        </top>
      </border>
    </dxf>
    <dxf>
      <border outline="0">
        <bottom style="thin">
          <color theme="4" tint="0.39997558519241921"/>
        </bottom>
      </border>
    </dxf>
    <dxf>
      <font>
        <b val="0"/>
        <i val="0"/>
        <strike val="0"/>
        <condense val="0"/>
        <extend val="0"/>
        <outline val="0"/>
        <shadow val="0"/>
        <u val="none"/>
        <vertAlign val="baseline"/>
        <sz val="10"/>
        <color theme="1"/>
        <name val="Calibri Light"/>
        <family val="2"/>
        <scheme val="none"/>
      </font>
      <fill>
        <patternFill patternType="none">
          <fgColor indexed="64"/>
          <bgColor indexed="65"/>
        </patternFill>
      </fill>
      <alignment horizontal="center" vertical="bottom" textRotation="0" wrapText="1" indent="0" justifyLastLine="0" shrinkToFit="0" readingOrder="0"/>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font>
        <strike val="0"/>
        <outline val="0"/>
        <shadow val="0"/>
        <u val="none"/>
        <vertAlign val="baseline"/>
        <sz val="11"/>
        <color auto="1"/>
        <name val="Calibri Light"/>
        <family val="2"/>
        <scheme val="none"/>
      </font>
      <numFmt numFmtId="164" formatCode="_ * #,##0_ ;_ * \-#,##0_ ;_ * &quot;-&quot;??_ ;_ @_ "/>
    </dxf>
    <dxf>
      <numFmt numFmtId="164" formatCode="_ * #,##0_ ;_ * \-#,##0_ ;_ * &quot;-&quot;??_ ;_ @_ "/>
    </dxf>
    <dxf>
      <font>
        <strike val="0"/>
        <outline val="0"/>
        <shadow val="0"/>
        <u val="none"/>
        <vertAlign val="baseline"/>
        <sz val="11"/>
        <color auto="1"/>
        <name val="Calibri Light"/>
        <family val="2"/>
        <scheme val="none"/>
      </font>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dxf>
    <dxf>
      <fill>
        <patternFill patternType="none">
          <fgColor indexed="64"/>
          <bgColor auto="1"/>
        </patternFill>
      </fill>
    </dxf>
    <dxf>
      <font>
        <b val="0"/>
        <i val="0"/>
        <strike val="0"/>
        <condense val="0"/>
        <extend val="0"/>
        <outline val="0"/>
        <shadow val="0"/>
        <u val="none"/>
        <vertAlign val="baseline"/>
        <sz val="10"/>
        <color theme="1"/>
        <name val="Calibri Light"/>
        <family val="2"/>
        <scheme val="none"/>
      </font>
      <fill>
        <patternFill patternType="none">
          <fgColor indexed="64"/>
          <bgColor indexed="65"/>
        </patternFill>
      </fill>
      <alignment horizontal="left" vertical="center" textRotation="0" wrapText="1" indent="0" justifyLastLine="0" shrinkToFit="0" readingOrder="0"/>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font>
        <b val="0"/>
        <i val="0"/>
        <strike val="0"/>
        <condense val="0"/>
        <extend val="0"/>
        <outline val="0"/>
        <shadow val="0"/>
        <u val="none"/>
        <vertAlign val="baseline"/>
        <sz val="11"/>
        <color theme="1"/>
        <name val="Calibri Light"/>
        <family val="2"/>
        <scheme val="none"/>
      </font>
      <numFmt numFmtId="164" formatCode="_ * #,##0_ ;_ * \-#,##0_ ;_ * &quot;-&quot;??_ ;_ @_ "/>
    </dxf>
    <dxf>
      <numFmt numFmtId="164" formatCode="_ * #,##0_ ;_ * \-#,##0_ ;_ * &quot;-&quot;??_ ;_ @_ "/>
    </dxf>
    <dxf>
      <numFmt numFmtId="164" formatCode="_ * #,##0_ ;_ * \-#,##0_ ;_ * &quot;-&quot;??_ ;_ @_ "/>
    </dxf>
    <dxf>
      <numFmt numFmtId="3" formatCode="#,##0"/>
    </dxf>
    <dxf>
      <numFmt numFmtId="164" formatCode="_ * #,##0_ ;_ * \-#,##0_ ;_ * &quot;-&quot;??_ ;_ @_ "/>
    </dxf>
    <dxf>
      <numFmt numFmtId="3" formatCode="#,##0"/>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64" formatCode="_ * #,##0_ ;_ * \-#,##0_ ;_ * &quot;-&quot;??_ ;_ @_ "/>
    </dxf>
    <dxf>
      <numFmt numFmtId="19" formatCode="d/m/yyyy"/>
      <fill>
        <patternFill patternType="solid">
          <fgColor indexed="64"/>
          <bgColor rgb="FFFFFF00"/>
        </patternFill>
      </fill>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numFmt numFmtId="3" formatCode="#,##0"/>
    </dxf>
    <dxf>
      <font>
        <b val="0"/>
        <i val="0"/>
        <strike val="0"/>
        <condense val="0"/>
        <extend val="0"/>
        <outline val="0"/>
        <shadow val="0"/>
        <u val="none"/>
        <vertAlign val="baseline"/>
        <sz val="10"/>
        <color theme="1"/>
        <name val="Calibri Light"/>
        <family val="2"/>
        <scheme val="none"/>
      </font>
      <fill>
        <patternFill patternType="none">
          <fgColor indexed="64"/>
          <bgColor indexed="65"/>
        </patternFill>
      </fill>
      <alignment horizontal="left" vertical="center" textRotation="0" wrapText="1"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wrapText="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center" textRotation="0" indent="0" justifyLastLine="0" shrinkToFit="0" readingOrder="0"/>
    </dxf>
    <dxf>
      <numFmt numFmtId="164" formatCode="_ * #,##0_ ;_ * \-#,##0_ ;_ * &quot;-&quot;??_ ;_ @_ "/>
      <alignment horizontal="right"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alignment horizontal="center" vertical="bottom" textRotation="0" indent="0" justifyLastLine="0" shrinkToFit="0" readingOrder="0"/>
    </dxf>
    <dxf>
      <numFmt numFmtId="164" formatCode="_ * #,##0_ ;_ * \-#,##0_ ;_ * &quot;-&quot;??_ ;_ @_ "/>
      <alignment horizontal="right" vertical="center" textRotation="0" wrapText="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right" vertical="center" textRotation="0" wrapText="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right" vertical="center" textRotation="0" wrapText="0" indent="0" justifyLastLine="0" shrinkToFit="0" readingOrder="0"/>
    </dxf>
    <dxf>
      <numFmt numFmtId="164" formatCode="_ * #,##0_ ;_ * \-#,##0_ ;_ * &quot;-&quot;??_ ;_ @_ "/>
      <alignment horizontal="center" vertical="center" textRotation="0" indent="0" justifyLastLine="0" shrinkToFit="0" readingOrder="0"/>
    </dxf>
    <dxf>
      <numFmt numFmtId="164" formatCode="_ * #,##0_ ;_ * \-#,##0_ ;_ * &quot;-&quot;??_ ;_ @_ "/>
      <alignment horizontal="right" vertical="center" textRotation="0" wrapText="0" indent="0" justifyLastLine="0" shrinkToFit="0" readingOrder="0"/>
    </dxf>
    <dxf>
      <numFmt numFmtId="164" formatCode="_ * #,##0_ ;_ * \-#,##0_ ;_ * &quot;-&quot;??_ ;_ @_ "/>
      <alignment horizontal="center" vertical="center" textRotation="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0"/>
        <color theme="1"/>
        <name val="Calibri Light"/>
        <family val="2"/>
        <scheme val="none"/>
      </font>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Light"/>
        <family val="2"/>
        <scheme val="none"/>
      </font>
      <numFmt numFmtId="164" formatCode="_ * #,##0_ ;_ * \-#,##0_ ;_ * &quot;-&quot;??_ ;_ @_ "/>
    </dxf>
    <dxf>
      <font>
        <strike val="0"/>
        <outline val="0"/>
        <shadow val="0"/>
        <u val="none"/>
        <vertAlign val="baseline"/>
        <sz val="10"/>
        <color theme="1"/>
      </font>
      <fill>
        <patternFill patternType="none">
          <fgColor indexed="64"/>
          <bgColor auto="1"/>
        </patternFill>
      </fill>
      <alignment horizontal="left" vertical="center" textRotation="0" wrapText="1" indent="0" justifyLastLine="0" shrinkToFit="0" readingOrder="0"/>
    </dxf>
  </dxfs>
  <tableStyles count="0" defaultTableStyle="TableStyleMedium2" defaultPivotStyle="PivotStyleLight16"/>
  <colors>
    <mruColors>
      <color rgb="FFFFEFFF"/>
      <color rgb="FFFFCCFF"/>
      <color rgb="FF00FF99"/>
      <color rgb="FFCE1884"/>
      <color rgb="FFCDFFEB"/>
      <color rgb="FFCDFFEC"/>
      <color rgb="FFA7FFDB"/>
      <color rgb="FFEFF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314325</xdr:colOff>
      <xdr:row>9</xdr:row>
      <xdr:rowOff>2608602</xdr:rowOff>
    </xdr:from>
    <xdr:to>
      <xdr:col>1</xdr:col>
      <xdr:colOff>7153275</xdr:colOff>
      <xdr:row>10</xdr:row>
      <xdr:rowOff>608987</xdr:rowOff>
    </xdr:to>
    <xdr:pic>
      <xdr:nvPicPr>
        <xdr:cNvPr id="2" name="Afbeelding 1">
          <a:extLst>
            <a:ext uri="{FF2B5EF4-FFF2-40B4-BE49-F238E27FC236}">
              <a16:creationId xmlns:a16="http://schemas.microsoft.com/office/drawing/2014/main" id="{CB4CB11A-B3A9-4535-8FE4-500E1E51772F}"/>
            </a:ext>
          </a:extLst>
        </xdr:cNvPr>
        <xdr:cNvPicPr>
          <a:picLocks noChangeAspect="1"/>
        </xdr:cNvPicPr>
      </xdr:nvPicPr>
      <xdr:blipFill>
        <a:blip xmlns:r="http://schemas.openxmlformats.org/officeDocument/2006/relationships" r:embed="rId1"/>
        <a:stretch>
          <a:fillRect/>
        </a:stretch>
      </xdr:blipFill>
      <xdr:spPr>
        <a:xfrm>
          <a:off x="2438400" y="7847352"/>
          <a:ext cx="6838950" cy="320103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1436158</xdr:colOff>
      <xdr:row>11</xdr:row>
      <xdr:rowOff>116417</xdr:rowOff>
    </xdr:from>
    <xdr:to>
      <xdr:col>13</xdr:col>
      <xdr:colOff>1153583</xdr:colOff>
      <xdr:row>26</xdr:row>
      <xdr:rowOff>169334</xdr:rowOff>
    </xdr:to>
    <xdr:sp macro="" textlink="">
      <xdr:nvSpPr>
        <xdr:cNvPr id="2" name="Tekstvak 1">
          <a:extLst>
            <a:ext uri="{FF2B5EF4-FFF2-40B4-BE49-F238E27FC236}">
              <a16:creationId xmlns:a16="http://schemas.microsoft.com/office/drawing/2014/main" id="{B91E3015-A96B-4C2F-A593-E686A29E4324}"/>
            </a:ext>
          </a:extLst>
        </xdr:cNvPr>
        <xdr:cNvSpPr txBox="1"/>
      </xdr:nvSpPr>
      <xdr:spPr>
        <a:xfrm>
          <a:off x="16390408" y="2254250"/>
          <a:ext cx="4098925" cy="27516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400"/>
        </a:p>
        <a:p>
          <a:r>
            <a:rPr lang="nl-NL" sz="1400"/>
            <a:t>Ten tijde van het schrijven van dit prijzenblad is geen</a:t>
          </a:r>
          <a:r>
            <a:rPr lang="nl-NL" sz="1400" baseline="0"/>
            <a:t> detailinformatie voorhanden om per machine het verbruik per maand/jaar aan te geven. In plaats daarvan is een opgave gedaan van het huidige totale </a:t>
          </a:r>
          <a:r>
            <a:rPr lang="nl-NL" sz="1400" b="0" u="sng" baseline="0"/>
            <a:t>contractvolume</a:t>
          </a:r>
          <a:r>
            <a:rPr lang="nl-NL" sz="1400" baseline="0"/>
            <a:t> per jaar per model:</a:t>
          </a:r>
        </a:p>
        <a:p>
          <a:endParaRPr lang="nl-NL" sz="1400" baseline="0"/>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	</a:t>
          </a:r>
          <a:r>
            <a:rPr lang="nl-NL" sz="1400" b="1" u="sng" baseline="0">
              <a:solidFill>
                <a:schemeClr val="dk1"/>
              </a:solidFill>
              <a:effectLst/>
              <a:latin typeface="+mn-lt"/>
              <a:ea typeface="+mn-ea"/>
              <a:cs typeface="+mn-cs"/>
            </a:rPr>
            <a:t>zwart/wit p/j: 	 kleur p/j:</a:t>
          </a:r>
          <a:endParaRPr lang="nl-NL" sz="1400" b="1" u="sng">
            <a:effectLst/>
          </a:endParaRPr>
        </a:p>
        <a:p>
          <a:r>
            <a:rPr lang="nl-NL" sz="1400" b="1" i="1" baseline="0"/>
            <a:t>Model 1 </a:t>
          </a:r>
          <a:r>
            <a:rPr lang="nl-NL" sz="1400" baseline="0"/>
            <a:t>	    </a:t>
          </a:r>
          <a:r>
            <a:rPr lang="nl-NL" sz="1400" baseline="0">
              <a:solidFill>
                <a:schemeClr val="dk1"/>
              </a:solidFill>
              <a:effectLst/>
              <a:latin typeface="+mn-lt"/>
              <a:ea typeface="+mn-ea"/>
              <a:cs typeface="+mn-cs"/>
            </a:rPr>
            <a:t>741.528		1.127.520</a:t>
          </a:r>
        </a:p>
        <a:p>
          <a:r>
            <a:rPr lang="nl-NL" sz="1400" b="1" i="1" baseline="0">
              <a:solidFill>
                <a:schemeClr val="dk1"/>
              </a:solidFill>
              <a:effectLst/>
              <a:latin typeface="+mn-lt"/>
              <a:ea typeface="+mn-ea"/>
              <a:cs typeface="+mn-cs"/>
            </a:rPr>
            <a:t>Model 2</a:t>
          </a:r>
          <a:r>
            <a:rPr lang="nl-NL" sz="1400" baseline="0">
              <a:solidFill>
                <a:schemeClr val="dk1"/>
              </a:solidFill>
              <a:effectLst/>
              <a:latin typeface="+mn-lt"/>
              <a:ea typeface="+mn-ea"/>
              <a:cs typeface="+mn-cs"/>
            </a:rPr>
            <a:t>	    365.412		   542.196</a:t>
          </a:r>
        </a:p>
        <a:p>
          <a:r>
            <a:rPr lang="nl-NL" sz="1400" b="1" i="1" baseline="0">
              <a:solidFill>
                <a:schemeClr val="dk1"/>
              </a:solidFill>
              <a:effectLst/>
              <a:latin typeface="+mn-lt"/>
              <a:ea typeface="+mn-ea"/>
              <a:cs typeface="+mn-cs"/>
            </a:rPr>
            <a:t>Model 3</a:t>
          </a:r>
          <a:r>
            <a:rPr lang="nl-NL" sz="1400" baseline="0">
              <a:solidFill>
                <a:schemeClr val="dk1"/>
              </a:solidFill>
              <a:effectLst/>
              <a:latin typeface="+mn-lt"/>
              <a:ea typeface="+mn-ea"/>
              <a:cs typeface="+mn-cs"/>
            </a:rPr>
            <a:t>	    117.504		    geen</a:t>
          </a:r>
          <a:endParaRPr lang="nl-NL" sz="1400" baseline="0"/>
        </a:p>
        <a:p>
          <a:endParaRPr lang="nl-NL"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501831-FC0E-48D9-979B-EBA9A87B5908}" name="SOTOG" displayName="SOTOG" ref="A2:Y38" totalsRowCount="1" headerRowDxfId="171">
  <autoFilter ref="A2:Y37" xr:uid="{CADFCF0A-E35B-45F3-B540-F38A4A7BEF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0C39DC90-4A28-49A7-8A7C-63721AC2C602}" name="BRIN" totalsRowLabel="Totaal"/>
    <tableColumn id="2" xr3:uid="{187D964B-CE85-470E-928F-C5A48DFE4C40}" name="Naam school" dataDxfId="170" dataCellStyle="Komma"/>
    <tableColumn id="3" xr3:uid="{ACBDCDE2-B427-4672-AD6B-BA3973BFCBA2}" name="Adres"/>
    <tableColumn id="4" xr3:uid="{6CA03EAC-7875-4A3F-BB6F-E25D4E793A20}" name="PC"/>
    <tableColumn id="5" xr3:uid="{DA3E7444-5F60-4F02-82DE-934A5CBC2D96}" name="Plaats"/>
    <tableColumn id="6" xr3:uid="{625FF3B3-5EA3-4758-9668-4F079A0F2C14}" name="Telefoon"/>
    <tableColumn id="10" xr3:uid="{04727A6C-FCA0-438E-AF4E-2ACAADBF3B6A}" name="Model 1_x000a_(eis M1 t/m M27)" totalsRowFunction="sum" dataDxfId="169" totalsRowDxfId="168">
      <calculatedColumnFormula>IF(SOTOG[[#This Row],[Zw/w p/j]]=0,"",IF((SOTOG[[#This Row],[Zw/w p/j]]+SOTOG[[#This Row],[Kleur p/j]])&lt;SOTOG!$I$1,"",IF((SOTOG[[#This Row],[Zw/w p/j]]+SOTOG[[#This Row],[Kleur p/j]])&lt;SOTOG!$H$1,1,IF((SOTOG[[#This Row],[Zw/w p/j]]+SOTOG[[#This Row],[Kleur p/j]])&gt;SOTOG!$G$1,2,""))))</calculatedColumnFormula>
    </tableColumn>
    <tableColumn id="14" xr3:uid="{BECC558B-3A02-4B2C-9F26-125C30EA087A}" name="Model 2_x000a_(eis M1 t/m M27)" totalsRowFunction="sum" dataDxfId="167" totalsRowDxfId="166"/>
    <tableColumn id="19" xr3:uid="{133C9376-D149-4869-A1B2-92D8A9751001}" name="Model 3_x000a_(eis M1 t/m M27)" totalsRowFunction="sum" dataDxfId="165" totalsRowDxfId="164">
      <calculatedColumnFormula>IF(AND((SOTOG[[#This Row],[Zw/w p/j]]+SOTOG[[#This Row],[Kleur p/j]])&lt;$I$1,(SOTOG[[#This Row],[Zw/w p/j]]+SOTOG[[#This Row],[Kleur p/j]])&gt;0),1,"")</calculatedColumnFormula>
    </tableColumn>
    <tableColumn id="11" xr3:uid="{A7A382A9-D7D8-4B7F-9C82-4B7CE941AB69}" name="Datum in gebruikname" dataDxfId="163" totalsRowDxfId="162"/>
    <tableColumn id="8" xr3:uid="{0340CAB5-FB04-4E6C-9414-97DF5857A5DE}" name="Zw/w p/j" totalsRowLabel=" 1.224.444 " dataDxfId="161" totalsRowDxfId="160" dataCellStyle="Komma"/>
    <tableColumn id="7" xr3:uid="{E1CFDB08-1088-4470-8F44-BF837186B8DE}" name="Kleur p/j" totalsRowLabel=" 1.669.716 " dataDxfId="159" totalsRowDxfId="158" dataCellStyle="Komma"/>
    <tableColumn id="12" xr3:uid="{9216B3BD-27C0-49CC-91CF-7D28552ED699}" name="Zw/w p/m" totalsRowLabel=" 102.037 " dataDxfId="157" totalsRowDxfId="156" dataCellStyle="Komma"/>
    <tableColumn id="13" xr3:uid="{D4A116E2-14C4-4703-B53D-5E4E3F2DFAC8}" name="kleur p/m" totalsRowLabel=" 139.143 " dataDxfId="155" totalsRowDxfId="154" dataCellStyle="Komma"/>
    <tableColumn id="9" xr3:uid="{C0CBDF7B-46B3-437F-A22F-DFAEF488CA67}" name="Aantal maanden" totalsRowLabel=" 1.632 " dataDxfId="153" totalsRowDxfId="152" dataCellStyle="Komma">
      <calculatedColumnFormula>INT(_xlfn.DAYS($P$1,SOTOG[[#This Row],[Datum in gebruikname]])/30.41)</calculatedColumnFormula>
    </tableColumn>
    <tableColumn id="15" xr3:uid="{824BA721-DD73-4063-B594-2FFB51E088EF}" name="# zw/w afdrukken M1" totalsRowFunction="custom" dataDxfId="151" totalsRowDxfId="150" dataCellStyle="Komma">
      <calculatedColumnFormula>IF(SOTOG[[#This Row],[Model 1
(eis M1 t/m M27)]]="","",SOTOG[[#This Row],[Zw/w p/m]]*SOTOG[[#This Row],[Aantal maanden]])</calculatedColumnFormula>
      <totalsRowFormula>SUBTOTAL(109,SOTOG['# zw/w afdrukken M1])-P3</totalsRowFormula>
    </tableColumn>
    <tableColumn id="16" xr3:uid="{CADE8F89-1940-4F71-9C42-BCC1A769E490}" name="# kleur afdrukken M1" totalsRowFunction="custom" dataDxfId="149" totalsRowDxfId="148" dataCellStyle="Komma">
      <calculatedColumnFormula>IF(SOTOG[[#This Row],[Model 1
(eis M1 t/m M27)]]="","",SOTOG[[#This Row],[kleur p/m]]*SOTOG[[#This Row],[Aantal maanden]])</calculatedColumnFormula>
      <totalsRowFormula>SUBTOTAL(109,SOTOG['# kleur afdrukken M1])-Q3</totalsRowFormula>
    </tableColumn>
    <tableColumn id="17" xr3:uid="{7C0AE6C0-2647-4491-8709-73C5D3CE0F47}" name="# zw/w afdrukken M2" totalsRowLabel=" -   " dataDxfId="147" totalsRowDxfId="146" dataCellStyle="Komma">
      <calculatedColumnFormula>IF(SOTOG[[#This Row],[Model 2
(eis M1 t/m M27)]]="","",SOTOG[[#This Row],[Zw/w p/m]]*SOTOG[[#This Row],[Aantal maanden]])</calculatedColumnFormula>
    </tableColumn>
    <tableColumn id="18" xr3:uid="{2ADEA285-604B-40A5-A99C-2A8E0E7C5A54}" name="# kleur afdrukken M2" totalsRowLabel=" -   " dataDxfId="145" totalsRowDxfId="144" dataCellStyle="Komma">
      <calculatedColumnFormula>IF(SOTOG[[#This Row],[Model 2
(eis M1 t/m M27)]]="","",SOTOG[[#This Row],[kleur p/m]]*SOTOG[[#This Row],[Aantal maanden]])</calculatedColumnFormula>
    </tableColumn>
    <tableColumn id="20" xr3:uid="{7B6196F4-64CA-4A4D-BD14-27D7946E24E7}" name="# zw/w afdrukken M3" totalsRowLabel=" -   " dataDxfId="143" totalsRowDxfId="142" dataCellStyle="Komma"/>
    <tableColumn id="21" xr3:uid="{6EF3A3D9-43E8-4657-876C-976FB83E02FD}" name="Aantal zw/w afdrukken per optiejaar M1" totalsRowFunction="sum" dataDxfId="141" totalsRowDxfId="140" dataCellStyle="Komma">
      <calculatedColumnFormula>IF(SOTOG[[#This Row],[Model 1
(eis M1 t/m M27)]]="","",SOTOG[[#This Row],[Zw/w p/j]])</calculatedColumnFormula>
    </tableColumn>
    <tableColumn id="22" xr3:uid="{D4E65E12-2523-486E-8C91-DFECDA45B9BD}" name="Aantal kleur afdrukken per optiejaar M1" totalsRowFunction="sum" dataDxfId="139" totalsRowDxfId="138" dataCellStyle="Komma">
      <calculatedColumnFormula>IF(SOTOG[[#This Row],[Model 1
(eis M1 t/m M27)]]="","",SOTOG[[#This Row],[Kleur p/j]])</calculatedColumnFormula>
    </tableColumn>
    <tableColumn id="25" xr3:uid="{E40EDA3E-D19B-45A8-AFC7-BBFD1A735148}" name="Aantal zw/w afdrukken per optiejaar M2" totalsRowFunction="custom" dataDxfId="137" totalsRowDxfId="136" dataCellStyle="Komma">
      <calculatedColumnFormula>IF(SOTOG[[#This Row],[Model 2
(eis M1 t/m M27)]]="","",SOTOG[[#This Row],[Zw/w p/j]])</calculatedColumnFormula>
      <totalsRowFormula>SUBTOTAL(109,SOTOG[Aantal zw/w afdrukken per optiejaar M2])-W3</totalsRowFormula>
    </tableColumn>
    <tableColumn id="26" xr3:uid="{011E1BDF-BDD0-4097-AA37-BC4FDF25BB8A}" name="Aantal kleur afdrukken per optiejaar M2" totalsRowFunction="custom" dataDxfId="135" totalsRowDxfId="134" dataCellStyle="Komma">
      <calculatedColumnFormula>IF(SOTOG[[#This Row],[Model 2
(eis M1 t/m M27)]]="","",SOTOG[[#This Row],[Kleur p/j]])</calculatedColumnFormula>
      <totalsRowFormula>SUBTOTAL(109,SOTOG[Aantal kleur afdrukken per optiejaar M2])-X3</totalsRowFormula>
    </tableColumn>
    <tableColumn id="24" xr3:uid="{5DEDFC3C-409F-4FB8-8E19-DD5FA5677869}" name="Aantal zw/w afdrukken per optiejaar M3" totalsRowFunction="custom" dataDxfId="133" totalsRowDxfId="132" dataCellStyle="Komma">
      <totalsRowFormula>SUBTOTAL(109,SOTOG[Aantal zw/w afdrukken per optiejaar M3])-Y3</totalsRowFormula>
    </tableColumn>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447C3B8-51FD-48EB-90F1-2E06057EBBB7}" name="De_Groeiling" displayName="De_Groeiling" ref="A2:X33" totalsRowCount="1" headerRowDxfId="131" dataCellStyle="Komma">
  <sortState xmlns:xlrd2="http://schemas.microsoft.com/office/spreadsheetml/2017/richdata2" ref="A3:X32">
    <sortCondition ref="D2:D32"/>
  </sortState>
  <tableColumns count="24">
    <tableColumn id="1" xr3:uid="{012199D4-BF7E-4AA1-AD59-F560C49C1F5D}" name="BRIN" totalsRowLabel="Totaal"/>
    <tableColumn id="2" xr3:uid="{C3D4046B-4351-4CCF-89A4-047B63B03051}" name="Naam school" dataDxfId="130"/>
    <tableColumn id="3" xr3:uid="{03A52F2F-C0FD-4C16-8083-D48AF54A0681}" name="Adres"/>
    <tableColumn id="4" xr3:uid="{3ADE2354-3C29-4ECA-ABE1-043ABF9A1BFA}" name="PC"/>
    <tableColumn id="5" xr3:uid="{064603D6-9979-4AE5-A87F-67215F157654}" name="Plaats"/>
    <tableColumn id="6" xr3:uid="{2BB6FB4B-B162-401B-802C-4DF43E54D098}" name="Telefoon"/>
    <tableColumn id="10" xr3:uid="{83B23814-9255-4674-9411-AAA5689ACA42}" name="Model 1_x000a_(eis M1 t/m M27)" totalsRowFunction="sum" dataDxfId="129" totalsRowDxfId="128">
      <calculatedColumnFormula>IF(De_Groeiling[[#This Row],[Zw/w p/j]]=0,"",IF((De_Groeiling[[#This Row],[Zw/w p/j]]+De_Groeiling[[#This Row],[Kleur p/j]])&lt;SOTOG!$H$1,1,IF((De_Groeiling[[#This Row],[Zw/w p/j]]+De_Groeiling[[#This Row],[Kleur p/j]])&gt;SOTOG!$G$1,2,"")))</calculatedColumnFormula>
    </tableColumn>
    <tableColumn id="19" xr3:uid="{CAF9D95E-DCF9-4273-A28E-2EC323F12E79}" name="huidig model" dataDxfId="127" totalsRowDxfId="126"/>
    <tableColumn id="11" xr3:uid="{C356389F-41AB-4534-99BD-4B83C5F3F71E}" name="Model 2_x000a_(eis M1 t/m M27)" totalsRowFunction="sum" dataDxfId="125" totalsRowDxfId="124">
      <calculatedColumnFormula>IF(AND(De_Groeiling[[#This Row],[Zw/w p/j]]+De_Groeiling[[#This Row],[Kleur p/j]]&gt;=SOTOG!$H$1,De_Groeiling[[#This Row],[Zw/w p/j]]+De_Groeiling[[#This Row],[Kleur p/j]]&lt;SOTOG!$G$1),1,"")</calculatedColumnFormula>
    </tableColumn>
    <tableColumn id="12" xr3:uid="{C71B98EC-D34E-43BC-880B-0AAB22D256F7}" name="Datum in gebruikname nieuwe MFP" dataDxfId="123"/>
    <tableColumn id="8" xr3:uid="{E7B41293-8781-424E-A637-397BBFC13D9D}" name="Zw/w p/j" totalsRowFunction="custom" dataDxfId="122" totalsRowDxfId="121" dataCellStyle="Komma">
      <calculatedColumnFormula>De_Groeiling[[#This Row],[Zw/w p/m]]*12</calculatedColumnFormula>
      <totalsRowFormula>SUM(K3:K32)</totalsRowFormula>
    </tableColumn>
    <tableColumn id="7" xr3:uid="{B8DF1DDF-B776-4AFA-AF72-A018CC701A0B}" name="Kleur p/j" totalsRowFunction="custom" dataDxfId="120" totalsRowDxfId="119" dataCellStyle="Komma">
      <calculatedColumnFormula>De_Groeiling[[#This Row],[kleur p/m]]*12</calculatedColumnFormula>
      <totalsRowFormula>SUM(L3:L32)</totalsRowFormula>
    </tableColumn>
    <tableColumn id="13" xr3:uid="{978E6B5D-A75E-493A-9E63-8D872455A935}" name="Zw/w p/m" totalsRowFunction="sum" dataDxfId="118" totalsRowDxfId="117" dataCellStyle="Komma"/>
    <tableColumn id="14" xr3:uid="{F7C755BA-8FEE-4611-8BE8-580351F77554}" name="kleur p/m" totalsRowFunction="sum" dataDxfId="116" totalsRowDxfId="115" dataCellStyle="Komma"/>
    <tableColumn id="9" xr3:uid="{7E9F0552-4B01-422F-9FE7-7929CE266EBF}" name="Aantal maanden model 1" totalsRowFunction="custom" dataDxfId="114" totalsRowDxfId="113" dataCellStyle="Komma">
      <totalsRowFormula>SUBTOTAL(109,De_Groeiling[Aantal maanden model 1])-O3</totalsRowFormula>
    </tableColumn>
    <tableColumn id="20" xr3:uid="{3260A048-4739-4F7E-83CB-CB00488EF2BC}" name="Aantal maanden model 2" totalsRowFunction="custom" dataDxfId="112" totalsRowDxfId="111" dataCellStyle="Komma">
      <totalsRowFormula>SUBTOTAL(109,De_Groeiling[Aantal maanden model 2])-P3</totalsRowFormula>
    </tableColumn>
    <tableColumn id="15" xr3:uid="{998C43D3-1C8E-4D97-BEA1-32ADEE74F0B0}" name="# zw/w afdrukken M1" totalsRowFunction="custom" dataDxfId="110" totalsRowDxfId="109" dataCellStyle="Komma">
      <calculatedColumnFormula>IF(De_Groeiling[[#This Row],[Model 1
(eis M1 t/m M27)]]="","",De_Groeiling[[#This Row],[Zw/w p/m]]*De_Groeiling[[#This Row],[Aantal maanden model 1]])</calculatedColumnFormula>
      <totalsRowFormula>SUM(Q6:Q32)-Q3</totalsRowFormula>
    </tableColumn>
    <tableColumn id="16" xr3:uid="{F24FC723-9848-44CF-B66B-D10792DC60F7}" name="# kleur afdrukken M1" totalsRowFunction="custom" dataDxfId="108" totalsRowDxfId="107" dataCellStyle="Komma">
      <calculatedColumnFormula>IF(De_Groeiling[[#This Row],[Model 1
(eis M1 t/m M27)]]="","",De_Groeiling[[#This Row],[kleur p/m]]*De_Groeiling[[#This Row],[Aantal maanden model 1]])</calculatedColumnFormula>
      <totalsRowFormula>SUM(R6:R32)-R3</totalsRowFormula>
    </tableColumn>
    <tableColumn id="17" xr3:uid="{F0FD5FF7-59B6-4FE2-ADD6-534DC7861B7D}" name="# zw/w afdrukken M2" totalsRowFunction="custom" dataDxfId="106" totalsRowDxfId="105" dataCellStyle="Komma">
      <calculatedColumnFormula>IF(De_Groeiling[[#This Row],[Model 2
(eis M1 t/m M27)]]="","",De_Groeiling[[#This Row],[Zw/w p/m]]*De_Groeiling[[#This Row],[Aantal maanden model 1]])</calculatedColumnFormula>
      <totalsRowFormula>SUM(S6:S32)-S3</totalsRowFormula>
    </tableColumn>
    <tableColumn id="18" xr3:uid="{36ECFB07-420B-49DF-BDAA-02A672E504D0}" name="# kleur afdrukken M2" totalsRowFunction="custom" dataDxfId="104" totalsRowDxfId="103" dataCellStyle="Komma">
      <calculatedColumnFormula>IF(De_Groeiling[[#This Row],[Model 2
(eis M1 t/m M27)]]="","",De_Groeiling[[#This Row],[kleur p/m]]*De_Groeiling[[#This Row],[Aantal maanden model 1]])</calculatedColumnFormula>
      <totalsRowFormula>SUM(T6:T32)-T3</totalsRowFormula>
    </tableColumn>
    <tableColumn id="21" xr3:uid="{5DFFC0BD-5C36-449D-880E-05CDACA6FAE7}" name="Aantal zw/w afdrukken per optiejaar M1" totalsRowFunction="custom" dataDxfId="102" totalsRowDxfId="101" dataCellStyle="Komma">
      <calculatedColumnFormula>IF(De_Groeiling[[#This Row],[Model 1
(eis M1 t/m M27)]]="","",De_Groeiling[[#This Row],[Zw/w p/j]])</calculatedColumnFormula>
      <totalsRowFormula>SUM(U6:U32)</totalsRowFormula>
    </tableColumn>
    <tableColumn id="22" xr3:uid="{1D121BF8-2951-44E0-88A0-D8FA135E648A}" name="Aantal kleur afdrukken per optiejaar M1" totalsRowFunction="custom" dataDxfId="100" totalsRowDxfId="99" dataCellStyle="Komma">
      <calculatedColumnFormula>IF(De_Groeiling[[#This Row],[Model 1
(eis M1 t/m M27)]]="","",De_Groeiling[[#This Row],[Kleur p/j]])</calculatedColumnFormula>
      <totalsRowFormula>SUM(V6:V32)</totalsRowFormula>
    </tableColumn>
    <tableColumn id="25" xr3:uid="{0161E59E-C442-4651-902D-087C42EED859}" name="Aantal zw/w afdrukken per optiejaar M2" totalsRowFunction="custom" dataDxfId="98" totalsRowDxfId="97" dataCellStyle="Komma">
      <calculatedColumnFormula>IF(De_Groeiling[[#This Row],[Model 2
(eis M1 t/m M27)]]="","",De_Groeiling[[#This Row],[Zw/w p/j]])</calculatedColumnFormula>
      <totalsRowFormula>SUM(W6:W32)</totalsRowFormula>
    </tableColumn>
    <tableColumn id="26" xr3:uid="{06A128A0-1330-48C4-B489-F39AB3A937A3}" name="Aantal kleur afdrukken per optiejaar M2" totalsRowFunction="custom" dataDxfId="96" totalsRowDxfId="95" dataCellStyle="Komma">
      <calculatedColumnFormula>IF(De_Groeiling[[#This Row],[Model 2
(eis M1 t/m M27)]]="","",De_Groeiling[[#This Row],[Kleur p/j]])</calculatedColumnFormula>
      <totalsRowFormula>SUM(X6:X32)</totalsRowFormula>
    </tableColumn>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81A88DD-EDD2-48DC-9704-1F998A4FEEFC}" name="Ithaka" displayName="Ithaka" ref="A2:Q25" totalsRowCount="1" headerRowDxfId="94">
  <autoFilter ref="A2:Q24" xr:uid="{8C23A164-FE6D-4376-9F93-51CB65B900F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4F3817C0-6E01-4A38-B2F7-BE62B1E6C3AF}" name="BRIN" totalsRowLabel="Totaal" dataDxfId="93"/>
    <tableColumn id="2" xr3:uid="{554BD3D0-8465-4064-84AC-D2E31510B6D3}" name="Naam school" dataDxfId="92" dataCellStyle="Komma"/>
    <tableColumn id="3" xr3:uid="{3ED433E3-C1A9-497D-B295-8B0A21FF6CCD}" name="Adres"/>
    <tableColumn id="4" xr3:uid="{AAB6768F-B745-4C96-8A38-EE7118515A37}" name="PC"/>
    <tableColumn id="5" xr3:uid="{3D05361C-78D6-45D8-B05B-02E76636F21C}" name="Plaats"/>
    <tableColumn id="6" xr3:uid="{066B11CF-229E-48CE-AB2B-C68C6C050AFE}" name="Telefoon"/>
    <tableColumn id="10" xr3:uid="{15036024-96A5-472D-82E3-92C9C69317B1}" name="Model 1_x000a_(eis M1 t/m M28)" totalsRowFunction="sum" dataDxfId="91" totalsRowDxfId="90">
      <calculatedColumnFormula>IF(Ithaka[[#This Row],[Zw/w p/j]]=0,"",IF((Ithaka[[#This Row],[Zw/w p/j]]+Ithaka[[#This Row],[Kleur p/j]])&lt;SOTOG!$H$1,1,IF((Ithaka[[#This Row],[Zw/w p/j]]+Ithaka[[#This Row],[Kleur p/j]])&gt;SOTOG!$G$1,2,"")))</calculatedColumnFormula>
    </tableColumn>
    <tableColumn id="12" xr3:uid="{4B5D64AF-BFCF-4E04-A255-4AF96174EDFF}" name="Datum in gebruikname"/>
    <tableColumn id="8" xr3:uid="{225AA84C-F5AD-4ED7-8B46-36BB83521A03}" name="Zw/w p/j" totalsRowFunction="custom" dataDxfId="89" totalsRowDxfId="88" dataCellStyle="Komma">
      <calculatedColumnFormula>Ithaka[[#This Row],[Zw/w p/m]]*12</calculatedColumnFormula>
      <totalsRowFormula>SUM(Ithaka[Zw/w p/j])</totalsRowFormula>
    </tableColumn>
    <tableColumn id="7" xr3:uid="{A395690F-6045-4C25-90C6-1DFB5C2F2D43}" name="Kleur p/j" totalsRowFunction="custom" dataDxfId="87" totalsRowDxfId="86" dataCellStyle="Komma">
      <calculatedColumnFormula>Ithaka[[#This Row],[kleur p/m]]*12</calculatedColumnFormula>
      <totalsRowFormula>SUM(Ithaka[Kleur p/j])</totalsRowFormula>
    </tableColumn>
    <tableColumn id="13" xr3:uid="{E267746F-EE23-449F-8229-8146E42E0A32}" name="Zw/w p/m" totalsRowFunction="sum" dataDxfId="85" totalsRowDxfId="84" dataCellStyle="Komma"/>
    <tableColumn id="14" xr3:uid="{E23C0761-B0DE-44EF-B582-1ECFABE70697}" name="kleur p/m" totalsRowFunction="sum" dataDxfId="83" totalsRowDxfId="82" dataCellStyle="Komma"/>
    <tableColumn id="9" xr3:uid="{D69E1134-758F-484B-8399-2E60CC3A7618}" name="Aantal maanden" totalsRowFunction="custom" dataDxfId="81" totalsRowDxfId="80" dataCellStyle="Komma">
      <calculatedColumnFormula>INT(_xlfn.DAYS($O$1,Ithaka[[#This Row],[Datum in gebruikname]])/30.41)</calculatedColumnFormula>
      <totalsRowFormula>SUM(Ithaka[Aantal maanden])-M3</totalsRowFormula>
    </tableColumn>
    <tableColumn id="15" xr3:uid="{3BD84DB0-2624-491C-8611-8C493565230E}" name="# zw/w afdrukken M1" totalsRowFunction="custom" dataDxfId="79" totalsRowDxfId="78" dataCellStyle="Komma">
      <calculatedColumnFormula>IF(Ithaka[[#This Row],[Model 1
(eis M1 t/m M28)]]="","",Ithaka[[#This Row],[Zw/w p/m]]*Ithaka[[#This Row],[Aantal maanden]])</calculatedColumnFormula>
      <totalsRowFormula>SUM(Ithaka['# zw/w afdrukken M1])-N3</totalsRowFormula>
    </tableColumn>
    <tableColumn id="16" xr3:uid="{579CD615-642D-4EEC-8FCD-281300477A14}" name="# kleur afdrukken M1" totalsRowFunction="custom" dataDxfId="77" totalsRowDxfId="76" dataCellStyle="Komma">
      <calculatedColumnFormula>IF(Ithaka[[#This Row],[Model 1
(eis M1 t/m M28)]]="","",Ithaka[[#This Row],[kleur p/m]]*Ithaka[[#This Row],[Aantal maanden]])</calculatedColumnFormula>
      <totalsRowFormula>SUM(Ithaka['# kleur afdrukken M1])-O3</totalsRowFormula>
    </tableColumn>
    <tableColumn id="21" xr3:uid="{669B81CD-7F43-42D9-A4EF-46644E050156}" name="Aantal zw/w afdrukken per optiejaar M1" totalsRowFunction="custom" dataDxfId="75" totalsRowDxfId="74" dataCellStyle="Komma">
      <calculatedColumnFormula>IF(Ithaka[[#This Row],[Model 1
(eis M1 t/m M28)]]="","",Ithaka[[#This Row],[Zw/w p/j]])</calculatedColumnFormula>
      <totalsRowFormula>SUM(Ithaka[Aantal zw/w afdrukken per optiejaar M1])</totalsRowFormula>
    </tableColumn>
    <tableColumn id="22" xr3:uid="{2445254D-B1D4-4101-923E-9EAD96C6A994}" name="Aantal kleur afdrukken per optiejaar M1" totalsRowFunction="custom" dataDxfId="73" totalsRowDxfId="72" dataCellStyle="Komma">
      <calculatedColumnFormula>IF(Ithaka[[#This Row],[Model 1
(eis M1 t/m M28)]]="","",Ithaka[[#This Row],[Kleur p/j]])</calculatedColumnFormula>
      <totalsRowFormula>SUM(Ithaka[Aantal kleur afdrukken per optiejaar M1])</totalsRowFormula>
    </tableColumn>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DF3E740-11F4-4D10-A4C9-76CEACB58F6A}" name="SCO_T" displayName="SCO_T" ref="A2:V19" totalsRowCount="1" headerRowDxfId="71" headerRowBorderDxfId="70" tableBorderDxfId="69">
  <autoFilter ref="A2:V18" xr:uid="{0E5AD42A-FDCF-4D53-8905-53A19F9B68D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12FECFC9-A181-467E-9583-5FE637E98A88}" name="BRIN" totalsRowLabel="Totaal"/>
    <tableColumn id="2" xr3:uid="{7EE842A5-B627-4DE8-8647-96207B0C37F9}" name="Naam school" dataDxfId="68"/>
    <tableColumn id="3" xr3:uid="{AAE55379-9745-4428-9558-FBF4F7B10138}" name="Adres"/>
    <tableColumn id="4" xr3:uid="{5BC4569A-FAB3-4F39-A6EC-A334ABC1D2CE}" name="PC"/>
    <tableColumn id="5" xr3:uid="{6695066E-2ED5-4637-A56C-EB8ABF925ABC}" name="Plaats"/>
    <tableColumn id="6" xr3:uid="{E7A1A565-6513-4AE0-9E99-07D8554BD10E}" name="Telefoon"/>
    <tableColumn id="10" xr3:uid="{6C475FB3-2778-4CFB-BC5D-2C281B0799C7}" name="Model 1_x000a_(eis M1 t/m M27)" totalsRowFunction="sum" dataDxfId="67" totalsRowDxfId="66">
      <calculatedColumnFormula>IF(SCO_T[[#This Row],[Zw/w p/j]]=0,"",IF((SCO_T[[#This Row],[Zw/w p/j]]+SCO_T[[#This Row],[Kleur p/j]])&lt;SOTOG!$H$1,1,IF((SCO_T[[#This Row],[Zw/w p/j]]+SCO_T[[#This Row],[Kleur p/j]])&gt;SOTOG!$G$1,2,"")))</calculatedColumnFormula>
    </tableColumn>
    <tableColumn id="11" xr3:uid="{79F288CC-19C3-4F96-B0B8-DEAB1D729B7B}" name="Model 2_x000a_(eis M1 t/m M27)" totalsRowFunction="sum" dataDxfId="65" totalsRowDxfId="64">
      <calculatedColumnFormula>IF(AND(SCO_T[[#This Row],[Zw/w p/j]]+SCO_T[[#This Row],[Kleur p/j]]&gt;=SOTOG!$H$1,SCO_T[[#This Row],[Zw/w p/j]]+SCO_T[[#This Row],[Kleur p/j]]&lt;SOTOG!$G$1),1,"")</calculatedColumnFormula>
    </tableColumn>
    <tableColumn id="12" xr3:uid="{D8DBC42A-FBB1-4C9A-8627-946F400AD5F0}" name="Datum in gebruikname" dataDxfId="63"/>
    <tableColumn id="8" xr3:uid="{43F742C5-3593-45D5-A9C9-EA049FF2CD2D}" name="Zw/w p/j" totalsRowFunction="custom" dataDxfId="62" totalsRowDxfId="61" dataCellStyle="Komma">
      <calculatedColumnFormula>SCO_T[[#This Row],[Zw/w p/m]]*12</calculatedColumnFormula>
      <totalsRowFormula>SUM(SCO_T[Zw/w p/j])</totalsRowFormula>
    </tableColumn>
    <tableColumn id="7" xr3:uid="{E71D8563-BAD8-4F96-A4A2-CC58571608AD}" name="Kleur p/j" totalsRowFunction="custom" dataDxfId="60" totalsRowDxfId="59" dataCellStyle="Komma">
      <calculatedColumnFormula>SCO_T[[#This Row],[kleur p/m]]*12</calculatedColumnFormula>
      <totalsRowFormula>SUM(SCO_T[Kleur p/j])</totalsRowFormula>
    </tableColumn>
    <tableColumn id="13" xr3:uid="{FAD2389A-FABE-4E7B-A75D-972863F4CB1A}" name="Zw/w p/m" totalsRowFunction="sum" dataDxfId="58" totalsRowDxfId="57"/>
    <tableColumn id="14" xr3:uid="{BEA22BCB-4095-4E59-BFA5-618480261C8B}" name="kleur p/m" totalsRowFunction="custom" dataDxfId="56" totalsRowDxfId="55">
      <totalsRowFormula>ROUNDUP(SUBTOTAL(109,SCO_T[kleur p/m]),0)</totalsRowFormula>
    </tableColumn>
    <tableColumn id="9" xr3:uid="{7502BC75-80EA-48F9-AA7D-7089E147E0F8}" name="Aantal maanden" totalsRowFunction="custom" dataDxfId="54" totalsRowDxfId="53">
      <calculatedColumnFormula>INT(_xlfn.DAYS($O$1,SCO_T[[#This Row],[Datum in gebruikname]])/30.41)</calculatedColumnFormula>
      <totalsRowFormula>SUM(SCO_T[Aantal maanden])-N3</totalsRowFormula>
    </tableColumn>
    <tableColumn id="15" xr3:uid="{C015829C-1535-4A84-9321-E7BAD3D6A330}" name="# zw/w afdrukken M1" totalsRowFunction="custom" dataDxfId="52" totalsRowDxfId="51">
      <calculatedColumnFormula>IF(SCO_T[[#This Row],[Model 1
(eis M1 t/m M27)]]="","",SCO_T[[#This Row],[Zw/w p/m]]*SCO_T[[#This Row],[Aantal maanden]])</calculatedColumnFormula>
      <totalsRowFormula>SUM(SCO_T['# zw/w afdrukken M1])-O3</totalsRowFormula>
    </tableColumn>
    <tableColumn id="16" xr3:uid="{F81C9568-087B-4F73-8580-8A8650727A95}" name="# kleur afdrukken M1" totalsRowFunction="custom" dataDxfId="50" totalsRowDxfId="49">
      <calculatedColumnFormula>IF(SCO_T[[#This Row],[Model 1
(eis M1 t/m M27)]]="","",SCO_T[[#This Row],[kleur p/m]]*SCO_T[[#This Row],[Aantal maanden]])</calculatedColumnFormula>
      <totalsRowFormula>SUM(SCO_T['# kleur afdrukken M1])-P3</totalsRowFormula>
    </tableColumn>
    <tableColumn id="17" xr3:uid="{7B9E5637-A183-42D3-AE8F-837757D98FC5}" name="# zw/w afdrukken M2" totalsRowFunction="custom" dataDxfId="48" totalsRowDxfId="47">
      <calculatedColumnFormula>IF(SCO_T[[#This Row],[Model 2
(eis M1 t/m M27)]]="","",SCO_T[[#This Row],[Zw/w p/m]]*SCO_T[[#This Row],[Aantal maanden]])</calculatedColumnFormula>
      <totalsRowFormula>SUM(SCO_T['# zw/w afdrukken M2])-Q3</totalsRowFormula>
    </tableColumn>
    <tableColumn id="18" xr3:uid="{1A7F1DA3-12F2-4998-BE5A-D281F599A2A0}" name="# kleur afdrukken M2" totalsRowFunction="custom" dataDxfId="46" totalsRowDxfId="45">
      <calculatedColumnFormula>IF(SCO_T[[#This Row],[Model 2
(eis M1 t/m M27)]]="","",SCO_T[[#This Row],[kleur p/m]]*SCO_T[[#This Row],[Aantal maanden]])</calculatedColumnFormula>
      <totalsRowFormula>SUM(SCO_T['# kleur afdrukken M2])-R3</totalsRowFormula>
    </tableColumn>
    <tableColumn id="21" xr3:uid="{513DD194-2B56-47C3-85BC-8AA10FAF9833}" name="Aantal zw/w afdrukken per optiejaar M1" totalsRowFunction="custom" dataDxfId="44" totalsRowDxfId="43">
      <calculatedColumnFormula>IF(SCO_T[[#This Row],[Model 1
(eis M1 t/m M27)]]="","",SCO_T[[#This Row],[Zw/w p/j]])</calculatedColumnFormula>
      <totalsRowFormula>SUM(SCO_T[Aantal zw/w afdrukken per optiejaar M1])-S3</totalsRowFormula>
    </tableColumn>
    <tableColumn id="22" xr3:uid="{9B8D2A07-D50C-414C-88C8-E968B4288E09}" name="Aantal kleur afdrukken per optiejaar M1" totalsRowFunction="custom" dataDxfId="42" totalsRowDxfId="41">
      <calculatedColumnFormula>IF(SCO_T[[#This Row],[Model 1
(eis M1 t/m M27)]]="","",SCO_T[[#This Row],[Kleur p/j]])</calculatedColumnFormula>
      <totalsRowFormula>SUM(SCO_T[Aantal kleur afdrukken per optiejaar M1])-T3</totalsRowFormula>
    </tableColumn>
    <tableColumn id="25" xr3:uid="{9BED32C2-D040-4AF9-A30F-A49CA2EE31E4}" name="Aantal zw/w afdrukken per optiejaar M2" totalsRowFunction="custom" dataDxfId="40" totalsRowDxfId="39">
      <calculatedColumnFormula>IF(SCO_T[[#This Row],[Model 2
(eis M1 t/m M27)]]="","",SCO_T[[#This Row],[Zw/w p/j]])</calculatedColumnFormula>
      <totalsRowFormula>SUM(SCO_T[Aantal zw/w afdrukken per optiejaar M2])-U3</totalsRowFormula>
    </tableColumn>
    <tableColumn id="26" xr3:uid="{901205BF-38AA-44AC-BB50-7BB8A8FBF882}" name="Aantal kleur afdrukken per optiejaar M2" totalsRowFunction="custom" dataDxfId="38" totalsRowDxfId="37">
      <calculatedColumnFormula>IF(SCO_T[[#This Row],[Model 2
(eis M1 t/m M27)]]="","",SCO_T[[#This Row],[Kleur p/j]])</calculatedColumnFormula>
      <totalsRowFormula>SUM(SCO_T[Aantal kleur afdrukken per optiejaar M2])-V3</totalsRowFormula>
    </tableColumn>
  </tableColumns>
  <tableStyleInfo name="TableStyleMedium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11CA42C-7FDA-4B42-8146-B5E661541BDF}" name="Stip" displayName="Stip" ref="A2:V26" totalsRowCount="1" headerRowDxfId="36" headerRowBorderDxfId="35" tableBorderDxfId="34">
  <autoFilter ref="A2:V25" xr:uid="{0E5AD42A-FDCF-4D53-8905-53A19F9B68D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6C577ECC-773C-484E-8EE5-326A58D2A604}" name="BRIN" totalsRowLabel="Totaal"/>
    <tableColumn id="2" xr3:uid="{F5308DA2-5807-41ED-8D74-BC8D62FE4152}" name="Naam school" dataDxfId="33"/>
    <tableColumn id="3" xr3:uid="{4B1AE629-C212-48E1-905A-B3BC7C836B5A}" name="Adres"/>
    <tableColumn id="4" xr3:uid="{BD6AF8B8-0B15-4255-AE05-501D42E40990}" name="PC"/>
    <tableColumn id="5" xr3:uid="{97F80700-E002-472A-A601-48E25870B861}" name="Plaats"/>
    <tableColumn id="6" xr3:uid="{7D2BA4A9-0525-47D5-97FA-47027281C6CC}" name="Telefoon"/>
    <tableColumn id="10" xr3:uid="{91102AB3-DFD9-4B29-A689-55F86CBAA3AC}" name="Model 1_x000a_(eis M1 t/m M27)" totalsRowFunction="sum" dataDxfId="32" totalsRowDxfId="31">
      <calculatedColumnFormula>IF((Stip[[#This Row],[Zw/w p/j]]+Stip[[#This Row],[Kleur p/j]])&lt;SOTOG!$H$1,1,IF((Stip[[#This Row],[Zw/w p/j]]+Stip[[#This Row],[Kleur p/j]])&gt;SOTOG!$G$1,2,""))</calculatedColumnFormula>
    </tableColumn>
    <tableColumn id="11" xr3:uid="{05ABE8CA-E106-496C-939F-E4242F37BB4E}" name="Model 2_x000a_(eis M1 t/m M27)" totalsRowFunction="sum" dataDxfId="30" totalsRowDxfId="29">
      <calculatedColumnFormula>IF(AND(Stip[[#This Row],[Zw/w p/j]]+Stip[[#This Row],[Kleur p/j]]&gt;=SOTOG!$H$1,Stip[[#This Row],[Zw/w p/j]]+Stip[[#This Row],[Kleur p/j]]&lt;SOTOG!$G$1),1,"")</calculatedColumnFormula>
    </tableColumn>
    <tableColumn id="12" xr3:uid="{96A50070-237C-4807-AF5C-BB7D8BE6B476}" name="Datum in gebruikname" dataDxfId="28"/>
    <tableColumn id="8" xr3:uid="{2BAC4962-4989-4A5A-9C83-44497D44FB8A}" name="Zw/w p/j" totalsRowFunction="custom" dataDxfId="27" totalsRowDxfId="26" dataCellStyle="Komma">
      <calculatedColumnFormula>Stip[[#This Row],[Zw/w p/m]]*12</calculatedColumnFormula>
      <totalsRowFormula>SUM(Stip[Zw/w p/j])-J3</totalsRowFormula>
    </tableColumn>
    <tableColumn id="7" xr3:uid="{E5631EC3-151A-491F-B481-E0C7C9FFA04A}" name="Kleur p/j" totalsRowFunction="custom" dataDxfId="25" totalsRowDxfId="24" dataCellStyle="Komma">
      <calculatedColumnFormula>Stip[[#This Row],[kleur p/m]]*12</calculatedColumnFormula>
      <totalsRowFormula>SUM(Stip[Kleur p/j])-K3</totalsRowFormula>
    </tableColumn>
    <tableColumn id="13" xr3:uid="{95706349-CE08-4ACD-AB57-ECAA7BA37E5D}" name="Zw/w p/m" totalsRowFunction="custom" dataDxfId="23" totalsRowDxfId="22">
      <totalsRowFormula>SUM(Stip[Zw/w p/m])-L3</totalsRowFormula>
    </tableColumn>
    <tableColumn id="14" xr3:uid="{1B9D50D9-FDBB-4188-9D11-FD00644C9B2D}" name="kleur p/m" totalsRowFunction="custom" dataDxfId="21" totalsRowDxfId="20">
      <totalsRowFormula>SUM(Stip[kleur p/m])-M3</totalsRowFormula>
    </tableColumn>
    <tableColumn id="9" xr3:uid="{51019F1C-F2FE-4081-BD46-8FB38A61D5E7}" name="Aantal maanden" totalsRowFunction="custom" dataDxfId="19" totalsRowDxfId="18">
      <calculatedColumnFormula>IF(Stip[[#This Row],[Datum in gebruikname]]="",0,INT(_xlfn.DAYS($O$1,Stip[[#This Row],[Datum in gebruikname]])/30.41))</calculatedColumnFormula>
      <totalsRowFormula>SUM(Stip[Aantal maanden])-N3</totalsRowFormula>
    </tableColumn>
    <tableColumn id="15" xr3:uid="{A0FD4AB9-9339-4A18-ABCB-F809CAF5EC6B}" name="# zw/w afdrukken M1" totalsRowFunction="custom" dataDxfId="17" totalsRowDxfId="16">
      <calculatedColumnFormula>IF(Stip[[#This Row],[Model 1
(eis M1 t/m M27)]]="","",Stip[[#This Row],[Zw/w p/m]]*Stip[[#This Row],[Aantal maanden]])</calculatedColumnFormula>
      <totalsRowFormula>SUM(Stip['# zw/w afdrukken M1])-O3</totalsRowFormula>
    </tableColumn>
    <tableColumn id="16" xr3:uid="{64FA4990-AC43-4A78-904B-C85AF6E7AB9A}" name="# kleur afdrukken M1" totalsRowFunction="custom" dataDxfId="15" totalsRowDxfId="14">
      <calculatedColumnFormula>IF(Stip[[#This Row],[Model 1
(eis M1 t/m M27)]]="","",Stip[[#This Row],[kleur p/m]]*Stip[[#This Row],[Aantal maanden]])</calculatedColumnFormula>
      <totalsRowFormula>SUM(Stip['# kleur afdrukken M1])-P3</totalsRowFormula>
    </tableColumn>
    <tableColumn id="17" xr3:uid="{B0861937-9EA9-457F-B05E-3522B300E34D}" name="# zw/w afdrukken M2" totalsRowFunction="custom" dataDxfId="13" totalsRowDxfId="12">
      <calculatedColumnFormula>IF(Stip[[#This Row],[Model 2
(eis M1 t/m M27)]]="","",Stip[[#This Row],[Zw/w p/m]]*Stip[[#This Row],[Aantal maanden]])</calculatedColumnFormula>
      <totalsRowFormula>SUM(Stip['# zw/w afdrukken M2])-Q3</totalsRowFormula>
    </tableColumn>
    <tableColumn id="18" xr3:uid="{2C7D32DB-51B3-4EE2-85A5-CB8DA22843EC}" name="# kleur afdrukken M2" totalsRowFunction="custom" dataDxfId="11" totalsRowDxfId="10">
      <calculatedColumnFormula>IF(Stip[[#This Row],[Model 2
(eis M1 t/m M27)]]="","",Stip[[#This Row],[kleur p/m]]*Stip[[#This Row],[Aantal maanden]])</calculatedColumnFormula>
      <totalsRowFormula>SUM(Stip['# kleur afdrukken M2])-R3</totalsRowFormula>
    </tableColumn>
    <tableColumn id="21" xr3:uid="{A16CE3D5-2431-4A97-B459-EB135E67669F}" name="Aantal zw/w afdrukken per optiejaar M1" totalsRowFunction="custom" dataDxfId="9" totalsRowDxfId="8">
      <calculatedColumnFormula>IF(Stip[[#This Row],[Model 1
(eis M1 t/m M27)]]="","",Stip[[#This Row],[Zw/w p/j]])</calculatedColumnFormula>
      <totalsRowFormula>SUM(Stip[Aantal zw/w afdrukken per optiejaar M1])-S3</totalsRowFormula>
    </tableColumn>
    <tableColumn id="22" xr3:uid="{B5827ADC-44AB-4082-9B99-CA6E17AF48C4}" name="Aantal kleur afdrukken per optiejaar M1" totalsRowFunction="custom" dataDxfId="7" totalsRowDxfId="6">
      <calculatedColumnFormula>IF(Stip[[#This Row],[Model 1
(eis M1 t/m M27)]]="","",Stip[[#This Row],[Kleur p/j]])</calculatedColumnFormula>
      <totalsRowFormula>SUM(Stip[Aantal kleur afdrukken per optiejaar M1])-T3</totalsRowFormula>
    </tableColumn>
    <tableColumn id="25" xr3:uid="{88F5DF46-0248-4908-AAC7-FF7D7CEDD615}" name="Aantal zw/w afdrukken per optiejaar M2" totalsRowFunction="custom" dataDxfId="5" totalsRowDxfId="4">
      <calculatedColumnFormula>IF(Stip[[#This Row],[Model 2
(eis M1 t/m M27)]]="","",Stip[[#This Row],[Zw/w p/j]])</calculatedColumnFormula>
      <totalsRowFormula>SUM(Stip[Aantal zw/w afdrukken per optiejaar M2])-U3</totalsRowFormula>
    </tableColumn>
    <tableColumn id="26" xr3:uid="{916E4442-B334-45D5-9840-67E97A148F80}" name="Aantal kleur afdrukken per optiejaar M2" totalsRowFunction="custom" dataDxfId="3" totalsRowDxfId="2">
      <calculatedColumnFormula>IF(Stip[[#This Row],[Model 2
(eis M1 t/m M27)]]="","",Stip[[#This Row],[Kleur p/j]])</calculatedColumnFormula>
      <totalsRowFormula>SUM(Stip[Aantal kleur afdrukken per optiejaar M2])-V3</totalsRowFormula>
    </tableColumn>
  </tableColumns>
  <tableStyleInfo name="TableStyleMedium3" showFirstColumn="0" showLastColumn="0" showRowStripes="1" showColumnStripes="0"/>
</table>
</file>

<file path=xl/theme/theme1.xml><?xml version="1.0" encoding="utf-8"?>
<a:theme xmlns:a="http://schemas.openxmlformats.org/drawingml/2006/main" name="Kantoorthema">
  <a:themeElements>
    <a:clrScheme name="Aangepast 3">
      <a:dk1>
        <a:srgbClr val="000000"/>
      </a:dk1>
      <a:lt1>
        <a:srgbClr val="FFFFFF"/>
      </a:lt1>
      <a:dk2>
        <a:srgbClr val="7F7F7F"/>
      </a:dk2>
      <a:lt2>
        <a:srgbClr val="FFFFFF"/>
      </a:lt2>
      <a:accent1>
        <a:srgbClr val="0087C9"/>
      </a:accent1>
      <a:accent2>
        <a:srgbClr val="00A0D1"/>
      </a:accent2>
      <a:accent3>
        <a:srgbClr val="002E60"/>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dimension ref="A1:D59"/>
  <sheetViews>
    <sheetView showGridLines="0" tabSelected="1" zoomScaleNormal="100" workbookViewId="0">
      <selection activeCell="A8" sqref="A8"/>
    </sheetView>
  </sheetViews>
  <sheetFormatPr defaultRowHeight="14.5" x14ac:dyDescent="0.35"/>
  <cols>
    <col min="1" max="1" width="30.453125" bestFit="1" customWidth="1"/>
    <col min="2" max="2" width="112" customWidth="1"/>
    <col min="3" max="3" width="73.54296875" bestFit="1" customWidth="1"/>
    <col min="4" max="4" width="9.54296875" bestFit="1" customWidth="1"/>
  </cols>
  <sheetData>
    <row r="1" spans="1:4" ht="21" x14ac:dyDescent="0.5">
      <c r="A1" s="106" t="s">
        <v>22</v>
      </c>
      <c r="B1" s="106" t="s">
        <v>23</v>
      </c>
    </row>
    <row r="2" spans="1:4" ht="87" x14ac:dyDescent="0.35">
      <c r="A2" s="21" t="s">
        <v>24</v>
      </c>
      <c r="B2" s="19" t="s">
        <v>25</v>
      </c>
    </row>
    <row r="3" spans="1:4" ht="43.5" x14ac:dyDescent="0.35">
      <c r="A3" s="21" t="s">
        <v>24</v>
      </c>
      <c r="B3" s="19" t="s">
        <v>610</v>
      </c>
    </row>
    <row r="4" spans="1:4" ht="43.5" x14ac:dyDescent="0.35">
      <c r="A4" s="21" t="s">
        <v>24</v>
      </c>
      <c r="B4" s="19" t="s">
        <v>605</v>
      </c>
    </row>
    <row r="5" spans="1:4" ht="43.5" x14ac:dyDescent="0.35">
      <c r="A5" s="21" t="s">
        <v>24</v>
      </c>
      <c r="B5" s="19" t="s">
        <v>26</v>
      </c>
    </row>
    <row r="6" spans="1:4" ht="43.5" x14ac:dyDescent="0.35">
      <c r="A6" s="21" t="s">
        <v>24</v>
      </c>
      <c r="B6" s="20" t="s">
        <v>45</v>
      </c>
    </row>
    <row r="7" spans="1:4" ht="58" x14ac:dyDescent="0.35">
      <c r="A7" s="22" t="s">
        <v>24</v>
      </c>
      <c r="B7" s="19" t="s">
        <v>27</v>
      </c>
    </row>
    <row r="8" spans="1:4" ht="58" x14ac:dyDescent="0.35">
      <c r="A8" s="61" t="s">
        <v>28</v>
      </c>
      <c r="B8" s="19" t="s">
        <v>609</v>
      </c>
    </row>
    <row r="9" spans="1:4" ht="72.5" x14ac:dyDescent="0.35">
      <c r="A9" s="80" t="s">
        <v>28</v>
      </c>
      <c r="B9" s="20" t="s">
        <v>75</v>
      </c>
    </row>
    <row r="10" spans="1:4" ht="409.6" customHeight="1" x14ac:dyDescent="0.35">
      <c r="A10" s="196" t="s">
        <v>74</v>
      </c>
      <c r="B10" s="197" t="s">
        <v>606</v>
      </c>
    </row>
    <row r="11" spans="1:4" ht="56.5" customHeight="1" x14ac:dyDescent="0.35">
      <c r="A11" s="196"/>
      <c r="B11" s="198"/>
    </row>
    <row r="13" spans="1:4" x14ac:dyDescent="0.35">
      <c r="D13" s="81"/>
    </row>
    <row r="14" spans="1:4" x14ac:dyDescent="0.35">
      <c r="D14" s="41"/>
    </row>
    <row r="15" spans="1:4" x14ac:dyDescent="0.35">
      <c r="D15" s="41"/>
    </row>
    <row r="16" spans="1:4" x14ac:dyDescent="0.35">
      <c r="D16" s="41"/>
    </row>
    <row r="17" spans="3:4" x14ac:dyDescent="0.35">
      <c r="D17" s="41"/>
    </row>
    <row r="18" spans="3:4" x14ac:dyDescent="0.35">
      <c r="D18" s="41"/>
    </row>
    <row r="19" spans="3:4" x14ac:dyDescent="0.35">
      <c r="D19" s="41"/>
    </row>
    <row r="20" spans="3:4" x14ac:dyDescent="0.35">
      <c r="D20" s="41"/>
    </row>
    <row r="21" spans="3:4" x14ac:dyDescent="0.35">
      <c r="D21" s="41"/>
    </row>
    <row r="22" spans="3:4" x14ac:dyDescent="0.35">
      <c r="D22" s="24"/>
    </row>
    <row r="23" spans="3:4" x14ac:dyDescent="0.35">
      <c r="D23" s="24"/>
    </row>
    <row r="25" spans="3:4" x14ac:dyDescent="0.35">
      <c r="C25" s="45"/>
      <c r="D25" s="81"/>
    </row>
    <row r="26" spans="3:4" x14ac:dyDescent="0.35">
      <c r="C26" s="41"/>
      <c r="D26" s="41"/>
    </row>
    <row r="27" spans="3:4" x14ac:dyDescent="0.35">
      <c r="C27" s="41"/>
      <c r="D27" s="41"/>
    </row>
    <row r="28" spans="3:4" x14ac:dyDescent="0.35">
      <c r="C28" s="41"/>
      <c r="D28" s="41"/>
    </row>
    <row r="29" spans="3:4" x14ac:dyDescent="0.35">
      <c r="C29" s="41"/>
      <c r="D29" s="41"/>
    </row>
    <row r="30" spans="3:4" x14ac:dyDescent="0.35">
      <c r="C30" s="41"/>
      <c r="D30" s="41"/>
    </row>
    <row r="31" spans="3:4" x14ac:dyDescent="0.35">
      <c r="C31" s="41"/>
      <c r="D31" s="41"/>
    </row>
    <row r="32" spans="3:4" x14ac:dyDescent="0.35">
      <c r="C32" s="41"/>
      <c r="D32" s="41"/>
    </row>
    <row r="33" spans="1:4" x14ac:dyDescent="0.35">
      <c r="C33" s="24"/>
      <c r="D33" s="41"/>
    </row>
    <row r="34" spans="1:4" x14ac:dyDescent="0.35">
      <c r="C34" s="24"/>
      <c r="D34" s="24"/>
    </row>
    <row r="35" spans="1:4" ht="18.5" x14ac:dyDescent="0.45">
      <c r="D35" s="86"/>
    </row>
    <row r="36" spans="1:4" x14ac:dyDescent="0.35">
      <c r="A36" s="41"/>
      <c r="B36" s="45"/>
      <c r="C36" s="81"/>
      <c r="D36" s="24"/>
    </row>
    <row r="37" spans="1:4" x14ac:dyDescent="0.35">
      <c r="A37" s="41"/>
      <c r="B37" s="41"/>
      <c r="C37" s="41"/>
      <c r="D37" s="24"/>
    </row>
    <row r="38" spans="1:4" x14ac:dyDescent="0.35">
      <c r="A38" s="41"/>
      <c r="B38" s="41"/>
      <c r="C38" s="41"/>
    </row>
    <row r="39" spans="1:4" x14ac:dyDescent="0.35">
      <c r="A39" s="41"/>
      <c r="B39" s="41"/>
      <c r="C39" s="41"/>
      <c r="D39" s="81"/>
    </row>
    <row r="40" spans="1:4" x14ac:dyDescent="0.35">
      <c r="A40" s="41"/>
      <c r="B40" s="41"/>
      <c r="C40" s="41"/>
      <c r="D40" s="41"/>
    </row>
    <row r="41" spans="1:4" x14ac:dyDescent="0.35">
      <c r="A41" s="41"/>
      <c r="B41" s="41"/>
      <c r="C41" s="41"/>
      <c r="D41" s="41"/>
    </row>
    <row r="42" spans="1:4" x14ac:dyDescent="0.35">
      <c r="A42" s="41"/>
      <c r="B42" s="41"/>
      <c r="C42" s="41"/>
      <c r="D42" s="41"/>
    </row>
    <row r="43" spans="1:4" x14ac:dyDescent="0.35">
      <c r="A43" s="41"/>
      <c r="B43" s="41"/>
      <c r="C43" s="41"/>
      <c r="D43" s="41"/>
    </row>
    <row r="44" spans="1:4" x14ac:dyDescent="0.35">
      <c r="A44" s="41"/>
      <c r="B44" s="41"/>
      <c r="C44" s="41"/>
      <c r="D44" s="41"/>
    </row>
    <row r="45" spans="1:4" x14ac:dyDescent="0.35">
      <c r="A45" s="23"/>
      <c r="B45" s="23"/>
      <c r="C45" s="24"/>
      <c r="D45" s="41"/>
    </row>
    <row r="46" spans="1:4" x14ac:dyDescent="0.35">
      <c r="A46" s="23"/>
      <c r="B46" s="23"/>
      <c r="C46" s="24"/>
      <c r="D46" s="41"/>
    </row>
    <row r="47" spans="1:4" x14ac:dyDescent="0.35">
      <c r="A47" s="23"/>
      <c r="B47" s="23"/>
      <c r="C47" s="24"/>
      <c r="D47" s="41"/>
    </row>
    <row r="48" spans="1:4" ht="18.5" x14ac:dyDescent="0.45">
      <c r="D48" s="86"/>
    </row>
    <row r="49" spans="3:3" x14ac:dyDescent="0.35">
      <c r="C49" s="81"/>
    </row>
    <row r="50" spans="3:3" x14ac:dyDescent="0.35">
      <c r="C50" s="41"/>
    </row>
    <row r="51" spans="3:3" x14ac:dyDescent="0.35">
      <c r="C51" s="41"/>
    </row>
    <row r="52" spans="3:3" x14ac:dyDescent="0.35">
      <c r="C52" s="41"/>
    </row>
    <row r="53" spans="3:3" x14ac:dyDescent="0.35">
      <c r="C53" s="41"/>
    </row>
    <row r="54" spans="3:3" x14ac:dyDescent="0.35">
      <c r="C54" s="41"/>
    </row>
    <row r="55" spans="3:3" x14ac:dyDescent="0.35">
      <c r="C55" s="41"/>
    </row>
    <row r="56" spans="3:3" x14ac:dyDescent="0.35">
      <c r="C56" s="41"/>
    </row>
    <row r="57" spans="3:3" x14ac:dyDescent="0.35">
      <c r="C57" s="41"/>
    </row>
    <row r="58" spans="3:3" x14ac:dyDescent="0.35">
      <c r="C58" s="24"/>
    </row>
    <row r="59" spans="3:3" x14ac:dyDescent="0.35">
      <c r="C59" s="24"/>
    </row>
  </sheetData>
  <mergeCells count="2">
    <mergeCell ref="A10:A11"/>
    <mergeCell ref="B10:B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0B0C6-B925-4AE0-9E83-74FE8E11F3C7}">
  <sheetPr>
    <tabColor theme="4" tint="0.79998168889431442"/>
  </sheetPr>
  <dimension ref="A1:AE106"/>
  <sheetViews>
    <sheetView showGridLines="0" topLeftCell="A2" zoomScale="90" zoomScaleNormal="90" workbookViewId="0">
      <selection activeCell="G3" sqref="G3"/>
    </sheetView>
  </sheetViews>
  <sheetFormatPr defaultRowHeight="14.5" x14ac:dyDescent="0.35"/>
  <cols>
    <col min="1" max="1" width="15.81640625" customWidth="1"/>
    <col min="2" max="3" width="25.81640625" customWidth="1"/>
    <col min="4" max="6" width="20.81640625" customWidth="1"/>
    <col min="7" max="7" width="21.453125" customWidth="1"/>
    <col min="8" max="23" width="20.81640625" customWidth="1"/>
    <col min="24" max="25" width="21.6328125" customWidth="1"/>
    <col min="26" max="30" width="19.36328125" customWidth="1"/>
    <col min="31" max="31" width="9.26953125" bestFit="1" customWidth="1"/>
    <col min="32" max="32" width="10.08984375" bestFit="1" customWidth="1"/>
  </cols>
  <sheetData>
    <row r="1" spans="1:25" hidden="1" x14ac:dyDescent="0.35">
      <c r="G1">
        <v>400000</v>
      </c>
      <c r="H1">
        <v>200000</v>
      </c>
      <c r="I1">
        <v>10000</v>
      </c>
      <c r="O1" s="113" t="s">
        <v>566</v>
      </c>
      <c r="P1" s="4">
        <v>46113</v>
      </c>
    </row>
    <row r="2" spans="1:25" s="36" customFormat="1" ht="26" x14ac:dyDescent="0.3">
      <c r="A2" s="129" t="s">
        <v>1</v>
      </c>
      <c r="B2" s="129" t="s">
        <v>2</v>
      </c>
      <c r="C2" s="129" t="s">
        <v>3</v>
      </c>
      <c r="D2" s="129" t="s">
        <v>4</v>
      </c>
      <c r="E2" s="129" t="s">
        <v>5</v>
      </c>
      <c r="F2" s="129" t="s">
        <v>6</v>
      </c>
      <c r="G2" s="124" t="s">
        <v>39</v>
      </c>
      <c r="H2" s="124" t="s">
        <v>40</v>
      </c>
      <c r="I2" s="124" t="s">
        <v>574</v>
      </c>
      <c r="J2" s="129" t="s">
        <v>12</v>
      </c>
      <c r="K2" s="139" t="s">
        <v>13</v>
      </c>
      <c r="L2" s="139" t="s">
        <v>14</v>
      </c>
      <c r="M2" s="139" t="s">
        <v>10</v>
      </c>
      <c r="N2" s="139" t="s">
        <v>11</v>
      </c>
      <c r="O2" s="139" t="s">
        <v>15</v>
      </c>
      <c r="P2" s="124" t="s">
        <v>562</v>
      </c>
      <c r="Q2" s="125" t="s">
        <v>563</v>
      </c>
      <c r="R2" s="124" t="s">
        <v>564</v>
      </c>
      <c r="S2" s="125" t="s">
        <v>565</v>
      </c>
      <c r="T2" s="125" t="s">
        <v>567</v>
      </c>
      <c r="U2" s="129" t="s">
        <v>41</v>
      </c>
      <c r="V2" s="129" t="s">
        <v>42</v>
      </c>
      <c r="W2" s="129" t="s">
        <v>43</v>
      </c>
      <c r="X2" s="129" t="s">
        <v>44</v>
      </c>
      <c r="Y2" s="10" t="s">
        <v>568</v>
      </c>
    </row>
    <row r="3" spans="1:25" x14ac:dyDescent="0.35">
      <c r="A3" s="119"/>
      <c r="B3" s="128"/>
      <c r="C3" s="119"/>
      <c r="D3" s="119"/>
      <c r="E3" s="119"/>
      <c r="F3" s="119"/>
      <c r="G3" s="182"/>
      <c r="H3" s="182"/>
      <c r="I3" s="182"/>
      <c r="J3" s="135"/>
      <c r="K3" s="136"/>
      <c r="L3" s="136"/>
      <c r="M3" s="136"/>
      <c r="N3" s="136"/>
      <c r="O3" s="140"/>
      <c r="P3" s="123">
        <f>P1</f>
        <v>46113</v>
      </c>
      <c r="Q3" s="123">
        <f>$P$1</f>
        <v>46113</v>
      </c>
      <c r="R3" s="123">
        <f t="shared" ref="R3:T3" si="0">$P$1</f>
        <v>46113</v>
      </c>
      <c r="S3" s="123">
        <f t="shared" si="0"/>
        <v>46113</v>
      </c>
      <c r="T3" s="123">
        <f t="shared" si="0"/>
        <v>46113</v>
      </c>
      <c r="U3" s="137"/>
      <c r="V3" s="137"/>
      <c r="W3" s="137"/>
      <c r="X3" s="137"/>
      <c r="Y3" s="137"/>
    </row>
    <row r="4" spans="1:25" x14ac:dyDescent="0.35">
      <c r="A4" t="s">
        <v>89</v>
      </c>
      <c r="B4" s="1" t="s">
        <v>90</v>
      </c>
      <c r="C4" t="s">
        <v>116</v>
      </c>
      <c r="D4" t="s">
        <v>117</v>
      </c>
      <c r="E4" t="s">
        <v>118</v>
      </c>
      <c r="F4" t="s">
        <v>119</v>
      </c>
      <c r="G4" s="105">
        <v>2</v>
      </c>
      <c r="H4" s="105"/>
      <c r="I4" s="110"/>
      <c r="J4" s="138">
        <v>44652</v>
      </c>
      <c r="K4" s="34"/>
      <c r="L4" s="34"/>
      <c r="M4" s="34"/>
      <c r="N4" s="34"/>
      <c r="O4" s="162">
        <f>INT(_xlfn.DAYS($P$1,SOTOG[[#This Row],[Datum in gebruikname]])/30.41)</f>
        <v>48</v>
      </c>
      <c r="P4" s="34">
        <f>IF(SOTOG[[#This Row],[Model 1
(eis M1 t/m M27)]]="","",SOTOG[[#This Row],[Zw/w p/m]]*SOTOG[[#This Row],[Aantal maanden]])</f>
        <v>0</v>
      </c>
      <c r="Q4" s="34">
        <f>IF(SOTOG[[#This Row],[Model 1
(eis M1 t/m M27)]]="","",SOTOG[[#This Row],[kleur p/m]]*SOTOG[[#This Row],[Aantal maanden]])</f>
        <v>0</v>
      </c>
      <c r="R4" s="34" t="str">
        <f>IF(SOTOG[[#This Row],[Model 2
(eis M1 t/m M27)]]="","",SOTOG[[#This Row],[Zw/w p/m]]*SOTOG[[#This Row],[Aantal maanden]])</f>
        <v/>
      </c>
      <c r="S4" s="34" t="str">
        <f>IF(SOTOG[[#This Row],[Model 2
(eis M1 t/m M27)]]="","",SOTOG[[#This Row],[kleur p/m]]*SOTOG[[#This Row],[Aantal maanden]])</f>
        <v/>
      </c>
      <c r="T4" s="34" t="str">
        <f>IF(SOTOG[[#This Row],[Model 3
(eis M1 t/m M27)]]="","",SOTOG[[#This Row],[Zw/w p/m]]*SOTOG[[#This Row],[Aantal maanden]])</f>
        <v/>
      </c>
      <c r="U4" s="34">
        <f>IF(SOTOG[[#This Row],[Model 1
(eis M1 t/m M27)]]="","",SOTOG[[#This Row],[Zw/w p/j]])</f>
        <v>0</v>
      </c>
      <c r="V4" s="34">
        <f>IF(SOTOG[[#This Row],[Model 1
(eis M1 t/m M27)]]="","",SOTOG[[#This Row],[Kleur p/j]])</f>
        <v>0</v>
      </c>
      <c r="W4" s="34" t="str">
        <f>IF(SOTOG[[#This Row],[Model 2
(eis M1 t/m M27)]]="","",SOTOG[[#This Row],[Zw/w p/j]])</f>
        <v/>
      </c>
      <c r="X4" s="34" t="str">
        <f>IF(SOTOG[[#This Row],[Model 2
(eis M1 t/m M27)]]="","",SOTOG[[#This Row],[Kleur p/j]])</f>
        <v/>
      </c>
      <c r="Y4" s="34" t="str">
        <f>IF(SOTOG[[#This Row],[Model 3
(eis M1 t/m M27)]]="","",SOTOG[[#This Row],[Zw/w p/j]])</f>
        <v/>
      </c>
    </row>
    <row r="5" spans="1:25" x14ac:dyDescent="0.35">
      <c r="A5" t="s">
        <v>89</v>
      </c>
      <c r="B5" s="1" t="s">
        <v>90</v>
      </c>
      <c r="C5" t="s">
        <v>116</v>
      </c>
      <c r="D5" t="s">
        <v>117</v>
      </c>
      <c r="E5" t="s">
        <v>118</v>
      </c>
      <c r="F5" t="s">
        <v>119</v>
      </c>
      <c r="G5" s="105" t="str">
        <f>IF(SOTOG[[#This Row],[Zw/w p/j]]=0,"",IF((SOTOG[[#This Row],[Zw/w p/j]]+SOTOG[[#This Row],[Kleur p/j]])&lt;SOTOG!$I$1,"",IF((SOTOG[[#This Row],[Zw/w p/j]]+SOTOG[[#This Row],[Kleur p/j]])&lt;SOTOG!$H$1,1,IF((SOTOG[[#This Row],[Zw/w p/j]]+SOTOG[[#This Row],[Kleur p/j]])&gt;SOTOG!$G$1,2,""))))</f>
        <v/>
      </c>
      <c r="H5" s="110">
        <v>1</v>
      </c>
      <c r="I5" s="110" t="str">
        <f>IF(AND((SOTOG[[#This Row],[Zw/w p/j]]+SOTOG[[#This Row],[Kleur p/j]])&lt;$I$1,(SOTOG[[#This Row],[Zw/w p/j]]+SOTOG[[#This Row],[Kleur p/j]])&gt;0),1,"")</f>
        <v/>
      </c>
      <c r="J5" s="138">
        <v>44652</v>
      </c>
      <c r="K5" s="34"/>
      <c r="L5" s="34"/>
      <c r="M5" s="34"/>
      <c r="N5" s="34"/>
      <c r="O5" s="162">
        <f>INT(_xlfn.DAYS($P$1,SOTOG[[#This Row],[Datum in gebruikname]])/30.41)</f>
        <v>48</v>
      </c>
      <c r="P5" s="34" t="str">
        <f>IF(SOTOG[[#This Row],[Model 1
(eis M1 t/m M27)]]="","",SOTOG[[#This Row],[Zw/w p/m]]*SOTOG[[#This Row],[Aantal maanden]])</f>
        <v/>
      </c>
      <c r="Q5" s="34" t="str">
        <f>IF(SOTOG[[#This Row],[Model 1
(eis M1 t/m M27)]]="","",SOTOG[[#This Row],[kleur p/m]]*SOTOG[[#This Row],[Aantal maanden]])</f>
        <v/>
      </c>
      <c r="R5" s="34">
        <f>IF(SOTOG[[#This Row],[Model 2
(eis M1 t/m M27)]]="","",SOTOG[[#This Row],[Zw/w p/m]]*SOTOG[[#This Row],[Aantal maanden]])</f>
        <v>0</v>
      </c>
      <c r="S5" s="34">
        <f>IF(SOTOG[[#This Row],[Model 2
(eis M1 t/m M27)]]="","",SOTOG[[#This Row],[kleur p/m]]*SOTOG[[#This Row],[Aantal maanden]])</f>
        <v>0</v>
      </c>
      <c r="T5" s="34"/>
      <c r="U5" s="34" t="str">
        <f>IF(SOTOG[[#This Row],[Model 1
(eis M1 t/m M27)]]="","",SOTOG[[#This Row],[Zw/w p/j]])</f>
        <v/>
      </c>
      <c r="V5" s="34" t="str">
        <f>IF(SOTOG[[#This Row],[Model 1
(eis M1 t/m M27)]]="","",SOTOG[[#This Row],[Kleur p/j]])</f>
        <v/>
      </c>
      <c r="W5" s="34">
        <f>IF(SOTOG[[#This Row],[Model 2
(eis M1 t/m M27)]]="","",SOTOG[[#This Row],[Zw/w p/j]])</f>
        <v>0</v>
      </c>
      <c r="X5" s="34">
        <f>IF(SOTOG[[#This Row],[Model 2
(eis M1 t/m M27)]]="","",SOTOG[[#This Row],[Kleur p/j]])</f>
        <v>0</v>
      </c>
      <c r="Y5" s="34"/>
    </row>
    <row r="6" spans="1:25" x14ac:dyDescent="0.35">
      <c r="A6" t="s">
        <v>89</v>
      </c>
      <c r="B6" s="1" t="s">
        <v>90</v>
      </c>
      <c r="C6" t="s">
        <v>116</v>
      </c>
      <c r="D6" t="s">
        <v>117</v>
      </c>
      <c r="E6" t="s">
        <v>118</v>
      </c>
      <c r="F6" t="s">
        <v>119</v>
      </c>
      <c r="G6" s="105" t="str">
        <f>IF(SOTOG[[#This Row],[Zw/w p/j]]=0,"",IF((SOTOG[[#This Row],[Zw/w p/j]]+SOTOG[[#This Row],[Kleur p/j]])&lt;SOTOG!$I$1,"",IF((SOTOG[[#This Row],[Zw/w p/j]]+SOTOG[[#This Row],[Kleur p/j]])&lt;SOTOG!$H$1,1,IF((SOTOG[[#This Row],[Zw/w p/j]]+SOTOG[[#This Row],[Kleur p/j]])&gt;SOTOG!$G$1,2,""))))</f>
        <v/>
      </c>
      <c r="H6" s="110"/>
      <c r="I6" s="110">
        <v>14</v>
      </c>
      <c r="J6" s="138">
        <v>44652</v>
      </c>
      <c r="K6" s="34"/>
      <c r="L6" s="34"/>
      <c r="M6" s="34"/>
      <c r="N6" s="34"/>
      <c r="O6" s="162">
        <f>INT(_xlfn.DAYS($P$1,SOTOG[[#This Row],[Datum in gebruikname]])/30.41)</f>
        <v>48</v>
      </c>
      <c r="P6" s="34" t="str">
        <f>IF(SOTOG[[#This Row],[Model 1
(eis M1 t/m M27)]]="","",SOTOG[[#This Row],[Zw/w p/m]]*SOTOG[[#This Row],[Aantal maanden]])</f>
        <v/>
      </c>
      <c r="Q6" s="34" t="str">
        <f>IF(SOTOG[[#This Row],[Model 1
(eis M1 t/m M27)]]="","",SOTOG[[#This Row],[kleur p/m]]*SOTOG[[#This Row],[Aantal maanden]])</f>
        <v/>
      </c>
      <c r="R6" s="34" t="str">
        <f>IF(SOTOG[[#This Row],[Model 2
(eis M1 t/m M27)]]="","",SOTOG[[#This Row],[Zw/w p/m]]*SOTOG[[#This Row],[Aantal maanden]])</f>
        <v/>
      </c>
      <c r="S6" s="34" t="str">
        <f>IF(SOTOG[[#This Row],[Model 2
(eis M1 t/m M27)]]="","",SOTOG[[#This Row],[kleur p/m]]*SOTOG[[#This Row],[Aantal maanden]])</f>
        <v/>
      </c>
      <c r="T6" s="34"/>
      <c r="U6" s="34" t="str">
        <f>IF(SOTOG[[#This Row],[Model 1
(eis M1 t/m M27)]]="","",SOTOG[[#This Row],[Zw/w p/j]])</f>
        <v/>
      </c>
      <c r="V6" s="34" t="str">
        <f>IF(SOTOG[[#This Row],[Model 1
(eis M1 t/m M27)]]="","",SOTOG[[#This Row],[Kleur p/j]])</f>
        <v/>
      </c>
      <c r="W6" s="34" t="str">
        <f>IF(SOTOG[[#This Row],[Model 2
(eis M1 t/m M27)]]="","",SOTOG[[#This Row],[Zw/w p/j]])</f>
        <v/>
      </c>
      <c r="X6" s="34" t="str">
        <f>IF(SOTOG[[#This Row],[Model 2
(eis M1 t/m M27)]]="","",SOTOG[[#This Row],[Kleur p/j]])</f>
        <v/>
      </c>
      <c r="Y6" s="34"/>
    </row>
    <row r="7" spans="1:25" x14ac:dyDescent="0.35">
      <c r="A7" t="s">
        <v>89</v>
      </c>
      <c r="B7" s="1" t="s">
        <v>90</v>
      </c>
      <c r="C7" t="s">
        <v>579</v>
      </c>
      <c r="D7" t="s">
        <v>582</v>
      </c>
      <c r="E7" t="s">
        <v>118</v>
      </c>
      <c r="G7" s="105">
        <v>1</v>
      </c>
      <c r="H7" s="105"/>
      <c r="I7" s="110" t="str">
        <f>IF(AND((SOTOG[[#This Row],[Zw/w p/j]]+SOTOG[[#This Row],[Kleur p/j]])&lt;$I$1,(SOTOG[[#This Row],[Zw/w p/j]]+SOTOG[[#This Row],[Kleur p/j]])&gt;0),1,"")</f>
        <v/>
      </c>
      <c r="J7" s="138">
        <v>44652</v>
      </c>
      <c r="K7" s="34"/>
      <c r="L7" s="34"/>
      <c r="M7" s="34"/>
      <c r="N7" s="34"/>
      <c r="O7" s="162">
        <f>INT(_xlfn.DAYS($P$1,SOTOG[[#This Row],[Datum in gebruikname]])/30.41)</f>
        <v>48</v>
      </c>
      <c r="P7" s="34">
        <f>IF(SOTOG[[#This Row],[Model 1
(eis M1 t/m M27)]]="","",SOTOG[[#This Row],[Zw/w p/m]]*SOTOG[[#This Row],[Aantal maanden]])</f>
        <v>0</v>
      </c>
      <c r="Q7" s="34">
        <f>IF(SOTOG[[#This Row],[Model 1
(eis M1 t/m M27)]]="","",SOTOG[[#This Row],[kleur p/m]]*SOTOG[[#This Row],[Aantal maanden]])</f>
        <v>0</v>
      </c>
      <c r="R7" s="34" t="str">
        <f>IF(SOTOG[[#This Row],[Model 2
(eis M1 t/m M27)]]="","",SOTOG[[#This Row],[Zw/w p/m]]*SOTOG[[#This Row],[Aantal maanden]])</f>
        <v/>
      </c>
      <c r="S7" s="34" t="str">
        <f>IF(SOTOG[[#This Row],[Model 2
(eis M1 t/m M27)]]="","",SOTOG[[#This Row],[kleur p/m]]*SOTOG[[#This Row],[Aantal maanden]])</f>
        <v/>
      </c>
      <c r="T7" s="34"/>
      <c r="U7" s="34">
        <f>IF(SOTOG[[#This Row],[Model 1
(eis M1 t/m M27)]]="","",SOTOG[[#This Row],[Zw/w p/j]])</f>
        <v>0</v>
      </c>
      <c r="V7" s="34">
        <f>IF(SOTOG[[#This Row],[Model 1
(eis M1 t/m M27)]]="","",SOTOG[[#This Row],[Kleur p/j]])</f>
        <v>0</v>
      </c>
      <c r="W7" s="34" t="str">
        <f>IF(SOTOG[[#This Row],[Model 2
(eis M1 t/m M27)]]="","",SOTOG[[#This Row],[Zw/w p/j]])</f>
        <v/>
      </c>
      <c r="X7" s="34" t="str">
        <f>IF(SOTOG[[#This Row],[Model 2
(eis M1 t/m M27)]]="","",SOTOG[[#This Row],[Kleur p/j]])</f>
        <v/>
      </c>
      <c r="Y7" s="34"/>
    </row>
    <row r="8" spans="1:25" x14ac:dyDescent="0.35">
      <c r="A8" t="s">
        <v>89</v>
      </c>
      <c r="B8" s="1" t="s">
        <v>90</v>
      </c>
      <c r="C8" t="s">
        <v>581</v>
      </c>
      <c r="D8" t="s">
        <v>580</v>
      </c>
      <c r="E8" t="s">
        <v>118</v>
      </c>
      <c r="G8" s="105">
        <v>1</v>
      </c>
      <c r="H8" s="105"/>
      <c r="I8" s="110" t="str">
        <f>IF(AND((SOTOG[[#This Row],[Zw/w p/j]]+SOTOG[[#This Row],[Kleur p/j]])&lt;$I$1,(SOTOG[[#This Row],[Zw/w p/j]]+SOTOG[[#This Row],[Kleur p/j]])&gt;0),1,"")</f>
        <v/>
      </c>
      <c r="J8" s="138">
        <v>44652</v>
      </c>
      <c r="K8" s="34"/>
      <c r="L8" s="34"/>
      <c r="M8" s="34"/>
      <c r="N8" s="34"/>
      <c r="O8" s="162">
        <f>INT(_xlfn.DAYS($P$1,SOTOG[[#This Row],[Datum in gebruikname]])/30.41)</f>
        <v>48</v>
      </c>
      <c r="P8" s="34">
        <f>IF(SOTOG[[#This Row],[Model 1
(eis M1 t/m M27)]]="","",SOTOG[[#This Row],[Zw/w p/m]]*SOTOG[[#This Row],[Aantal maanden]])</f>
        <v>0</v>
      </c>
      <c r="Q8" s="34">
        <f>IF(SOTOG[[#This Row],[Model 1
(eis M1 t/m M27)]]="","",SOTOG[[#This Row],[kleur p/m]]*SOTOG[[#This Row],[Aantal maanden]])</f>
        <v>0</v>
      </c>
      <c r="R8" s="34" t="str">
        <f>IF(SOTOG[[#This Row],[Model 2
(eis M1 t/m M27)]]="","",SOTOG[[#This Row],[Zw/w p/m]]*SOTOG[[#This Row],[Aantal maanden]])</f>
        <v/>
      </c>
      <c r="S8" s="34" t="str">
        <f>IF(SOTOG[[#This Row],[Model 2
(eis M1 t/m M27)]]="","",SOTOG[[#This Row],[kleur p/m]]*SOTOG[[#This Row],[Aantal maanden]])</f>
        <v/>
      </c>
      <c r="T8" s="34"/>
      <c r="U8" s="34">
        <f>IF(SOTOG[[#This Row],[Model 1
(eis M1 t/m M27)]]="","",SOTOG[[#This Row],[Zw/w p/j]])</f>
        <v>0</v>
      </c>
      <c r="V8" s="34">
        <f>IF(SOTOG[[#This Row],[Model 1
(eis M1 t/m M27)]]="","",SOTOG[[#This Row],[Kleur p/j]])</f>
        <v>0</v>
      </c>
      <c r="W8" s="34" t="str">
        <f>IF(SOTOG[[#This Row],[Model 2
(eis M1 t/m M27)]]="","",SOTOG[[#This Row],[Zw/w p/j]])</f>
        <v/>
      </c>
      <c r="X8" s="34" t="str">
        <f>IF(SOTOG[[#This Row],[Model 2
(eis M1 t/m M27)]]="","",SOTOG[[#This Row],[Kleur p/j]])</f>
        <v/>
      </c>
      <c r="Y8" s="34"/>
    </row>
    <row r="9" spans="1:25" x14ac:dyDescent="0.35">
      <c r="A9" t="s">
        <v>89</v>
      </c>
      <c r="B9" s="1" t="s">
        <v>90</v>
      </c>
      <c r="C9" t="s">
        <v>583</v>
      </c>
      <c r="D9" t="s">
        <v>584</v>
      </c>
      <c r="E9" t="s">
        <v>118</v>
      </c>
      <c r="G9" s="105">
        <v>1</v>
      </c>
      <c r="H9" s="105"/>
      <c r="I9" s="110" t="str">
        <f>IF(AND((SOTOG[[#This Row],[Zw/w p/j]]+SOTOG[[#This Row],[Kleur p/j]])&lt;$I$1,(SOTOG[[#This Row],[Zw/w p/j]]+SOTOG[[#This Row],[Kleur p/j]])&gt;0),1,"")</f>
        <v/>
      </c>
      <c r="J9" s="138">
        <v>44652</v>
      </c>
      <c r="K9" s="34"/>
      <c r="L9" s="34"/>
      <c r="M9" s="34"/>
      <c r="N9" s="34"/>
      <c r="O9" s="162">
        <f>INT(_xlfn.DAYS($P$1,SOTOG[[#This Row],[Datum in gebruikname]])/30.41)</f>
        <v>48</v>
      </c>
      <c r="P9" s="34">
        <f>IF(SOTOG[[#This Row],[Model 1
(eis M1 t/m M27)]]="","",SOTOG[[#This Row],[Zw/w p/m]]*SOTOG[[#This Row],[Aantal maanden]])</f>
        <v>0</v>
      </c>
      <c r="Q9" s="34">
        <f>IF(SOTOG[[#This Row],[Model 1
(eis M1 t/m M27)]]="","",SOTOG[[#This Row],[kleur p/m]]*SOTOG[[#This Row],[Aantal maanden]])</f>
        <v>0</v>
      </c>
      <c r="R9" s="34" t="str">
        <f>IF(SOTOG[[#This Row],[Model 2
(eis M1 t/m M27)]]="","",SOTOG[[#This Row],[Zw/w p/m]]*SOTOG[[#This Row],[Aantal maanden]])</f>
        <v/>
      </c>
      <c r="S9" s="34" t="str">
        <f>IF(SOTOG[[#This Row],[Model 2
(eis M1 t/m M27)]]="","",SOTOG[[#This Row],[kleur p/m]]*SOTOG[[#This Row],[Aantal maanden]])</f>
        <v/>
      </c>
      <c r="T9" s="34"/>
      <c r="U9" s="34">
        <f>IF(SOTOG[[#This Row],[Model 1
(eis M1 t/m M27)]]="","",SOTOG[[#This Row],[Zw/w p/j]])</f>
        <v>0</v>
      </c>
      <c r="V9" s="34">
        <f>IF(SOTOG[[#This Row],[Model 1
(eis M1 t/m M27)]]="","",SOTOG[[#This Row],[Kleur p/j]])</f>
        <v>0</v>
      </c>
      <c r="W9" s="34" t="str">
        <f>IF(SOTOG[[#This Row],[Model 2
(eis M1 t/m M27)]]="","",SOTOG[[#This Row],[Zw/w p/j]])</f>
        <v/>
      </c>
      <c r="X9" s="34" t="str">
        <f>IF(SOTOG[[#This Row],[Model 2
(eis M1 t/m M27)]]="","",SOTOG[[#This Row],[Kleur p/j]])</f>
        <v/>
      </c>
      <c r="Y9" s="34"/>
    </row>
    <row r="10" spans="1:25" s="9" customFormat="1" x14ac:dyDescent="0.35">
      <c r="A10" t="s">
        <v>91</v>
      </c>
      <c r="B10" s="1" t="s">
        <v>92</v>
      </c>
      <c r="C10" t="s">
        <v>120</v>
      </c>
      <c r="D10" t="s">
        <v>121</v>
      </c>
      <c r="E10" t="s">
        <v>122</v>
      </c>
      <c r="F10" t="s">
        <v>123</v>
      </c>
      <c r="G10" s="105">
        <v>1</v>
      </c>
      <c r="H10" s="105" t="str">
        <f>IF(AND(SOTOG[[#This Row],[Zw/w p/j]]+SOTOG[[#This Row],[Kleur p/j]]&gt;=SOTOG!$H$1,SOTOG[[#This Row],[Zw/w p/j]]+SOTOG[[#This Row],[Kleur p/j]]&lt;SOTOG!$G$1),1,"")</f>
        <v/>
      </c>
      <c r="I10" s="105"/>
      <c r="J10" s="138">
        <v>44652</v>
      </c>
      <c r="K10" s="34"/>
      <c r="L10" s="34"/>
      <c r="M10" s="34"/>
      <c r="N10" s="34"/>
      <c r="O10" s="162">
        <f>INT(_xlfn.DAYS($P$1,SOTOG[[#This Row],[Datum in gebruikname]])/30.41)</f>
        <v>48</v>
      </c>
      <c r="P10" s="34">
        <f>IF(SOTOG[[#This Row],[Model 1
(eis M1 t/m M27)]]="","",SOTOG[[#This Row],[Zw/w p/m]]*SOTOG[[#This Row],[Aantal maanden]])</f>
        <v>0</v>
      </c>
      <c r="Q10" s="34">
        <f>IF(SOTOG[[#This Row],[Model 1
(eis M1 t/m M27)]]="","",SOTOG[[#This Row],[kleur p/m]]*SOTOG[[#This Row],[Aantal maanden]])</f>
        <v>0</v>
      </c>
      <c r="R10" s="34" t="str">
        <f>IF(SOTOG[[#This Row],[Model 2
(eis M1 t/m M27)]]="","",SOTOG[[#This Row],[Zw/w p/m]]*SOTOG[[#This Row],[Aantal maanden]])</f>
        <v/>
      </c>
      <c r="S10" s="34" t="str">
        <f>IF(SOTOG[[#This Row],[Model 2
(eis M1 t/m M27)]]="","",SOTOG[[#This Row],[kleur p/m]]*SOTOG[[#This Row],[Aantal maanden]])</f>
        <v/>
      </c>
      <c r="T10" s="34" t="str">
        <f>IF(SOTOG[[#This Row],[Model 3
(eis M1 t/m M27)]]="","",SOTOG[[#This Row],[Zw/w p/m]]*SOTOG[[#This Row],[Aantal maanden]])</f>
        <v/>
      </c>
      <c r="U10" s="34">
        <f>IF(SOTOG[[#This Row],[Model 1
(eis M1 t/m M27)]]="","",SOTOG[[#This Row],[Zw/w p/j]])</f>
        <v>0</v>
      </c>
      <c r="V10" s="34">
        <f>IF(SOTOG[[#This Row],[Model 1
(eis M1 t/m M27)]]="","",SOTOG[[#This Row],[Kleur p/j]])</f>
        <v>0</v>
      </c>
      <c r="W10" s="34" t="str">
        <f>IF(SOTOG[[#This Row],[Model 2
(eis M1 t/m M27)]]="","",SOTOG[[#This Row],[Zw/w p/j]])</f>
        <v/>
      </c>
      <c r="X10" s="34" t="str">
        <f>IF(SOTOG[[#This Row],[Model 2
(eis M1 t/m M27)]]="","",SOTOG[[#This Row],[Kleur p/j]])</f>
        <v/>
      </c>
      <c r="Y10" s="34" t="str">
        <f>IF(SOTOG[[#This Row],[Model 3
(eis M1 t/m M27)]]="","",SOTOG[[#This Row],[Zw/w p/j]])</f>
        <v/>
      </c>
    </row>
    <row r="11" spans="1:25" s="9" customFormat="1" hidden="1" x14ac:dyDescent="0.35">
      <c r="A11" s="180" t="s">
        <v>93</v>
      </c>
      <c r="B11" s="181" t="s">
        <v>94</v>
      </c>
      <c r="C11" s="180" t="s">
        <v>124</v>
      </c>
      <c r="D11" s="180" t="s">
        <v>125</v>
      </c>
      <c r="E11" s="180" t="s">
        <v>126</v>
      </c>
      <c r="F11" s="180" t="s">
        <v>127</v>
      </c>
      <c r="G11" s="105"/>
      <c r="H11" s="105" t="str">
        <f>IF(AND(SOTOG[[#This Row],[Zw/w p/j]]+SOTOG[[#This Row],[Kleur p/j]]&gt;=SOTOG!$H$1,SOTOG[[#This Row],[Zw/w p/j]]+SOTOG[[#This Row],[Kleur p/j]]&lt;SOTOG!$G$1),1,"")</f>
        <v/>
      </c>
      <c r="I11" s="105"/>
      <c r="J11" s="138">
        <v>44652</v>
      </c>
      <c r="K11" s="34"/>
      <c r="L11" s="34"/>
      <c r="M11" s="34"/>
      <c r="N11" s="34"/>
      <c r="O11" s="162">
        <f>INT(_xlfn.DAYS($P$1,SOTOG[[#This Row],[Datum in gebruikname]])/30.41)</f>
        <v>48</v>
      </c>
      <c r="P11" s="34" t="str">
        <f>IF(SOTOG[[#This Row],[Model 1
(eis M1 t/m M27)]]="","",SOTOG[[#This Row],[Zw/w p/m]]*SOTOG[[#This Row],[Aantal maanden]])</f>
        <v/>
      </c>
      <c r="Q11" s="34" t="str">
        <f>IF(SOTOG[[#This Row],[Model 1
(eis M1 t/m M27)]]="","",SOTOG[[#This Row],[kleur p/m]]*SOTOG[[#This Row],[Aantal maanden]])</f>
        <v/>
      </c>
      <c r="R11" s="34" t="str">
        <f>IF(SOTOG[[#This Row],[Model 2
(eis M1 t/m M27)]]="","",SOTOG[[#This Row],[Zw/w p/m]]*SOTOG[[#This Row],[Aantal maanden]])</f>
        <v/>
      </c>
      <c r="S11" s="34" t="str">
        <f>IF(SOTOG[[#This Row],[Model 2
(eis M1 t/m M27)]]="","",SOTOG[[#This Row],[kleur p/m]]*SOTOG[[#This Row],[Aantal maanden]])</f>
        <v/>
      </c>
      <c r="T11" s="34" t="str">
        <f>IF(SOTOG[[#This Row],[Model 3
(eis M1 t/m M27)]]="","",SOTOG[[#This Row],[Zw/w p/m]]*SOTOG[[#This Row],[Aantal maanden]])</f>
        <v/>
      </c>
      <c r="U11" s="34" t="str">
        <f>IF(SOTOG[[#This Row],[Model 1
(eis M1 t/m M27)]]="","",SOTOG[[#This Row],[Zw/w p/j]])</f>
        <v/>
      </c>
      <c r="V11" s="34" t="str">
        <f>IF(SOTOG[[#This Row],[Model 1
(eis M1 t/m M27)]]="","",SOTOG[[#This Row],[Kleur p/j]])</f>
        <v/>
      </c>
      <c r="W11" s="34" t="str">
        <f>IF(SOTOG[[#This Row],[Model 2
(eis M1 t/m M27)]]="","",SOTOG[[#This Row],[Zw/w p/j]])</f>
        <v/>
      </c>
      <c r="X11" s="34" t="str">
        <f>IF(SOTOG[[#This Row],[Model 2
(eis M1 t/m M27)]]="","",SOTOG[[#This Row],[Kleur p/j]])</f>
        <v/>
      </c>
      <c r="Y11" s="34" t="str">
        <f>IF(SOTOG[[#This Row],[Model 3
(eis M1 t/m M27)]]="","",SOTOG[[#This Row],[Zw/w p/j]])</f>
        <v/>
      </c>
    </row>
    <row r="12" spans="1:25" s="9" customFormat="1" x14ac:dyDescent="0.35">
      <c r="A12" t="s">
        <v>95</v>
      </c>
      <c r="B12" s="1" t="s">
        <v>96</v>
      </c>
      <c r="C12" t="s">
        <v>124</v>
      </c>
      <c r="D12" t="s">
        <v>125</v>
      </c>
      <c r="E12" t="s">
        <v>126</v>
      </c>
      <c r="F12" t="s">
        <v>127</v>
      </c>
      <c r="G12" s="105">
        <v>1</v>
      </c>
      <c r="H12" s="110"/>
      <c r="I12" s="110"/>
      <c r="J12" s="138">
        <v>44652</v>
      </c>
      <c r="K12" s="34"/>
      <c r="L12" s="34"/>
      <c r="M12" s="34"/>
      <c r="N12" s="34"/>
      <c r="O12" s="162">
        <f>INT(_xlfn.DAYS($P$1,SOTOG[[#This Row],[Datum in gebruikname]])/30.41)</f>
        <v>48</v>
      </c>
      <c r="P12" s="34">
        <f>IF(SOTOG[[#This Row],[Model 1
(eis M1 t/m M27)]]="","",SOTOG[[#This Row],[Zw/w p/m]]*SOTOG[[#This Row],[Aantal maanden]])</f>
        <v>0</v>
      </c>
      <c r="Q12" s="34">
        <f>IF(SOTOG[[#This Row],[Model 1
(eis M1 t/m M27)]]="","",SOTOG[[#This Row],[kleur p/m]]*SOTOG[[#This Row],[Aantal maanden]])</f>
        <v>0</v>
      </c>
      <c r="R12" s="34" t="str">
        <f>IF(SOTOG[[#This Row],[Model 2
(eis M1 t/m M27)]]="","",SOTOG[[#This Row],[Zw/w p/m]]*SOTOG[[#This Row],[Aantal maanden]])</f>
        <v/>
      </c>
      <c r="S12" s="34" t="str">
        <f>IF(SOTOG[[#This Row],[Model 2
(eis M1 t/m M27)]]="","",SOTOG[[#This Row],[kleur p/m]]*SOTOG[[#This Row],[Aantal maanden]])</f>
        <v/>
      </c>
      <c r="T12" s="34" t="str">
        <f>IF(SOTOG[[#This Row],[Model 3
(eis M1 t/m M27)]]="","",SOTOG[[#This Row],[Zw/w p/m]]*SOTOG[[#This Row],[Aantal maanden]])</f>
        <v/>
      </c>
      <c r="U12" s="34">
        <f>IF(SOTOG[[#This Row],[Model 1
(eis M1 t/m M27)]]="","",SOTOG[[#This Row],[Zw/w p/j]])</f>
        <v>0</v>
      </c>
      <c r="V12" s="34">
        <f>IF(SOTOG[[#This Row],[Model 1
(eis M1 t/m M27)]]="","",SOTOG[[#This Row],[Kleur p/j]])</f>
        <v>0</v>
      </c>
      <c r="W12" s="34" t="str">
        <f>IF(SOTOG[[#This Row],[Model 2
(eis M1 t/m M27)]]="","",SOTOG[[#This Row],[Zw/w p/j]])</f>
        <v/>
      </c>
      <c r="X12" s="34" t="str">
        <f>IF(SOTOG[[#This Row],[Model 2
(eis M1 t/m M27)]]="","",SOTOG[[#This Row],[Kleur p/j]])</f>
        <v/>
      </c>
      <c r="Y12" s="34" t="str">
        <f>IF(SOTOG[[#This Row],[Model 3
(eis M1 t/m M27)]]="","",SOTOG[[#This Row],[Zw/w p/j]])</f>
        <v/>
      </c>
    </row>
    <row r="13" spans="1:25" s="9" customFormat="1" x14ac:dyDescent="0.35">
      <c r="A13" t="s">
        <v>95</v>
      </c>
      <c r="B13" s="1" t="s">
        <v>96</v>
      </c>
      <c r="C13" t="s">
        <v>124</v>
      </c>
      <c r="D13" t="s">
        <v>125</v>
      </c>
      <c r="E13" t="s">
        <v>126</v>
      </c>
      <c r="F13" t="s">
        <v>127</v>
      </c>
      <c r="G13" s="105" t="str">
        <f>IF(SOTOG[[#This Row],[Zw/w p/j]]=0,"",IF((SOTOG[[#This Row],[Zw/w p/j]]+SOTOG[[#This Row],[Kleur p/j]])&lt;SOTOG!$I$1,"",IF((SOTOG[[#This Row],[Zw/w p/j]]+SOTOG[[#This Row],[Kleur p/j]])&lt;SOTOG!$H$1,1,IF((SOTOG[[#This Row],[Zw/w p/j]]+SOTOG[[#This Row],[Kleur p/j]])&gt;SOTOG!$G$1,2,""))))</f>
        <v/>
      </c>
      <c r="H13" s="110">
        <v>1</v>
      </c>
      <c r="I13" s="110" t="str">
        <f>IF(AND((SOTOG[[#This Row],[Zw/w p/j]]+SOTOG[[#This Row],[Kleur p/j]])&lt;$I$1,(SOTOG[[#This Row],[Zw/w p/j]]+SOTOG[[#This Row],[Kleur p/j]])&gt;0),1,"")</f>
        <v/>
      </c>
      <c r="J13" s="138">
        <v>44652</v>
      </c>
      <c r="K13" s="34"/>
      <c r="L13" s="34"/>
      <c r="M13" s="34"/>
      <c r="N13" s="34"/>
      <c r="O13" s="162">
        <f>INT(_xlfn.DAYS($P$1,SOTOG[[#This Row],[Datum in gebruikname]])/30.41)</f>
        <v>48</v>
      </c>
      <c r="P13" s="34" t="str">
        <f>IF(SOTOG[[#This Row],[Model 1
(eis M1 t/m M27)]]="","",SOTOG[[#This Row],[Zw/w p/m]]*SOTOG[[#This Row],[Aantal maanden]])</f>
        <v/>
      </c>
      <c r="Q13" s="34" t="str">
        <f>IF(SOTOG[[#This Row],[Model 1
(eis M1 t/m M27)]]="","",SOTOG[[#This Row],[kleur p/m]]*SOTOG[[#This Row],[Aantal maanden]])</f>
        <v/>
      </c>
      <c r="R13" s="34">
        <f>IF(SOTOG[[#This Row],[Model 2
(eis M1 t/m M27)]]="","",SOTOG[[#This Row],[Zw/w p/m]]*SOTOG[[#This Row],[Aantal maanden]])</f>
        <v>0</v>
      </c>
      <c r="S13" s="34">
        <f>IF(SOTOG[[#This Row],[Model 2
(eis M1 t/m M27)]]="","",SOTOG[[#This Row],[kleur p/m]]*SOTOG[[#This Row],[Aantal maanden]])</f>
        <v>0</v>
      </c>
      <c r="T13" s="34"/>
      <c r="U13" s="34" t="str">
        <f>IF(SOTOG[[#This Row],[Model 1
(eis M1 t/m M27)]]="","",SOTOG[[#This Row],[Zw/w p/j]])</f>
        <v/>
      </c>
      <c r="V13" s="34" t="str">
        <f>IF(SOTOG[[#This Row],[Model 1
(eis M1 t/m M27)]]="","",SOTOG[[#This Row],[Kleur p/j]])</f>
        <v/>
      </c>
      <c r="W13" s="34">
        <f>IF(SOTOG[[#This Row],[Model 2
(eis M1 t/m M27)]]="","",SOTOG[[#This Row],[Zw/w p/j]])</f>
        <v>0</v>
      </c>
      <c r="X13" s="34">
        <f>IF(SOTOG[[#This Row],[Model 2
(eis M1 t/m M27)]]="","",SOTOG[[#This Row],[Kleur p/j]])</f>
        <v>0</v>
      </c>
      <c r="Y13" s="34"/>
    </row>
    <row r="14" spans="1:25" s="9" customFormat="1" x14ac:dyDescent="0.35">
      <c r="A14" t="s">
        <v>95</v>
      </c>
      <c r="B14" s="1" t="s">
        <v>96</v>
      </c>
      <c r="C14" t="s">
        <v>124</v>
      </c>
      <c r="D14" t="s">
        <v>125</v>
      </c>
      <c r="E14" t="s">
        <v>126</v>
      </c>
      <c r="F14" t="s">
        <v>127</v>
      </c>
      <c r="G14" s="105" t="str">
        <f>IF(SOTOG[[#This Row],[Zw/w p/j]]=0,"",IF((SOTOG[[#This Row],[Zw/w p/j]]+SOTOG[[#This Row],[Kleur p/j]])&lt;SOTOG!$I$1,"",IF((SOTOG[[#This Row],[Zw/w p/j]]+SOTOG[[#This Row],[Kleur p/j]])&lt;SOTOG!$H$1,1,IF((SOTOG[[#This Row],[Zw/w p/j]]+SOTOG[[#This Row],[Kleur p/j]])&gt;SOTOG!$G$1,2,""))))</f>
        <v/>
      </c>
      <c r="H14" s="110"/>
      <c r="I14" s="110">
        <v>3</v>
      </c>
      <c r="J14" s="138">
        <v>44652</v>
      </c>
      <c r="K14" s="34"/>
      <c r="L14" s="34"/>
      <c r="M14" s="34"/>
      <c r="N14" s="34"/>
      <c r="O14" s="162">
        <f>INT(_xlfn.DAYS($P$1,SOTOG[[#This Row],[Datum in gebruikname]])/30.41)</f>
        <v>48</v>
      </c>
      <c r="P14" s="34" t="str">
        <f>IF(SOTOG[[#This Row],[Model 1
(eis M1 t/m M27)]]="","",SOTOG[[#This Row],[Zw/w p/m]]*SOTOG[[#This Row],[Aantal maanden]])</f>
        <v/>
      </c>
      <c r="Q14" s="34" t="str">
        <f>IF(SOTOG[[#This Row],[Model 1
(eis M1 t/m M27)]]="","",SOTOG[[#This Row],[kleur p/m]]*SOTOG[[#This Row],[Aantal maanden]])</f>
        <v/>
      </c>
      <c r="R14" s="34" t="str">
        <f>IF(SOTOG[[#This Row],[Model 2
(eis M1 t/m M27)]]="","",SOTOG[[#This Row],[Zw/w p/m]]*SOTOG[[#This Row],[Aantal maanden]])</f>
        <v/>
      </c>
      <c r="S14" s="34" t="str">
        <f>IF(SOTOG[[#This Row],[Model 2
(eis M1 t/m M27)]]="","",SOTOG[[#This Row],[kleur p/m]]*SOTOG[[#This Row],[Aantal maanden]])</f>
        <v/>
      </c>
      <c r="T14" s="34"/>
      <c r="U14" s="34" t="str">
        <f>IF(SOTOG[[#This Row],[Model 1
(eis M1 t/m M27)]]="","",SOTOG[[#This Row],[Zw/w p/j]])</f>
        <v/>
      </c>
      <c r="V14" s="34" t="str">
        <f>IF(SOTOG[[#This Row],[Model 1
(eis M1 t/m M27)]]="","",SOTOG[[#This Row],[Kleur p/j]])</f>
        <v/>
      </c>
      <c r="W14" s="34" t="str">
        <f>IF(SOTOG[[#This Row],[Model 2
(eis M1 t/m M27)]]="","",SOTOG[[#This Row],[Zw/w p/j]])</f>
        <v/>
      </c>
      <c r="X14" s="34" t="str">
        <f>IF(SOTOG[[#This Row],[Model 2
(eis M1 t/m M27)]]="","",SOTOG[[#This Row],[Kleur p/j]])</f>
        <v/>
      </c>
      <c r="Y14" s="34"/>
    </row>
    <row r="15" spans="1:25" s="9" customFormat="1" x14ac:dyDescent="0.35">
      <c r="A15" t="s">
        <v>97</v>
      </c>
      <c r="B15" s="1" t="s">
        <v>98</v>
      </c>
      <c r="C15" t="s">
        <v>128</v>
      </c>
      <c r="D15" t="s">
        <v>129</v>
      </c>
      <c r="E15" t="s">
        <v>126</v>
      </c>
      <c r="F15" t="s">
        <v>130</v>
      </c>
      <c r="G15" s="105">
        <v>1</v>
      </c>
      <c r="H15" s="105" t="str">
        <f>IF(AND(SOTOG[[#This Row],[Zw/w p/j]]+SOTOG[[#This Row],[Kleur p/j]]&gt;=SOTOG!$H$1,SOTOG[[#This Row],[Zw/w p/j]]+SOTOG[[#This Row],[Kleur p/j]]&lt;SOTOG!$G$1),1,"")</f>
        <v/>
      </c>
      <c r="I15" s="105" t="str">
        <f>IF(AND((SOTOG[[#This Row],[Zw/w p/j]]+SOTOG[[#This Row],[Kleur p/j]])&lt;$I$1,(SOTOG[[#This Row],[Zw/w p/j]]+SOTOG[[#This Row],[Kleur p/j]])&gt;0),1,"")</f>
        <v/>
      </c>
      <c r="J15" s="138">
        <v>44652</v>
      </c>
      <c r="K15" s="34"/>
      <c r="L15" s="34"/>
      <c r="M15" s="34"/>
      <c r="N15" s="34"/>
      <c r="O15" s="162">
        <f>INT(_xlfn.DAYS($P$1,SOTOG[[#This Row],[Datum in gebruikname]])/30.41)</f>
        <v>48</v>
      </c>
      <c r="P15" s="34">
        <f>IF(SOTOG[[#This Row],[Model 1
(eis M1 t/m M27)]]="","",SOTOG[[#This Row],[Zw/w p/m]]*SOTOG[[#This Row],[Aantal maanden]])</f>
        <v>0</v>
      </c>
      <c r="Q15" s="34">
        <f>IF(SOTOG[[#This Row],[Model 1
(eis M1 t/m M27)]]="","",SOTOG[[#This Row],[kleur p/m]]*SOTOG[[#This Row],[Aantal maanden]])</f>
        <v>0</v>
      </c>
      <c r="R15" s="34" t="str">
        <f>IF(SOTOG[[#This Row],[Model 2
(eis M1 t/m M27)]]="","",SOTOG[[#This Row],[Zw/w p/m]]*SOTOG[[#This Row],[Aantal maanden]])</f>
        <v/>
      </c>
      <c r="S15" s="34" t="str">
        <f>IF(SOTOG[[#This Row],[Model 2
(eis M1 t/m M27)]]="","",SOTOG[[#This Row],[kleur p/m]]*SOTOG[[#This Row],[Aantal maanden]])</f>
        <v/>
      </c>
      <c r="T15" s="34" t="str">
        <f>IF(SOTOG[[#This Row],[Model 3
(eis M1 t/m M27)]]="","",SOTOG[[#This Row],[Zw/w p/m]]*SOTOG[[#This Row],[Aantal maanden]])</f>
        <v/>
      </c>
      <c r="U15" s="34">
        <f>IF(SOTOG[[#This Row],[Model 1
(eis M1 t/m M27)]]="","",SOTOG[[#This Row],[Zw/w p/j]])</f>
        <v>0</v>
      </c>
      <c r="V15" s="34">
        <f>IF(SOTOG[[#This Row],[Model 1
(eis M1 t/m M27)]]="","",SOTOG[[#This Row],[Kleur p/j]])</f>
        <v>0</v>
      </c>
      <c r="W15" s="34" t="str">
        <f>IF(SOTOG[[#This Row],[Model 2
(eis M1 t/m M27)]]="","",SOTOG[[#This Row],[Zw/w p/j]])</f>
        <v/>
      </c>
      <c r="X15" s="34" t="str">
        <f>IF(SOTOG[[#This Row],[Model 2
(eis M1 t/m M27)]]="","",SOTOG[[#This Row],[Kleur p/j]])</f>
        <v/>
      </c>
      <c r="Y15" s="34" t="str">
        <f>IF(SOTOG[[#This Row],[Model 3
(eis M1 t/m M27)]]="","",SOTOG[[#This Row],[Zw/w p/j]])</f>
        <v/>
      </c>
    </row>
    <row r="16" spans="1:25" s="9" customFormat="1" x14ac:dyDescent="0.35">
      <c r="A16" t="s">
        <v>99</v>
      </c>
      <c r="B16" s="1" t="s">
        <v>100</v>
      </c>
      <c r="C16" t="s">
        <v>131</v>
      </c>
      <c r="D16" t="s">
        <v>132</v>
      </c>
      <c r="E16" t="s">
        <v>133</v>
      </c>
      <c r="F16" t="s">
        <v>134</v>
      </c>
      <c r="G16" s="105">
        <v>1</v>
      </c>
      <c r="H16" s="105" t="str">
        <f>IF(AND(SOTOG[[#This Row],[Zw/w p/j]]+SOTOG[[#This Row],[Kleur p/j]]&gt;=SOTOG!$H$1,SOTOG[[#This Row],[Zw/w p/j]]+SOTOG[[#This Row],[Kleur p/j]]&lt;SOTOG!$G$1),1,"")</f>
        <v/>
      </c>
      <c r="I16" s="110"/>
      <c r="J16" s="138">
        <v>44652</v>
      </c>
      <c r="K16" s="34"/>
      <c r="L16" s="34"/>
      <c r="M16" s="34"/>
      <c r="N16" s="34"/>
      <c r="O16" s="162">
        <f>INT(_xlfn.DAYS($P$1,SOTOG[[#This Row],[Datum in gebruikname]])/30.41)</f>
        <v>48</v>
      </c>
      <c r="P16" s="34">
        <f>IF(SOTOG[[#This Row],[Model 1
(eis M1 t/m M27)]]="","",SOTOG[[#This Row],[Zw/w p/m]]*SOTOG[[#This Row],[Aantal maanden]])</f>
        <v>0</v>
      </c>
      <c r="Q16" s="34">
        <f>IF(SOTOG[[#This Row],[Model 1
(eis M1 t/m M27)]]="","",SOTOG[[#This Row],[kleur p/m]]*SOTOG[[#This Row],[Aantal maanden]])</f>
        <v>0</v>
      </c>
      <c r="R16" s="34" t="str">
        <f>IF(SOTOG[[#This Row],[Model 2
(eis M1 t/m M27)]]="","",SOTOG[[#This Row],[Zw/w p/m]]*SOTOG[[#This Row],[Aantal maanden]])</f>
        <v/>
      </c>
      <c r="S16" s="34" t="str">
        <f>IF(SOTOG[[#This Row],[Model 2
(eis M1 t/m M27)]]="","",SOTOG[[#This Row],[kleur p/m]]*SOTOG[[#This Row],[Aantal maanden]])</f>
        <v/>
      </c>
      <c r="T16" s="34" t="str">
        <f>IF(SOTOG[[#This Row],[Model 3
(eis M1 t/m M27)]]="","",SOTOG[[#This Row],[Zw/w p/m]]*SOTOG[[#This Row],[Aantal maanden]])</f>
        <v/>
      </c>
      <c r="U16" s="34">
        <f>IF(SOTOG[[#This Row],[Model 1
(eis M1 t/m M27)]]="","",SOTOG[[#This Row],[Zw/w p/j]])</f>
        <v>0</v>
      </c>
      <c r="V16" s="34">
        <f>IF(SOTOG[[#This Row],[Model 1
(eis M1 t/m M27)]]="","",SOTOG[[#This Row],[Kleur p/j]])</f>
        <v>0</v>
      </c>
      <c r="W16" s="34" t="str">
        <f>IF(SOTOG[[#This Row],[Model 2
(eis M1 t/m M27)]]="","",SOTOG[[#This Row],[Zw/w p/j]])</f>
        <v/>
      </c>
      <c r="X16" s="34" t="str">
        <f>IF(SOTOG[[#This Row],[Model 2
(eis M1 t/m M27)]]="","",SOTOG[[#This Row],[Kleur p/j]])</f>
        <v/>
      </c>
      <c r="Y16" s="34" t="str">
        <f>IF(SOTOG[[#This Row],[Model 3
(eis M1 t/m M27)]]="","",SOTOG[[#This Row],[Zw/w p/j]])</f>
        <v/>
      </c>
    </row>
    <row r="17" spans="1:31" s="9" customFormat="1" x14ac:dyDescent="0.35">
      <c r="A17" t="s">
        <v>99</v>
      </c>
      <c r="B17" s="1" t="s">
        <v>100</v>
      </c>
      <c r="C17" t="s">
        <v>131</v>
      </c>
      <c r="D17" t="s">
        <v>132</v>
      </c>
      <c r="E17" t="s">
        <v>133</v>
      </c>
      <c r="F17" t="s">
        <v>134</v>
      </c>
      <c r="G17" s="105" t="str">
        <f>IF(SOTOG[[#This Row],[Zw/w p/j]]=0,"",IF((SOTOG[[#This Row],[Zw/w p/j]]+SOTOG[[#This Row],[Kleur p/j]])&lt;SOTOG!$I$1,"",IF((SOTOG[[#This Row],[Zw/w p/j]]+SOTOG[[#This Row],[Kleur p/j]])&lt;SOTOG!$H$1,1,IF((SOTOG[[#This Row],[Zw/w p/j]]+SOTOG[[#This Row],[Kleur p/j]])&gt;SOTOG!$G$1,2,""))))</f>
        <v/>
      </c>
      <c r="H17" s="105"/>
      <c r="I17" s="110">
        <v>1</v>
      </c>
      <c r="J17" s="138">
        <v>44652</v>
      </c>
      <c r="K17" s="34"/>
      <c r="L17" s="34"/>
      <c r="M17" s="34"/>
      <c r="N17" s="34"/>
      <c r="O17" s="162">
        <f>INT(_xlfn.DAYS($P$1,SOTOG[[#This Row],[Datum in gebruikname]])/30.41)</f>
        <v>48</v>
      </c>
      <c r="P17" s="34" t="str">
        <f>IF(SOTOG[[#This Row],[Model 1
(eis M1 t/m M27)]]="","",SOTOG[[#This Row],[Zw/w p/m]]*SOTOG[[#This Row],[Aantal maanden]])</f>
        <v/>
      </c>
      <c r="Q17" s="34" t="str">
        <f>IF(SOTOG[[#This Row],[Model 1
(eis M1 t/m M27)]]="","",SOTOG[[#This Row],[kleur p/m]]*SOTOG[[#This Row],[Aantal maanden]])</f>
        <v/>
      </c>
      <c r="R17" s="34" t="str">
        <f>IF(SOTOG[[#This Row],[Model 2
(eis M1 t/m M27)]]="","",SOTOG[[#This Row],[Zw/w p/m]]*SOTOG[[#This Row],[Aantal maanden]])</f>
        <v/>
      </c>
      <c r="S17" s="34" t="str">
        <f>IF(SOTOG[[#This Row],[Model 2
(eis M1 t/m M27)]]="","",SOTOG[[#This Row],[kleur p/m]]*SOTOG[[#This Row],[Aantal maanden]])</f>
        <v/>
      </c>
      <c r="T17" s="34"/>
      <c r="U17" s="34" t="str">
        <f>IF(SOTOG[[#This Row],[Model 1
(eis M1 t/m M27)]]="","",SOTOG[[#This Row],[Zw/w p/j]])</f>
        <v/>
      </c>
      <c r="V17" s="34" t="str">
        <f>IF(SOTOG[[#This Row],[Model 1
(eis M1 t/m M27)]]="","",SOTOG[[#This Row],[Kleur p/j]])</f>
        <v/>
      </c>
      <c r="W17" s="34" t="str">
        <f>IF(SOTOG[[#This Row],[Model 2
(eis M1 t/m M27)]]="","",SOTOG[[#This Row],[Zw/w p/j]])</f>
        <v/>
      </c>
      <c r="X17" s="34" t="str">
        <f>IF(SOTOG[[#This Row],[Model 2
(eis M1 t/m M27)]]="","",SOTOG[[#This Row],[Kleur p/j]])</f>
        <v/>
      </c>
      <c r="Y17" s="34"/>
    </row>
    <row r="18" spans="1:31" s="9" customFormat="1" x14ac:dyDescent="0.35">
      <c r="A18" s="9" t="s">
        <v>101</v>
      </c>
      <c r="B18" s="109" t="s">
        <v>102</v>
      </c>
      <c r="C18" s="9" t="s">
        <v>135</v>
      </c>
      <c r="D18" s="9" t="s">
        <v>136</v>
      </c>
      <c r="E18" s="9" t="s">
        <v>118</v>
      </c>
      <c r="F18" s="9" t="s">
        <v>119</v>
      </c>
      <c r="G18" s="105">
        <v>1</v>
      </c>
      <c r="H18" s="110"/>
      <c r="I18" s="110"/>
      <c r="J18" s="138">
        <v>44652</v>
      </c>
      <c r="K18" s="111"/>
      <c r="L18" s="111"/>
      <c r="M18" s="111"/>
      <c r="N18" s="34"/>
      <c r="O18" s="162">
        <f>INT(_xlfn.DAYS($P$1,SOTOG[[#This Row],[Datum in gebruikname]])/30.41)</f>
        <v>48</v>
      </c>
      <c r="P18" s="34">
        <f>IF(SOTOG[[#This Row],[Model 1
(eis M1 t/m M27)]]="","",SOTOG[[#This Row],[Zw/w p/m]]*SOTOG[[#This Row],[Aantal maanden]])</f>
        <v>0</v>
      </c>
      <c r="Q18" s="34">
        <f>IF(SOTOG[[#This Row],[Model 1
(eis M1 t/m M27)]]="","",SOTOG[[#This Row],[kleur p/m]]*SOTOG[[#This Row],[Aantal maanden]])</f>
        <v>0</v>
      </c>
      <c r="R18" s="34" t="str">
        <f>IF(SOTOG[[#This Row],[Model 2
(eis M1 t/m M27)]]="","",SOTOG[[#This Row],[Zw/w p/m]]*SOTOG[[#This Row],[Aantal maanden]])</f>
        <v/>
      </c>
      <c r="S18" s="34" t="str">
        <f>IF(SOTOG[[#This Row],[Model 2
(eis M1 t/m M27)]]="","",SOTOG[[#This Row],[kleur p/m]]*SOTOG[[#This Row],[Aantal maanden]])</f>
        <v/>
      </c>
      <c r="T18" s="34" t="str">
        <f>IF(SOTOG[[#This Row],[Model 3
(eis M1 t/m M27)]]="","",SOTOG[[#This Row],[Zw/w p/m]]*SOTOG[[#This Row],[Aantal maanden]])</f>
        <v/>
      </c>
      <c r="U18" s="34">
        <f>IF(SOTOG[[#This Row],[Model 1
(eis M1 t/m M27)]]="","",SOTOG[[#This Row],[Zw/w p/j]])</f>
        <v>0</v>
      </c>
      <c r="V18" s="34">
        <f>IF(SOTOG[[#This Row],[Model 1
(eis M1 t/m M27)]]="","",SOTOG[[#This Row],[Kleur p/j]])</f>
        <v>0</v>
      </c>
      <c r="W18" s="34" t="str">
        <f>IF(SOTOG[[#This Row],[Model 2
(eis M1 t/m M27)]]="","",SOTOG[[#This Row],[Zw/w p/j]])</f>
        <v/>
      </c>
      <c r="X18" s="34" t="str">
        <f>IF(SOTOG[[#This Row],[Model 2
(eis M1 t/m M27)]]="","",SOTOG[[#This Row],[Kleur p/j]])</f>
        <v/>
      </c>
      <c r="Y18" s="34" t="str">
        <f>IF(SOTOG[[#This Row],[Model 3
(eis M1 t/m M27)]]="","",SOTOG[[#This Row],[Zw/w p/j]])</f>
        <v/>
      </c>
    </row>
    <row r="19" spans="1:31" s="9" customFormat="1" x14ac:dyDescent="0.35">
      <c r="A19" s="9" t="s">
        <v>101</v>
      </c>
      <c r="B19" s="109" t="s">
        <v>102</v>
      </c>
      <c r="C19" s="9" t="s">
        <v>135</v>
      </c>
      <c r="D19" s="9" t="s">
        <v>136</v>
      </c>
      <c r="E19" s="9" t="s">
        <v>118</v>
      </c>
      <c r="F19" s="9" t="s">
        <v>119</v>
      </c>
      <c r="G19" s="105" t="str">
        <f>IF(SOTOG[[#This Row],[Zw/w p/j]]=0,"",IF((SOTOG[[#This Row],[Zw/w p/j]]+SOTOG[[#This Row],[Kleur p/j]])&lt;SOTOG!$I$1,"",IF((SOTOG[[#This Row],[Zw/w p/j]]+SOTOG[[#This Row],[Kleur p/j]])&lt;SOTOG!$H$1,1,IF((SOTOG[[#This Row],[Zw/w p/j]]+SOTOG[[#This Row],[Kleur p/j]])&gt;SOTOG!$G$1,2,""))))</f>
        <v/>
      </c>
      <c r="H19" s="110">
        <v>1</v>
      </c>
      <c r="I19" s="110" t="str">
        <f>IF(AND((SOTOG[[#This Row],[Zw/w p/j]]+SOTOG[[#This Row],[Kleur p/j]])&lt;$I$1,(SOTOG[[#This Row],[Zw/w p/j]]+SOTOG[[#This Row],[Kleur p/j]])&gt;0),1,"")</f>
        <v/>
      </c>
      <c r="J19" s="138">
        <v>44652</v>
      </c>
      <c r="K19" s="111"/>
      <c r="L19" s="111"/>
      <c r="M19" s="111"/>
      <c r="N19" s="34"/>
      <c r="O19" s="162">
        <f>INT(_xlfn.DAYS($P$1,SOTOG[[#This Row],[Datum in gebruikname]])/30.41)</f>
        <v>48</v>
      </c>
      <c r="P19" s="34" t="str">
        <f>IF(SOTOG[[#This Row],[Model 1
(eis M1 t/m M27)]]="","",SOTOG[[#This Row],[Zw/w p/m]]*SOTOG[[#This Row],[Aantal maanden]])</f>
        <v/>
      </c>
      <c r="Q19" s="34" t="str">
        <f>IF(SOTOG[[#This Row],[Model 1
(eis M1 t/m M27)]]="","",SOTOG[[#This Row],[kleur p/m]]*SOTOG[[#This Row],[Aantal maanden]])</f>
        <v/>
      </c>
      <c r="R19" s="34">
        <f>IF(SOTOG[[#This Row],[Model 2
(eis M1 t/m M27)]]="","",SOTOG[[#This Row],[Zw/w p/m]]*SOTOG[[#This Row],[Aantal maanden]])</f>
        <v>0</v>
      </c>
      <c r="S19" s="34">
        <f>IF(SOTOG[[#This Row],[Model 2
(eis M1 t/m M27)]]="","",SOTOG[[#This Row],[kleur p/m]]*SOTOG[[#This Row],[Aantal maanden]])</f>
        <v>0</v>
      </c>
      <c r="T19" s="34"/>
      <c r="U19" s="34" t="str">
        <f>IF(SOTOG[[#This Row],[Model 1
(eis M1 t/m M27)]]="","",SOTOG[[#This Row],[Zw/w p/j]])</f>
        <v/>
      </c>
      <c r="V19" s="34" t="str">
        <f>IF(SOTOG[[#This Row],[Model 1
(eis M1 t/m M27)]]="","",SOTOG[[#This Row],[Kleur p/j]])</f>
        <v/>
      </c>
      <c r="W19" s="34">
        <f>IF(SOTOG[[#This Row],[Model 2
(eis M1 t/m M27)]]="","",SOTOG[[#This Row],[Zw/w p/j]])</f>
        <v>0</v>
      </c>
      <c r="X19" s="34">
        <f>IF(SOTOG[[#This Row],[Model 2
(eis M1 t/m M27)]]="","",SOTOG[[#This Row],[Kleur p/j]])</f>
        <v>0</v>
      </c>
      <c r="Y19" s="34"/>
    </row>
    <row r="20" spans="1:31" s="9" customFormat="1" x14ac:dyDescent="0.35">
      <c r="A20" s="9" t="s">
        <v>101</v>
      </c>
      <c r="B20" s="109" t="s">
        <v>102</v>
      </c>
      <c r="C20" s="9" t="s">
        <v>135</v>
      </c>
      <c r="D20" s="9" t="s">
        <v>136</v>
      </c>
      <c r="E20" s="9" t="s">
        <v>118</v>
      </c>
      <c r="F20" s="9" t="s">
        <v>119</v>
      </c>
      <c r="G20" s="105" t="str">
        <f>IF(SOTOG[[#This Row],[Zw/w p/j]]=0,"",IF((SOTOG[[#This Row],[Zw/w p/j]]+SOTOG[[#This Row],[Kleur p/j]])&lt;SOTOG!$I$1,"",IF((SOTOG[[#This Row],[Zw/w p/j]]+SOTOG[[#This Row],[Kleur p/j]])&lt;SOTOG!$H$1,1,IF((SOTOG[[#This Row],[Zw/w p/j]]+SOTOG[[#This Row],[Kleur p/j]])&gt;SOTOG!$G$1,2,""))))</f>
        <v/>
      </c>
      <c r="H20" s="110"/>
      <c r="I20" s="110">
        <v>1</v>
      </c>
      <c r="J20" s="138">
        <v>44652</v>
      </c>
      <c r="K20" s="111"/>
      <c r="L20" s="111"/>
      <c r="M20" s="111"/>
      <c r="N20" s="34"/>
      <c r="O20" s="162">
        <f>INT(_xlfn.DAYS($P$1,SOTOG[[#This Row],[Datum in gebruikname]])/30.41)</f>
        <v>48</v>
      </c>
      <c r="P20" s="34" t="str">
        <f>IF(SOTOG[[#This Row],[Model 1
(eis M1 t/m M27)]]="","",SOTOG[[#This Row],[Zw/w p/m]]*SOTOG[[#This Row],[Aantal maanden]])</f>
        <v/>
      </c>
      <c r="Q20" s="34" t="str">
        <f>IF(SOTOG[[#This Row],[Model 1
(eis M1 t/m M27)]]="","",SOTOG[[#This Row],[kleur p/m]]*SOTOG[[#This Row],[Aantal maanden]])</f>
        <v/>
      </c>
      <c r="R20" s="34" t="str">
        <f>IF(SOTOG[[#This Row],[Model 2
(eis M1 t/m M27)]]="","",SOTOG[[#This Row],[Zw/w p/m]]*SOTOG[[#This Row],[Aantal maanden]])</f>
        <v/>
      </c>
      <c r="S20" s="34" t="str">
        <f>IF(SOTOG[[#This Row],[Model 2
(eis M1 t/m M27)]]="","",SOTOG[[#This Row],[kleur p/m]]*SOTOG[[#This Row],[Aantal maanden]])</f>
        <v/>
      </c>
      <c r="T20" s="34"/>
      <c r="U20" s="34" t="str">
        <f>IF(SOTOG[[#This Row],[Model 1
(eis M1 t/m M27)]]="","",SOTOG[[#This Row],[Zw/w p/j]])</f>
        <v/>
      </c>
      <c r="V20" s="34" t="str">
        <f>IF(SOTOG[[#This Row],[Model 1
(eis M1 t/m M27)]]="","",SOTOG[[#This Row],[Kleur p/j]])</f>
        <v/>
      </c>
      <c r="W20" s="34" t="str">
        <f>IF(SOTOG[[#This Row],[Model 2
(eis M1 t/m M27)]]="","",SOTOG[[#This Row],[Zw/w p/j]])</f>
        <v/>
      </c>
      <c r="X20" s="34" t="str">
        <f>IF(SOTOG[[#This Row],[Model 2
(eis M1 t/m M27)]]="","",SOTOG[[#This Row],[Kleur p/j]])</f>
        <v/>
      </c>
      <c r="Y20" s="34"/>
    </row>
    <row r="21" spans="1:31" s="9" customFormat="1" x14ac:dyDescent="0.35">
      <c r="A21" s="9" t="s">
        <v>103</v>
      </c>
      <c r="B21" s="109" t="s">
        <v>167</v>
      </c>
      <c r="C21" s="9" t="s">
        <v>137</v>
      </c>
      <c r="D21" s="9" t="s">
        <v>138</v>
      </c>
      <c r="E21" s="9" t="s">
        <v>8</v>
      </c>
      <c r="F21" s="9" t="s">
        <v>139</v>
      </c>
      <c r="G21" s="105">
        <v>1</v>
      </c>
      <c r="H21" s="110" t="str">
        <f>IF(AND(SOTOG[[#This Row],[Zw/w p/j]]+SOTOG[[#This Row],[Kleur p/j]]&gt;=SOTOG!$H$1,SOTOG[[#This Row],[Zw/w p/j]]+SOTOG[[#This Row],[Kleur p/j]]&lt;SOTOG!$G$1),1,"")</f>
        <v/>
      </c>
      <c r="I21" s="110" t="str">
        <f>IF(AND((SOTOG[[#This Row],[Zw/w p/j]]+SOTOG[[#This Row],[Kleur p/j]])&lt;$I$1,(SOTOG[[#This Row],[Zw/w p/j]]+SOTOG[[#This Row],[Kleur p/j]])&gt;0),1,"")</f>
        <v/>
      </c>
      <c r="J21" s="138">
        <v>44652</v>
      </c>
      <c r="K21" s="111"/>
      <c r="L21" s="111"/>
      <c r="M21" s="111"/>
      <c r="N21" s="111"/>
      <c r="O21" s="162">
        <f>INT(_xlfn.DAYS($P$1,SOTOG[[#This Row],[Datum in gebruikname]])/30.41)</f>
        <v>48</v>
      </c>
      <c r="P21" s="34">
        <f>IF(SOTOG[[#This Row],[Model 1
(eis M1 t/m M27)]]="","",SOTOG[[#This Row],[Zw/w p/m]]*SOTOG[[#This Row],[Aantal maanden]])</f>
        <v>0</v>
      </c>
      <c r="Q21" s="34">
        <f>IF(SOTOG[[#This Row],[Model 1
(eis M1 t/m M27)]]="","",SOTOG[[#This Row],[kleur p/m]]*SOTOG[[#This Row],[Aantal maanden]])</f>
        <v>0</v>
      </c>
      <c r="R21" s="34" t="str">
        <f>IF(SOTOG[[#This Row],[Model 2
(eis M1 t/m M27)]]="","",SOTOG[[#This Row],[Zw/w p/m]]*SOTOG[[#This Row],[Aantal maanden]])</f>
        <v/>
      </c>
      <c r="S21" s="34" t="str">
        <f>IF(SOTOG[[#This Row],[Model 2
(eis M1 t/m M27)]]="","",SOTOG[[#This Row],[kleur p/m]]*SOTOG[[#This Row],[Aantal maanden]])</f>
        <v/>
      </c>
      <c r="T21" s="34" t="str">
        <f>IF(SOTOG[[#This Row],[Model 3
(eis M1 t/m M27)]]="","",SOTOG[[#This Row],[Zw/w p/m]]*SOTOG[[#This Row],[Aantal maanden]])</f>
        <v/>
      </c>
      <c r="U21" s="34">
        <f>IF(SOTOG[[#This Row],[Model 1
(eis M1 t/m M27)]]="","",SOTOG[[#This Row],[Zw/w p/j]])</f>
        <v>0</v>
      </c>
      <c r="V21" s="34">
        <f>IF(SOTOG[[#This Row],[Model 1
(eis M1 t/m M27)]]="","",SOTOG[[#This Row],[Kleur p/j]])</f>
        <v>0</v>
      </c>
      <c r="W21" s="34" t="str">
        <f>IF(SOTOG[[#This Row],[Model 2
(eis M1 t/m M27)]]="","",SOTOG[[#This Row],[Zw/w p/j]])</f>
        <v/>
      </c>
      <c r="X21" s="34" t="str">
        <f>IF(SOTOG[[#This Row],[Model 2
(eis M1 t/m M27)]]="","",SOTOG[[#This Row],[Kleur p/j]])</f>
        <v/>
      </c>
      <c r="Y21" s="34" t="str">
        <f>IF(SOTOG[[#This Row],[Model 3
(eis M1 t/m M27)]]="","",SOTOG[[#This Row],[Zw/w p/j]])</f>
        <v/>
      </c>
    </row>
    <row r="22" spans="1:31" s="9" customFormat="1" x14ac:dyDescent="0.35">
      <c r="A22" s="9" t="s">
        <v>104</v>
      </c>
      <c r="B22" s="109" t="s">
        <v>105</v>
      </c>
      <c r="C22" s="9" t="s">
        <v>140</v>
      </c>
      <c r="D22" s="9" t="s">
        <v>141</v>
      </c>
      <c r="E22" s="9" t="s">
        <v>142</v>
      </c>
      <c r="F22" s="9" t="s">
        <v>143</v>
      </c>
      <c r="G22" s="105">
        <v>1</v>
      </c>
      <c r="H22" s="110"/>
      <c r="I22" s="110" t="str">
        <f>IF(AND((SOTOG[[#This Row],[Zw/w p/j]]+SOTOG[[#This Row],[Kleur p/j]])&lt;$I$1,(SOTOG[[#This Row],[Zw/w p/j]]+SOTOG[[#This Row],[Kleur p/j]])&gt;0),1,"")</f>
        <v/>
      </c>
      <c r="J22" s="138">
        <v>44652</v>
      </c>
      <c r="K22" s="111"/>
      <c r="L22" s="111"/>
      <c r="M22" s="111"/>
      <c r="N22" s="111"/>
      <c r="O22" s="162">
        <f>INT(_xlfn.DAYS($P$1,SOTOG[[#This Row],[Datum in gebruikname]])/30.41)</f>
        <v>48</v>
      </c>
      <c r="P22" s="34">
        <f>IF(SOTOG[[#This Row],[Model 1
(eis M1 t/m M27)]]="","",SOTOG[[#This Row],[Zw/w p/m]]*SOTOG[[#This Row],[Aantal maanden]])</f>
        <v>0</v>
      </c>
      <c r="Q22" s="34">
        <f>IF(SOTOG[[#This Row],[Model 1
(eis M1 t/m M27)]]="","",SOTOG[[#This Row],[kleur p/m]]*SOTOG[[#This Row],[Aantal maanden]])</f>
        <v>0</v>
      </c>
      <c r="R22" s="34" t="str">
        <f>IF(SOTOG[[#This Row],[Model 2
(eis M1 t/m M27)]]="","",SOTOG[[#This Row],[Zw/w p/m]]*SOTOG[[#This Row],[Aantal maanden]])</f>
        <v/>
      </c>
      <c r="S22" s="34" t="str">
        <f>IF(SOTOG[[#This Row],[Model 2
(eis M1 t/m M27)]]="","",SOTOG[[#This Row],[kleur p/m]]*SOTOG[[#This Row],[Aantal maanden]])</f>
        <v/>
      </c>
      <c r="T22" s="34" t="str">
        <f>IF(SOTOG[[#This Row],[Model 3
(eis M1 t/m M27)]]="","",SOTOG[[#This Row],[Zw/w p/m]]*SOTOG[[#This Row],[Aantal maanden]])</f>
        <v/>
      </c>
      <c r="U22" s="34">
        <f>IF(SOTOG[[#This Row],[Model 1
(eis M1 t/m M27)]]="","",SOTOG[[#This Row],[Zw/w p/j]])</f>
        <v>0</v>
      </c>
      <c r="V22" s="34">
        <f>IF(SOTOG[[#This Row],[Model 1
(eis M1 t/m M27)]]="","",SOTOG[[#This Row],[Kleur p/j]])</f>
        <v>0</v>
      </c>
      <c r="W22" s="34" t="str">
        <f>IF(SOTOG[[#This Row],[Model 2
(eis M1 t/m M27)]]="","",SOTOG[[#This Row],[Zw/w p/j]])</f>
        <v/>
      </c>
      <c r="X22" s="34" t="str">
        <f>IF(SOTOG[[#This Row],[Model 2
(eis M1 t/m M27)]]="","",SOTOG[[#This Row],[Kleur p/j]])</f>
        <v/>
      </c>
      <c r="Y22" s="34" t="str">
        <f>IF(SOTOG[[#This Row],[Model 3
(eis M1 t/m M27)]]="","",SOTOG[[#This Row],[Zw/w p/j]])</f>
        <v/>
      </c>
    </row>
    <row r="23" spans="1:31" s="9" customFormat="1" x14ac:dyDescent="0.35">
      <c r="A23" s="9" t="s">
        <v>106</v>
      </c>
      <c r="B23" s="109" t="s">
        <v>107</v>
      </c>
      <c r="C23" s="9" t="s">
        <v>144</v>
      </c>
      <c r="D23" s="9" t="s">
        <v>145</v>
      </c>
      <c r="E23" s="9" t="s">
        <v>146</v>
      </c>
      <c r="F23" s="9" t="s">
        <v>147</v>
      </c>
      <c r="G23" s="110">
        <v>3</v>
      </c>
      <c r="H23" s="110" t="str">
        <f>IF(AND(SOTOG[[#This Row],[Zw/w p/j]]+SOTOG[[#This Row],[Kleur p/j]]&gt;=SOTOG!$H$1,SOTOG[[#This Row],[Zw/w p/j]]+SOTOG[[#This Row],[Kleur p/j]]&lt;SOTOG!$G$1),1,"")</f>
        <v/>
      </c>
      <c r="I23" s="110"/>
      <c r="J23" s="138">
        <v>44652</v>
      </c>
      <c r="K23" s="111"/>
      <c r="L23" s="111"/>
      <c r="M23" s="111"/>
      <c r="N23" s="111"/>
      <c r="O23" s="162">
        <f>INT(_xlfn.DAYS($P$1,SOTOG[[#This Row],[Datum in gebruikname]])/30.41)</f>
        <v>48</v>
      </c>
      <c r="P23" s="34">
        <f>IF(SOTOG[[#This Row],[Model 1
(eis M1 t/m M27)]]="","",SOTOG[[#This Row],[Zw/w p/m]]*SOTOG[[#This Row],[Aantal maanden]])</f>
        <v>0</v>
      </c>
      <c r="Q23" s="34">
        <f>IF(SOTOG[[#This Row],[Model 1
(eis M1 t/m M27)]]="","",SOTOG[[#This Row],[kleur p/m]]*SOTOG[[#This Row],[Aantal maanden]])</f>
        <v>0</v>
      </c>
      <c r="R23" s="34" t="str">
        <f>IF(SOTOG[[#This Row],[Model 2
(eis M1 t/m M27)]]="","",SOTOG[[#This Row],[Zw/w p/m]]*SOTOG[[#This Row],[Aantal maanden]])</f>
        <v/>
      </c>
      <c r="S23" s="34" t="str">
        <f>IF(SOTOG[[#This Row],[Model 2
(eis M1 t/m M27)]]="","",SOTOG[[#This Row],[kleur p/m]]*SOTOG[[#This Row],[Aantal maanden]])</f>
        <v/>
      </c>
      <c r="T23" s="34" t="str">
        <f>IF(SOTOG[[#This Row],[Model 3
(eis M1 t/m M27)]]="","",SOTOG[[#This Row],[Zw/w p/m]]*SOTOG[[#This Row],[Aantal maanden]])</f>
        <v/>
      </c>
      <c r="U23" s="34">
        <f>IF(SOTOG[[#This Row],[Model 1
(eis M1 t/m M27)]]="","",SOTOG[[#This Row],[Zw/w p/j]])</f>
        <v>0</v>
      </c>
      <c r="V23" s="34">
        <f>IF(SOTOG[[#This Row],[Model 1
(eis M1 t/m M27)]]="","",SOTOG[[#This Row],[Kleur p/j]])</f>
        <v>0</v>
      </c>
      <c r="W23" s="34" t="str">
        <f>IF(SOTOG[[#This Row],[Model 2
(eis M1 t/m M27)]]="","",SOTOG[[#This Row],[Zw/w p/j]])</f>
        <v/>
      </c>
      <c r="X23" s="34" t="str">
        <f>IF(SOTOG[[#This Row],[Model 2
(eis M1 t/m M27)]]="","",SOTOG[[#This Row],[Kleur p/j]])</f>
        <v/>
      </c>
      <c r="Y23" s="34" t="str">
        <f>IF(SOTOG[[#This Row],[Model 3
(eis M1 t/m M27)]]="","",SOTOG[[#This Row],[Zw/w p/j]])</f>
        <v/>
      </c>
    </row>
    <row r="24" spans="1:31" s="9" customFormat="1" x14ac:dyDescent="0.35">
      <c r="A24" s="9" t="s">
        <v>106</v>
      </c>
      <c r="B24" s="109" t="s">
        <v>107</v>
      </c>
      <c r="C24" s="9" t="s">
        <v>144</v>
      </c>
      <c r="D24" s="9" t="s">
        <v>145</v>
      </c>
      <c r="E24" s="9" t="s">
        <v>146</v>
      </c>
      <c r="F24" s="9" t="s">
        <v>147</v>
      </c>
      <c r="G24" s="110" t="str">
        <f>IF(SOTOG[[#This Row],[Zw/w p/j]]=0,"",IF((SOTOG[[#This Row],[Zw/w p/j]]+SOTOG[[#This Row],[Kleur p/j]])&lt;SOTOG!$I$1,"",IF((SOTOG[[#This Row],[Zw/w p/j]]+SOTOG[[#This Row],[Kleur p/j]])&lt;SOTOG!$H$1,1,IF((SOTOG[[#This Row],[Zw/w p/j]]+SOTOG[[#This Row],[Kleur p/j]])&gt;SOTOG!$G$1,2,""))))</f>
        <v/>
      </c>
      <c r="H24" s="110"/>
      <c r="I24" s="110">
        <v>6</v>
      </c>
      <c r="J24" s="138">
        <v>44652</v>
      </c>
      <c r="K24" s="111"/>
      <c r="L24" s="111"/>
      <c r="M24" s="111"/>
      <c r="N24" s="111"/>
      <c r="O24" s="162">
        <f>INT(_xlfn.DAYS($P$1,SOTOG[[#This Row],[Datum in gebruikname]])/30.41)</f>
        <v>48</v>
      </c>
      <c r="P24" s="34" t="str">
        <f>IF(SOTOG[[#This Row],[Model 1
(eis M1 t/m M27)]]="","",SOTOG[[#This Row],[Zw/w p/m]]*SOTOG[[#This Row],[Aantal maanden]])</f>
        <v/>
      </c>
      <c r="Q24" s="34" t="str">
        <f>IF(SOTOG[[#This Row],[Model 1
(eis M1 t/m M27)]]="","",SOTOG[[#This Row],[kleur p/m]]*SOTOG[[#This Row],[Aantal maanden]])</f>
        <v/>
      </c>
      <c r="R24" s="34" t="str">
        <f>IF(SOTOG[[#This Row],[Model 2
(eis M1 t/m M27)]]="","",SOTOG[[#This Row],[Zw/w p/m]]*SOTOG[[#This Row],[Aantal maanden]])</f>
        <v/>
      </c>
      <c r="S24" s="34" t="str">
        <f>IF(SOTOG[[#This Row],[Model 2
(eis M1 t/m M27)]]="","",SOTOG[[#This Row],[kleur p/m]]*SOTOG[[#This Row],[Aantal maanden]])</f>
        <v/>
      </c>
      <c r="T24" s="34"/>
      <c r="U24" s="34" t="str">
        <f>IF(SOTOG[[#This Row],[Model 1
(eis M1 t/m M27)]]="","",SOTOG[[#This Row],[Zw/w p/j]])</f>
        <v/>
      </c>
      <c r="V24" s="34" t="str">
        <f>IF(SOTOG[[#This Row],[Model 1
(eis M1 t/m M27)]]="","",SOTOG[[#This Row],[Kleur p/j]])</f>
        <v/>
      </c>
      <c r="W24" s="34" t="str">
        <f>IF(SOTOG[[#This Row],[Model 2
(eis M1 t/m M27)]]="","",SOTOG[[#This Row],[Zw/w p/j]])</f>
        <v/>
      </c>
      <c r="X24" s="34" t="str">
        <f>IF(SOTOG[[#This Row],[Model 2
(eis M1 t/m M27)]]="","",SOTOG[[#This Row],[Kleur p/j]])</f>
        <v/>
      </c>
      <c r="Y24" s="34"/>
    </row>
    <row r="25" spans="1:31" s="9" customFormat="1" x14ac:dyDescent="0.35">
      <c r="B25" s="109" t="s">
        <v>108</v>
      </c>
      <c r="C25" s="9" t="s">
        <v>148</v>
      </c>
      <c r="D25" s="9" t="s">
        <v>149</v>
      </c>
      <c r="E25" s="9" t="s">
        <v>122</v>
      </c>
      <c r="F25" s="9" t="s">
        <v>150</v>
      </c>
      <c r="G25" s="110" t="str">
        <f>IF(SOTOG[[#This Row],[Zw/w p/j]]=0,"",IF((SOTOG[[#This Row],[Zw/w p/j]]+SOTOG[[#This Row],[Kleur p/j]])&lt;SOTOG!$I$1,"",IF((SOTOG[[#This Row],[Zw/w p/j]]+SOTOG[[#This Row],[Kleur p/j]])&lt;SOTOG!$H$1,1,IF((SOTOG[[#This Row],[Zw/w p/j]]+SOTOG[[#This Row],[Kleur p/j]])&gt;SOTOG!$G$1,2,""))))</f>
        <v/>
      </c>
      <c r="H25" s="110">
        <v>1</v>
      </c>
      <c r="I25" s="110"/>
      <c r="J25" s="138">
        <v>44652</v>
      </c>
      <c r="K25" s="111"/>
      <c r="L25" s="111"/>
      <c r="M25" s="111"/>
      <c r="N25" s="111"/>
      <c r="O25" s="162">
        <f>INT(_xlfn.DAYS($P$1,SOTOG[[#This Row],[Datum in gebruikname]])/30.41)</f>
        <v>48</v>
      </c>
      <c r="P25" s="34" t="str">
        <f>IF(SOTOG[[#This Row],[Model 1
(eis M1 t/m M27)]]="","",SOTOG[[#This Row],[Zw/w p/m]]*SOTOG[[#This Row],[Aantal maanden]])</f>
        <v/>
      </c>
      <c r="Q25" s="34" t="str">
        <f>IF(SOTOG[[#This Row],[Model 1
(eis M1 t/m M27)]]="","",SOTOG[[#This Row],[kleur p/m]]*SOTOG[[#This Row],[Aantal maanden]])</f>
        <v/>
      </c>
      <c r="R25" s="34">
        <f>IF(SOTOG[[#This Row],[Model 2
(eis M1 t/m M27)]]="","",SOTOG[[#This Row],[Zw/w p/m]]*SOTOG[[#This Row],[Aantal maanden]])</f>
        <v>0</v>
      </c>
      <c r="S25" s="34">
        <f>IF(SOTOG[[#This Row],[Model 2
(eis M1 t/m M27)]]="","",SOTOG[[#This Row],[kleur p/m]]*SOTOG[[#This Row],[Aantal maanden]])</f>
        <v>0</v>
      </c>
      <c r="T25" s="34" t="str">
        <f>IF(SOTOG[[#This Row],[Model 3
(eis M1 t/m M27)]]="","",SOTOG[[#This Row],[Zw/w p/m]]*SOTOG[[#This Row],[Aantal maanden]])</f>
        <v/>
      </c>
      <c r="U25" s="34" t="str">
        <f>IF(SOTOG[[#This Row],[Model 1
(eis M1 t/m M27)]]="","",SOTOG[[#This Row],[Zw/w p/j]])</f>
        <v/>
      </c>
      <c r="V25" s="34" t="str">
        <f>IF(SOTOG[[#This Row],[Model 1
(eis M1 t/m M27)]]="","",SOTOG[[#This Row],[Kleur p/j]])</f>
        <v/>
      </c>
      <c r="W25" s="34">
        <f>IF(SOTOG[[#This Row],[Model 2
(eis M1 t/m M27)]]="","",SOTOG[[#This Row],[Zw/w p/j]])</f>
        <v>0</v>
      </c>
      <c r="X25" s="34">
        <f>IF(SOTOG[[#This Row],[Model 2
(eis M1 t/m M27)]]="","",SOTOG[[#This Row],[Kleur p/j]])</f>
        <v>0</v>
      </c>
      <c r="Y25" s="34" t="str">
        <f>IF(SOTOG[[#This Row],[Model 3
(eis M1 t/m M27)]]="","",SOTOG[[#This Row],[Zw/w p/j]])</f>
        <v/>
      </c>
    </row>
    <row r="26" spans="1:31" s="9" customFormat="1" x14ac:dyDescent="0.35">
      <c r="B26" s="109" t="s">
        <v>108</v>
      </c>
      <c r="C26" s="9" t="s">
        <v>148</v>
      </c>
      <c r="D26" s="9" t="s">
        <v>149</v>
      </c>
      <c r="E26" s="9" t="s">
        <v>122</v>
      </c>
      <c r="F26" s="9" t="s">
        <v>150</v>
      </c>
      <c r="G26" s="110" t="str">
        <f>IF(SOTOG[[#This Row],[Zw/w p/j]]=0,"",IF((SOTOG[[#This Row],[Zw/w p/j]]+SOTOG[[#This Row],[Kleur p/j]])&lt;SOTOG!$I$1,"",IF((SOTOG[[#This Row],[Zw/w p/j]]+SOTOG[[#This Row],[Kleur p/j]])&lt;SOTOG!$H$1,1,IF((SOTOG[[#This Row],[Zw/w p/j]]+SOTOG[[#This Row],[Kleur p/j]])&gt;SOTOG!$G$1,2,""))))</f>
        <v/>
      </c>
      <c r="H26" s="110"/>
      <c r="I26" s="110">
        <v>1</v>
      </c>
      <c r="J26" s="138">
        <v>44652</v>
      </c>
      <c r="K26" s="111"/>
      <c r="L26" s="111"/>
      <c r="M26" s="111"/>
      <c r="N26" s="111"/>
      <c r="O26" s="162">
        <f>INT(_xlfn.DAYS($P$1,SOTOG[[#This Row],[Datum in gebruikname]])/30.41)</f>
        <v>48</v>
      </c>
      <c r="P26" s="34" t="str">
        <f>IF(SOTOG[[#This Row],[Model 1
(eis M1 t/m M27)]]="","",SOTOG[[#This Row],[Zw/w p/m]]*SOTOG[[#This Row],[Aantal maanden]])</f>
        <v/>
      </c>
      <c r="Q26" s="34" t="str">
        <f>IF(SOTOG[[#This Row],[Model 1
(eis M1 t/m M27)]]="","",SOTOG[[#This Row],[kleur p/m]]*SOTOG[[#This Row],[Aantal maanden]])</f>
        <v/>
      </c>
      <c r="R26" s="34" t="str">
        <f>IF(SOTOG[[#This Row],[Model 2
(eis M1 t/m M27)]]="","",SOTOG[[#This Row],[Zw/w p/m]]*SOTOG[[#This Row],[Aantal maanden]])</f>
        <v/>
      </c>
      <c r="S26" s="34" t="str">
        <f>IF(SOTOG[[#This Row],[Model 2
(eis M1 t/m M27)]]="","",SOTOG[[#This Row],[kleur p/m]]*SOTOG[[#This Row],[Aantal maanden]])</f>
        <v/>
      </c>
      <c r="T26" s="34"/>
      <c r="U26" s="34" t="str">
        <f>IF(SOTOG[[#This Row],[Model 1
(eis M1 t/m M27)]]="","",SOTOG[[#This Row],[Zw/w p/j]])</f>
        <v/>
      </c>
      <c r="V26" s="34" t="str">
        <f>IF(SOTOG[[#This Row],[Model 1
(eis M1 t/m M27)]]="","",SOTOG[[#This Row],[Kleur p/j]])</f>
        <v/>
      </c>
      <c r="W26" s="34" t="str">
        <f>IF(SOTOG[[#This Row],[Model 2
(eis M1 t/m M27)]]="","",SOTOG[[#This Row],[Zw/w p/j]])</f>
        <v/>
      </c>
      <c r="X26" s="34" t="str">
        <f>IF(SOTOG[[#This Row],[Model 2
(eis M1 t/m M27)]]="","",SOTOG[[#This Row],[Kleur p/j]])</f>
        <v/>
      </c>
      <c r="Y26" s="34"/>
    </row>
    <row r="27" spans="1:31" x14ac:dyDescent="0.35">
      <c r="A27" s="9"/>
      <c r="B27" s="109" t="s">
        <v>570</v>
      </c>
      <c r="C27" s="9" t="s">
        <v>151</v>
      </c>
      <c r="D27" s="9" t="s">
        <v>152</v>
      </c>
      <c r="E27" s="9" t="s">
        <v>126</v>
      </c>
      <c r="F27" s="9" t="s">
        <v>153</v>
      </c>
      <c r="G27" s="110">
        <v>1</v>
      </c>
      <c r="H27" s="110" t="str">
        <f>IF(AND(SOTOG[[#This Row],[Zw/w p/j]]+SOTOG[[#This Row],[Kleur p/j]]&gt;=SOTOG!$H$1,SOTOG[[#This Row],[Zw/w p/j]]+SOTOG[[#This Row],[Kleur p/j]]&lt;SOTOG!$G$1),1,"")</f>
        <v/>
      </c>
      <c r="I27" s="110" t="str">
        <f>IF(AND((SOTOG[[#This Row],[Zw/w p/j]]+SOTOG[[#This Row],[Kleur p/j]])&lt;$I$1,(SOTOG[[#This Row],[Zw/w p/j]]+SOTOG[[#This Row],[Kleur p/j]])&gt;0),1,"")</f>
        <v/>
      </c>
      <c r="J27" s="138">
        <v>44652</v>
      </c>
      <c r="K27" s="111"/>
      <c r="L27" s="111"/>
      <c r="M27" s="111"/>
      <c r="N27" s="111"/>
      <c r="O27" s="162">
        <f>INT(_xlfn.DAYS($P$1,SOTOG[[#This Row],[Datum in gebruikname]])/30.41)</f>
        <v>48</v>
      </c>
      <c r="P27" s="34">
        <f>IF(SOTOG[[#This Row],[Model 1
(eis M1 t/m M27)]]="","",SOTOG[[#This Row],[Zw/w p/m]]*SOTOG[[#This Row],[Aantal maanden]])</f>
        <v>0</v>
      </c>
      <c r="Q27" s="34">
        <f>IF(SOTOG[[#This Row],[Model 1
(eis M1 t/m M27)]]="","",SOTOG[[#This Row],[kleur p/m]]*SOTOG[[#This Row],[Aantal maanden]])</f>
        <v>0</v>
      </c>
      <c r="R27" s="34" t="str">
        <f>IF(SOTOG[[#This Row],[Model 2
(eis M1 t/m M27)]]="","",SOTOG[[#This Row],[Zw/w p/m]]*SOTOG[[#This Row],[Aantal maanden]])</f>
        <v/>
      </c>
      <c r="S27" s="34" t="str">
        <f>IF(SOTOG[[#This Row],[Model 2
(eis M1 t/m M27)]]="","",SOTOG[[#This Row],[kleur p/m]]*SOTOG[[#This Row],[Aantal maanden]])</f>
        <v/>
      </c>
      <c r="T27" s="34" t="str">
        <f>IF(SOTOG[[#This Row],[Model 3
(eis M1 t/m M27)]]="","",SOTOG[[#This Row],[Zw/w p/m]]*SOTOG[[#This Row],[Aantal maanden]])</f>
        <v/>
      </c>
      <c r="U27" s="34">
        <f>IF(SOTOG[[#This Row],[Model 1
(eis M1 t/m M27)]]="","",SOTOG[[#This Row],[Zw/w p/j]])</f>
        <v>0</v>
      </c>
      <c r="V27" s="34">
        <f>IF(SOTOG[[#This Row],[Model 1
(eis M1 t/m M27)]]="","",SOTOG[[#This Row],[Kleur p/j]])</f>
        <v>0</v>
      </c>
      <c r="W27" s="34" t="str">
        <f>IF(SOTOG[[#This Row],[Model 2
(eis M1 t/m M27)]]="","",SOTOG[[#This Row],[Zw/w p/j]])</f>
        <v/>
      </c>
      <c r="X27" s="34" t="str">
        <f>IF(SOTOG[[#This Row],[Model 2
(eis M1 t/m M27)]]="","",SOTOG[[#This Row],[Kleur p/j]])</f>
        <v/>
      </c>
      <c r="Y27" s="34" t="str">
        <f>IF(SOTOG[[#This Row],[Model 3
(eis M1 t/m M27)]]="","",SOTOG[[#This Row],[Zw/w p/j]])</f>
        <v/>
      </c>
      <c r="Z27" s="3"/>
      <c r="AA27" s="3"/>
      <c r="AB27" s="3"/>
      <c r="AC27" s="3"/>
      <c r="AD27" s="3"/>
      <c r="AE27" s="3"/>
    </row>
    <row r="28" spans="1:31" x14ac:dyDescent="0.35">
      <c r="A28" s="9"/>
      <c r="B28" s="109" t="s">
        <v>571</v>
      </c>
      <c r="C28" s="9" t="s">
        <v>151</v>
      </c>
      <c r="D28" s="9" t="s">
        <v>152</v>
      </c>
      <c r="E28" s="9" t="s">
        <v>126</v>
      </c>
      <c r="F28" s="9" t="s">
        <v>153</v>
      </c>
      <c r="G28" s="110">
        <v>2</v>
      </c>
      <c r="H28" s="110"/>
      <c r="I28" s="110" t="str">
        <f>IF(AND((SOTOG[[#This Row],[Zw/w p/j]]+SOTOG[[#This Row],[Kleur p/j]])&lt;$I$1,(SOTOG[[#This Row],[Zw/w p/j]]+SOTOG[[#This Row],[Kleur p/j]])&gt;0),1,"")</f>
        <v/>
      </c>
      <c r="J28" s="138">
        <v>44652</v>
      </c>
      <c r="K28" s="111"/>
      <c r="L28" s="111"/>
      <c r="M28" s="111"/>
      <c r="N28" s="111"/>
      <c r="O28" s="162">
        <f>INT(_xlfn.DAYS($P$1,SOTOG[[#This Row],[Datum in gebruikname]])/30.41)</f>
        <v>48</v>
      </c>
      <c r="P28" s="34">
        <f>IF(SOTOG[[#This Row],[Model 1
(eis M1 t/m M27)]]="","",SOTOG[[#This Row],[Zw/w p/m]]*SOTOG[[#This Row],[Aantal maanden]])</f>
        <v>0</v>
      </c>
      <c r="Q28" s="34">
        <f>IF(SOTOG[[#This Row],[Model 1
(eis M1 t/m M27)]]="","",SOTOG[[#This Row],[kleur p/m]]*SOTOG[[#This Row],[Aantal maanden]])</f>
        <v>0</v>
      </c>
      <c r="R28" s="34" t="str">
        <f>IF(SOTOG[[#This Row],[Model 2
(eis M1 t/m M27)]]="","",SOTOG[[#This Row],[Zw/w p/m]]*SOTOG[[#This Row],[Aantal maanden]])</f>
        <v/>
      </c>
      <c r="S28" s="34" t="str">
        <f>IF(SOTOG[[#This Row],[Model 2
(eis M1 t/m M27)]]="","",SOTOG[[#This Row],[kleur p/m]]*SOTOG[[#This Row],[Aantal maanden]])</f>
        <v/>
      </c>
      <c r="T28" s="34"/>
      <c r="U28" s="34">
        <f>IF(SOTOG[[#This Row],[Model 1
(eis M1 t/m M27)]]="","",SOTOG[[#This Row],[Zw/w p/j]])</f>
        <v>0</v>
      </c>
      <c r="V28" s="34">
        <f>IF(SOTOG[[#This Row],[Model 1
(eis M1 t/m M27)]]="","",SOTOG[[#This Row],[Kleur p/j]])</f>
        <v>0</v>
      </c>
      <c r="W28" s="34" t="str">
        <f>IF(SOTOG[[#This Row],[Model 2
(eis M1 t/m M27)]]="","",SOTOG[[#This Row],[Zw/w p/j]])</f>
        <v/>
      </c>
      <c r="X28" s="34" t="str">
        <f>IF(SOTOG[[#This Row],[Model 2
(eis M1 t/m M27)]]="","",SOTOG[[#This Row],[Kleur p/j]])</f>
        <v/>
      </c>
      <c r="Y28" s="34"/>
    </row>
    <row r="29" spans="1:31" x14ac:dyDescent="0.35">
      <c r="A29" s="9"/>
      <c r="B29" s="109" t="s">
        <v>109</v>
      </c>
      <c r="C29" s="9" t="s">
        <v>154</v>
      </c>
      <c r="D29" s="9" t="s">
        <v>145</v>
      </c>
      <c r="E29" s="9" t="s">
        <v>146</v>
      </c>
      <c r="F29" s="9" t="s">
        <v>147</v>
      </c>
      <c r="G29" s="110" t="str">
        <f>IF(SOTOG[[#This Row],[Zw/w p/j]]=0,"",IF((SOTOG[[#This Row],[Zw/w p/j]]+SOTOG[[#This Row],[Kleur p/j]])&lt;SOTOG!$I$1,"",IF((SOTOG[[#This Row],[Zw/w p/j]]+SOTOG[[#This Row],[Kleur p/j]])&lt;SOTOG!$H$1,1,IF((SOTOG[[#This Row],[Zw/w p/j]]+SOTOG[[#This Row],[Kleur p/j]])&gt;SOTOG!$G$1,2,""))))</f>
        <v/>
      </c>
      <c r="H29" s="110" t="str">
        <f>IF(AND(SOTOG[[#This Row],[Zw/w p/j]]+SOTOG[[#This Row],[Kleur p/j]]&gt;=SOTOG!$H$1,SOTOG[[#This Row],[Zw/w p/j]]+SOTOG[[#This Row],[Kleur p/j]]&lt;SOTOG!$G$1),1,"")</f>
        <v/>
      </c>
      <c r="I29" s="110" t="str">
        <f>IF(AND((SOTOG[[#This Row],[Zw/w p/j]]+SOTOG[[#This Row],[Kleur p/j]])&lt;$I$1,(SOTOG[[#This Row],[Zw/w p/j]]+SOTOG[[#This Row],[Kleur p/j]])&gt;0),1,"")</f>
        <v/>
      </c>
      <c r="J29" s="138">
        <v>44652</v>
      </c>
      <c r="K29" s="111"/>
      <c r="L29" s="111"/>
      <c r="M29" s="111"/>
      <c r="N29" s="111"/>
      <c r="O29" s="162">
        <f>INT(_xlfn.DAYS($P$1,SOTOG[[#This Row],[Datum in gebruikname]])/30.41)</f>
        <v>48</v>
      </c>
      <c r="P29" s="34" t="str">
        <f>IF(SOTOG[[#This Row],[Model 1
(eis M1 t/m M27)]]="","",SOTOG[[#This Row],[Zw/w p/m]]*SOTOG[[#This Row],[Aantal maanden]])</f>
        <v/>
      </c>
      <c r="Q29" s="34" t="str">
        <f>IF(SOTOG[[#This Row],[Model 1
(eis M1 t/m M27)]]="","",SOTOG[[#This Row],[kleur p/m]]*SOTOG[[#This Row],[Aantal maanden]])</f>
        <v/>
      </c>
      <c r="R29" s="34" t="str">
        <f>IF(SOTOG[[#This Row],[Model 2
(eis M1 t/m M27)]]="","",SOTOG[[#This Row],[Zw/w p/m]]*SOTOG[[#This Row],[Aantal maanden]])</f>
        <v/>
      </c>
      <c r="S29" s="34" t="str">
        <f>IF(SOTOG[[#This Row],[Model 2
(eis M1 t/m M27)]]="","",SOTOG[[#This Row],[kleur p/m]]*SOTOG[[#This Row],[Aantal maanden]])</f>
        <v/>
      </c>
      <c r="T29" s="34" t="str">
        <f>IF(SOTOG[[#This Row],[Model 3
(eis M1 t/m M27)]]="","",SOTOG[[#This Row],[Zw/w p/m]]*SOTOG[[#This Row],[Aantal maanden]])</f>
        <v/>
      </c>
      <c r="U29" s="34" t="str">
        <f>IF(SOTOG[[#This Row],[Model 1
(eis M1 t/m M27)]]="","",SOTOG[[#This Row],[Zw/w p/j]])</f>
        <v/>
      </c>
      <c r="V29" s="34" t="str">
        <f>IF(SOTOG[[#This Row],[Model 1
(eis M1 t/m M27)]]="","",SOTOG[[#This Row],[Kleur p/j]])</f>
        <v/>
      </c>
      <c r="W29" s="34" t="str">
        <f>IF(SOTOG[[#This Row],[Model 2
(eis M1 t/m M27)]]="","",SOTOG[[#This Row],[Zw/w p/j]])</f>
        <v/>
      </c>
      <c r="X29" s="34" t="str">
        <f>IF(SOTOG[[#This Row],[Model 2
(eis M1 t/m M27)]]="","",SOTOG[[#This Row],[Kleur p/j]])</f>
        <v/>
      </c>
      <c r="Y29" s="34" t="str">
        <f>IF(SOTOG[[#This Row],[Model 3
(eis M1 t/m M27)]]="","",SOTOG[[#This Row],[Zw/w p/j]])</f>
        <v/>
      </c>
    </row>
    <row r="30" spans="1:31" x14ac:dyDescent="0.35">
      <c r="A30" s="9"/>
      <c r="B30" s="109" t="s">
        <v>110</v>
      </c>
      <c r="C30" s="9" t="s">
        <v>155</v>
      </c>
      <c r="D30" s="9" t="s">
        <v>156</v>
      </c>
      <c r="E30" s="9" t="s">
        <v>142</v>
      </c>
      <c r="F30" s="9" t="s">
        <v>157</v>
      </c>
      <c r="G30" s="105">
        <v>3</v>
      </c>
      <c r="H30" s="110" t="str">
        <f>IF(AND(SOTOG[[#This Row],[Zw/w p/j]]+SOTOG[[#This Row],[Kleur p/j]]&gt;=SOTOG!$H$1,SOTOG[[#This Row],[Zw/w p/j]]+SOTOG[[#This Row],[Kleur p/j]]&lt;SOTOG!$G$1),1,"")</f>
        <v/>
      </c>
      <c r="I30" s="110"/>
      <c r="J30" s="138">
        <v>44652</v>
      </c>
      <c r="K30" s="111"/>
      <c r="L30" s="111"/>
      <c r="M30" s="111"/>
      <c r="N30" s="111"/>
      <c r="O30" s="162">
        <f>INT(_xlfn.DAYS($P$1,SOTOG[[#This Row],[Datum in gebruikname]])/30.41)</f>
        <v>48</v>
      </c>
      <c r="P30" s="34">
        <f>IF(SOTOG[[#This Row],[Model 1
(eis M1 t/m M27)]]="","",SOTOG[[#This Row],[Zw/w p/m]]*SOTOG[[#This Row],[Aantal maanden]])</f>
        <v>0</v>
      </c>
      <c r="Q30" s="34">
        <f>IF(SOTOG[[#This Row],[Model 1
(eis M1 t/m M27)]]="","",SOTOG[[#This Row],[kleur p/m]]*SOTOG[[#This Row],[Aantal maanden]])</f>
        <v>0</v>
      </c>
      <c r="R30" s="34" t="str">
        <f>IF(SOTOG[[#This Row],[Model 2
(eis M1 t/m M27)]]="","",SOTOG[[#This Row],[Zw/w p/m]]*SOTOG[[#This Row],[Aantal maanden]])</f>
        <v/>
      </c>
      <c r="S30" s="34" t="str">
        <f>IF(SOTOG[[#This Row],[Model 2
(eis M1 t/m M27)]]="","",SOTOG[[#This Row],[kleur p/m]]*SOTOG[[#This Row],[Aantal maanden]])</f>
        <v/>
      </c>
      <c r="T30" s="34" t="str">
        <f>IF(SOTOG[[#This Row],[Model 3
(eis M1 t/m M27)]]="","",SOTOG[[#This Row],[Zw/w p/m]]*SOTOG[[#This Row],[Aantal maanden]])</f>
        <v/>
      </c>
      <c r="U30" s="34">
        <f>IF(SOTOG[[#This Row],[Model 1
(eis M1 t/m M27)]]="","",SOTOG[[#This Row],[Zw/w p/j]])</f>
        <v>0</v>
      </c>
      <c r="V30" s="34">
        <f>IF(SOTOG[[#This Row],[Model 1
(eis M1 t/m M27)]]="","",SOTOG[[#This Row],[Kleur p/j]])</f>
        <v>0</v>
      </c>
      <c r="W30" s="34" t="str">
        <f>IF(SOTOG[[#This Row],[Model 2
(eis M1 t/m M27)]]="","",SOTOG[[#This Row],[Zw/w p/j]])</f>
        <v/>
      </c>
      <c r="X30" s="34" t="str">
        <f>IF(SOTOG[[#This Row],[Model 2
(eis M1 t/m M27)]]="","",SOTOG[[#This Row],[Kleur p/j]])</f>
        <v/>
      </c>
      <c r="Y30" s="34" t="str">
        <f>IF(SOTOG[[#This Row],[Model 3
(eis M1 t/m M27)]]="","",SOTOG[[#This Row],[Zw/w p/j]])</f>
        <v/>
      </c>
    </row>
    <row r="31" spans="1:31" x14ac:dyDescent="0.35">
      <c r="A31" s="9"/>
      <c r="B31" s="109" t="s">
        <v>110</v>
      </c>
      <c r="C31" s="9" t="s">
        <v>155</v>
      </c>
      <c r="D31" s="9" t="s">
        <v>156</v>
      </c>
      <c r="E31" s="9" t="s">
        <v>142</v>
      </c>
      <c r="F31" s="9" t="s">
        <v>157</v>
      </c>
      <c r="G31" s="105" t="str">
        <f>IF(SOTOG[[#This Row],[Zw/w p/j]]=0,"",IF((SOTOG[[#This Row],[Zw/w p/j]]+SOTOG[[#This Row],[Kleur p/j]])&lt;SOTOG!$I$1,"",IF((SOTOG[[#This Row],[Zw/w p/j]]+SOTOG[[#This Row],[Kleur p/j]])&lt;SOTOG!$H$1,1,IF((SOTOG[[#This Row],[Zw/w p/j]]+SOTOG[[#This Row],[Kleur p/j]])&gt;SOTOG!$G$1,2,""))))</f>
        <v/>
      </c>
      <c r="H31" s="110"/>
      <c r="I31" s="110">
        <v>2</v>
      </c>
      <c r="J31" s="138">
        <v>44652</v>
      </c>
      <c r="K31" s="111"/>
      <c r="L31" s="111"/>
      <c r="M31" s="111"/>
      <c r="N31" s="111"/>
      <c r="O31" s="162">
        <f>INT(_xlfn.DAYS($P$1,SOTOG[[#This Row],[Datum in gebruikname]])/30.41)</f>
        <v>48</v>
      </c>
      <c r="P31" s="34" t="str">
        <f>IF(SOTOG[[#This Row],[Model 1
(eis M1 t/m M27)]]="","",SOTOG[[#This Row],[Zw/w p/m]]*SOTOG[[#This Row],[Aantal maanden]])</f>
        <v/>
      </c>
      <c r="Q31" s="34" t="str">
        <f>IF(SOTOG[[#This Row],[Model 1
(eis M1 t/m M27)]]="","",SOTOG[[#This Row],[kleur p/m]]*SOTOG[[#This Row],[Aantal maanden]])</f>
        <v/>
      </c>
      <c r="R31" s="34" t="str">
        <f>IF(SOTOG[[#This Row],[Model 2
(eis M1 t/m M27)]]="","",SOTOG[[#This Row],[Zw/w p/m]]*SOTOG[[#This Row],[Aantal maanden]])</f>
        <v/>
      </c>
      <c r="S31" s="34" t="str">
        <f>IF(SOTOG[[#This Row],[Model 2
(eis M1 t/m M27)]]="","",SOTOG[[#This Row],[kleur p/m]]*SOTOG[[#This Row],[Aantal maanden]])</f>
        <v/>
      </c>
      <c r="T31" s="34"/>
      <c r="U31" s="34" t="str">
        <f>IF(SOTOG[[#This Row],[Model 1
(eis M1 t/m M27)]]="","",SOTOG[[#This Row],[Zw/w p/j]])</f>
        <v/>
      </c>
      <c r="V31" s="34" t="str">
        <f>IF(SOTOG[[#This Row],[Model 1
(eis M1 t/m M27)]]="","",SOTOG[[#This Row],[Kleur p/j]])</f>
        <v/>
      </c>
      <c r="W31" s="34" t="str">
        <f>IF(SOTOG[[#This Row],[Model 2
(eis M1 t/m M27)]]="","",SOTOG[[#This Row],[Zw/w p/j]])</f>
        <v/>
      </c>
      <c r="X31" s="34" t="str">
        <f>IF(SOTOG[[#This Row],[Model 2
(eis M1 t/m M27)]]="","",SOTOG[[#This Row],[Kleur p/j]])</f>
        <v/>
      </c>
      <c r="Y31" s="34"/>
    </row>
    <row r="32" spans="1:31" x14ac:dyDescent="0.35">
      <c r="A32" s="9"/>
      <c r="B32" s="109" t="s">
        <v>111</v>
      </c>
      <c r="C32" s="9" t="s">
        <v>158</v>
      </c>
      <c r="D32" s="9" t="s">
        <v>138</v>
      </c>
      <c r="E32" s="9" t="s">
        <v>8</v>
      </c>
      <c r="F32" s="9" t="s">
        <v>159</v>
      </c>
      <c r="G32" s="105">
        <v>1</v>
      </c>
      <c r="H32" s="110" t="str">
        <f>IF(AND(SOTOG[[#This Row],[Zw/w p/j]]+SOTOG[[#This Row],[Kleur p/j]]&gt;=SOTOG!$H$1,SOTOG[[#This Row],[Zw/w p/j]]+SOTOG[[#This Row],[Kleur p/j]]&lt;SOTOG!$G$1),1,"")</f>
        <v/>
      </c>
      <c r="I32" s="110" t="str">
        <f>IF(AND((SOTOG[[#This Row],[Zw/w p/j]]+SOTOG[[#This Row],[Kleur p/j]])&lt;$I$1,(SOTOG[[#This Row],[Zw/w p/j]]+SOTOG[[#This Row],[Kleur p/j]])&gt;0),1,"")</f>
        <v/>
      </c>
      <c r="J32" s="138">
        <v>44652</v>
      </c>
      <c r="K32" s="111"/>
      <c r="L32" s="111"/>
      <c r="M32" s="111"/>
      <c r="N32" s="111"/>
      <c r="O32" s="162">
        <f>INT(_xlfn.DAYS($P$1,SOTOG[[#This Row],[Datum in gebruikname]])/30.41)</f>
        <v>48</v>
      </c>
      <c r="P32" s="34">
        <f>IF(SOTOG[[#This Row],[Model 1
(eis M1 t/m M27)]]="","",SOTOG[[#This Row],[Zw/w p/m]]*SOTOG[[#This Row],[Aantal maanden]])</f>
        <v>0</v>
      </c>
      <c r="Q32" s="34">
        <f>IF(SOTOG[[#This Row],[Model 1
(eis M1 t/m M27)]]="","",SOTOG[[#This Row],[kleur p/m]]*SOTOG[[#This Row],[Aantal maanden]])</f>
        <v>0</v>
      </c>
      <c r="R32" s="34" t="str">
        <f>IF(SOTOG[[#This Row],[Model 2
(eis M1 t/m M27)]]="","",SOTOG[[#This Row],[Zw/w p/m]]*SOTOG[[#This Row],[Aantal maanden]])</f>
        <v/>
      </c>
      <c r="S32" s="34" t="str">
        <f>IF(SOTOG[[#This Row],[Model 2
(eis M1 t/m M27)]]="","",SOTOG[[#This Row],[kleur p/m]]*SOTOG[[#This Row],[Aantal maanden]])</f>
        <v/>
      </c>
      <c r="T32" s="34" t="str">
        <f>IF(SOTOG[[#This Row],[Model 3
(eis M1 t/m M27)]]="","",SOTOG[[#This Row],[Zw/w p/m]]*SOTOG[[#This Row],[Aantal maanden]])</f>
        <v/>
      </c>
      <c r="U32" s="34">
        <f>IF(SOTOG[[#This Row],[Model 1
(eis M1 t/m M27)]]="","",SOTOG[[#This Row],[Zw/w p/j]])</f>
        <v>0</v>
      </c>
      <c r="V32" s="34">
        <f>IF(SOTOG[[#This Row],[Model 1
(eis M1 t/m M27)]]="","",SOTOG[[#This Row],[Kleur p/j]])</f>
        <v>0</v>
      </c>
      <c r="W32" s="34" t="str">
        <f>IF(SOTOG[[#This Row],[Model 2
(eis M1 t/m M27)]]="","",SOTOG[[#This Row],[Zw/w p/j]])</f>
        <v/>
      </c>
      <c r="X32" s="34" t="str">
        <f>IF(SOTOG[[#This Row],[Model 2
(eis M1 t/m M27)]]="","",SOTOG[[#This Row],[Kleur p/j]])</f>
        <v/>
      </c>
      <c r="Y32" s="34" t="str">
        <f>IF(SOTOG[[#This Row],[Model 3
(eis M1 t/m M27)]]="","",SOTOG[[#This Row],[Zw/w p/j]])</f>
        <v/>
      </c>
    </row>
    <row r="33" spans="1:25" x14ac:dyDescent="0.35">
      <c r="A33" s="9" t="s">
        <v>112</v>
      </c>
      <c r="B33" s="109" t="s">
        <v>113</v>
      </c>
      <c r="C33" s="9" t="s">
        <v>160</v>
      </c>
      <c r="D33" s="9" t="s">
        <v>161</v>
      </c>
      <c r="E33" s="9" t="s">
        <v>162</v>
      </c>
      <c r="F33" s="9" t="s">
        <v>163</v>
      </c>
      <c r="G33" s="105">
        <v>1</v>
      </c>
      <c r="H33" s="110" t="str">
        <f>IF(AND(SOTOG[[#This Row],[Zw/w p/j]]+SOTOG[[#This Row],[Kleur p/j]]&gt;=SOTOG!$H$1,SOTOG[[#This Row],[Zw/w p/j]]+SOTOG[[#This Row],[Kleur p/j]]&lt;SOTOG!$G$1),1,"")</f>
        <v/>
      </c>
      <c r="I33" s="110" t="str">
        <f>IF(AND((SOTOG[[#This Row],[Zw/w p/j]]+SOTOG[[#This Row],[Kleur p/j]])&lt;$I$1,(SOTOG[[#This Row],[Zw/w p/j]]+SOTOG[[#This Row],[Kleur p/j]])&gt;0),1,"")</f>
        <v/>
      </c>
      <c r="J33" s="138">
        <v>44652</v>
      </c>
      <c r="K33" s="111"/>
      <c r="L33" s="111"/>
      <c r="M33" s="111"/>
      <c r="N33" s="111"/>
      <c r="O33" s="162">
        <f>INT(_xlfn.DAYS($P$1,SOTOG[[#This Row],[Datum in gebruikname]])/30.41)</f>
        <v>48</v>
      </c>
      <c r="P33" s="34">
        <f>IF(SOTOG[[#This Row],[Model 1
(eis M1 t/m M27)]]="","",SOTOG[[#This Row],[Zw/w p/m]]*SOTOG[[#This Row],[Aantal maanden]])</f>
        <v>0</v>
      </c>
      <c r="Q33" s="34">
        <f>IF(SOTOG[[#This Row],[Model 1
(eis M1 t/m M27)]]="","",SOTOG[[#This Row],[kleur p/m]]*SOTOG[[#This Row],[Aantal maanden]])</f>
        <v>0</v>
      </c>
      <c r="R33" s="34" t="str">
        <f>IF(SOTOG[[#This Row],[Model 2
(eis M1 t/m M27)]]="","",SOTOG[[#This Row],[Zw/w p/m]]*SOTOG[[#This Row],[Aantal maanden]])</f>
        <v/>
      </c>
      <c r="S33" s="34" t="str">
        <f>IF(SOTOG[[#This Row],[Model 2
(eis M1 t/m M27)]]="","",SOTOG[[#This Row],[kleur p/m]]*SOTOG[[#This Row],[Aantal maanden]])</f>
        <v/>
      </c>
      <c r="T33" s="34" t="str">
        <f>IF(SOTOG[[#This Row],[Model 3
(eis M1 t/m M27)]]="","",SOTOG[[#This Row],[Zw/w p/m]]*SOTOG[[#This Row],[Aantal maanden]])</f>
        <v/>
      </c>
      <c r="U33" s="34">
        <f>IF(SOTOG[[#This Row],[Model 1
(eis M1 t/m M27)]]="","",SOTOG[[#This Row],[Zw/w p/j]])</f>
        <v>0</v>
      </c>
      <c r="V33" s="34">
        <f>IF(SOTOG[[#This Row],[Model 1
(eis M1 t/m M27)]]="","",SOTOG[[#This Row],[Kleur p/j]])</f>
        <v>0</v>
      </c>
      <c r="W33" s="34" t="str">
        <f>IF(SOTOG[[#This Row],[Model 2
(eis M1 t/m M27)]]="","",SOTOG[[#This Row],[Zw/w p/j]])</f>
        <v/>
      </c>
      <c r="X33" s="34" t="str">
        <f>IF(SOTOG[[#This Row],[Model 2
(eis M1 t/m M27)]]="","",SOTOG[[#This Row],[Kleur p/j]])</f>
        <v/>
      </c>
      <c r="Y33" s="34" t="str">
        <f>IF(SOTOG[[#This Row],[Model 3
(eis M1 t/m M27)]]="","",SOTOG[[#This Row],[Zw/w p/j]])</f>
        <v/>
      </c>
    </row>
    <row r="34" spans="1:25" x14ac:dyDescent="0.35">
      <c r="A34" s="9" t="s">
        <v>114</v>
      </c>
      <c r="B34" s="109" t="s">
        <v>115</v>
      </c>
      <c r="C34" s="9" t="s">
        <v>164</v>
      </c>
      <c r="D34" s="9" t="s">
        <v>141</v>
      </c>
      <c r="E34" s="9" t="s">
        <v>142</v>
      </c>
      <c r="F34" s="9" t="s">
        <v>165</v>
      </c>
      <c r="G34" s="110"/>
      <c r="H34" s="110">
        <v>1</v>
      </c>
      <c r="I34" s="110"/>
      <c r="J34" s="138">
        <v>44652</v>
      </c>
      <c r="K34" s="111"/>
      <c r="L34" s="111"/>
      <c r="M34" s="111"/>
      <c r="N34" s="111"/>
      <c r="O34" s="162">
        <f>INT(_xlfn.DAYS($P$1,SOTOG[[#This Row],[Datum in gebruikname]])/30.41)</f>
        <v>48</v>
      </c>
      <c r="P34" s="34" t="str">
        <f>IF(SOTOG[[#This Row],[Model 1
(eis M1 t/m M27)]]="","",SOTOG[[#This Row],[Zw/w p/m]]*SOTOG[[#This Row],[Aantal maanden]])</f>
        <v/>
      </c>
      <c r="Q34" s="34" t="str">
        <f>IF(SOTOG[[#This Row],[Model 1
(eis M1 t/m M27)]]="","",SOTOG[[#This Row],[kleur p/m]]*SOTOG[[#This Row],[Aantal maanden]])</f>
        <v/>
      </c>
      <c r="R34" s="34">
        <f>IF(SOTOG[[#This Row],[Model 2
(eis M1 t/m M27)]]="","",SOTOG[[#This Row],[Zw/w p/m]]*SOTOG[[#This Row],[Aantal maanden]])</f>
        <v>0</v>
      </c>
      <c r="S34" s="34">
        <f>IF(SOTOG[[#This Row],[Model 2
(eis M1 t/m M27)]]="","",SOTOG[[#This Row],[kleur p/m]]*SOTOG[[#This Row],[Aantal maanden]])</f>
        <v>0</v>
      </c>
      <c r="T34" s="34" t="str">
        <f>IF(SOTOG[[#This Row],[Model 3
(eis M1 t/m M27)]]="","",SOTOG[[#This Row],[Zw/w p/m]]*SOTOG[[#This Row],[Aantal maanden]])</f>
        <v/>
      </c>
      <c r="U34" s="34" t="str">
        <f>IF(SOTOG[[#This Row],[Model 1
(eis M1 t/m M27)]]="","",SOTOG[[#This Row],[Zw/w p/j]])</f>
        <v/>
      </c>
      <c r="V34" s="34" t="str">
        <f>IF(SOTOG[[#This Row],[Model 1
(eis M1 t/m M27)]]="","",SOTOG[[#This Row],[Kleur p/j]])</f>
        <v/>
      </c>
      <c r="W34" s="34">
        <f>IF(SOTOG[[#This Row],[Model 2
(eis M1 t/m M27)]]="","",SOTOG[[#This Row],[Zw/w p/j]])</f>
        <v>0</v>
      </c>
      <c r="X34" s="34">
        <f>IF(SOTOG[[#This Row],[Model 2
(eis M1 t/m M27)]]="","",SOTOG[[#This Row],[Kleur p/j]])</f>
        <v>0</v>
      </c>
      <c r="Y34" s="34" t="str">
        <f>IF(SOTOG[[#This Row],[Model 3
(eis M1 t/m M27)]]="","",SOTOG[[#This Row],[Zw/w p/j]])</f>
        <v/>
      </c>
    </row>
    <row r="35" spans="1:25" x14ac:dyDescent="0.35">
      <c r="A35" s="9" t="s">
        <v>114</v>
      </c>
      <c r="B35" s="109" t="s">
        <v>115</v>
      </c>
      <c r="C35" s="9" t="s">
        <v>164</v>
      </c>
      <c r="D35" s="9" t="s">
        <v>141</v>
      </c>
      <c r="E35" s="9" t="s">
        <v>142</v>
      </c>
      <c r="F35" s="9" t="s">
        <v>165</v>
      </c>
      <c r="G35" s="110" t="str">
        <f>IF(SOTOG[[#This Row],[Zw/w p/j]]=0,"",IF((SOTOG[[#This Row],[Zw/w p/j]]+SOTOG[[#This Row],[Kleur p/j]])&lt;SOTOG!$I$1,"",IF((SOTOG[[#This Row],[Zw/w p/j]]+SOTOG[[#This Row],[Kleur p/j]])&lt;SOTOG!$H$1,1,IF((SOTOG[[#This Row],[Zw/w p/j]]+SOTOG[[#This Row],[Kleur p/j]])&gt;SOTOG!$G$1,2,""))))</f>
        <v/>
      </c>
      <c r="H35" s="110"/>
      <c r="I35" s="110">
        <v>4</v>
      </c>
      <c r="J35" s="138">
        <v>44652</v>
      </c>
      <c r="K35" s="111"/>
      <c r="L35" s="111"/>
      <c r="M35" s="111"/>
      <c r="N35" s="111"/>
      <c r="O35" s="162">
        <f>INT(_xlfn.DAYS($P$1,SOTOG[[#This Row],[Datum in gebruikname]])/30.41)</f>
        <v>48</v>
      </c>
      <c r="P35" s="34" t="str">
        <f>IF(SOTOG[[#This Row],[Model 1
(eis M1 t/m M27)]]="","",SOTOG[[#This Row],[Zw/w p/m]]*SOTOG[[#This Row],[Aantal maanden]])</f>
        <v/>
      </c>
      <c r="Q35" s="34" t="str">
        <f>IF(SOTOG[[#This Row],[Model 1
(eis M1 t/m M27)]]="","",SOTOG[[#This Row],[kleur p/m]]*SOTOG[[#This Row],[Aantal maanden]])</f>
        <v/>
      </c>
      <c r="R35" s="34" t="str">
        <f>IF(SOTOG[[#This Row],[Model 2
(eis M1 t/m M27)]]="","",SOTOG[[#This Row],[Zw/w p/m]]*SOTOG[[#This Row],[Aantal maanden]])</f>
        <v/>
      </c>
      <c r="S35" s="34" t="str">
        <f>IF(SOTOG[[#This Row],[Model 2
(eis M1 t/m M27)]]="","",SOTOG[[#This Row],[kleur p/m]]*SOTOG[[#This Row],[Aantal maanden]])</f>
        <v/>
      </c>
      <c r="T35" s="34"/>
      <c r="U35" s="34" t="str">
        <f>IF(SOTOG[[#This Row],[Model 1
(eis M1 t/m M27)]]="","",SOTOG[[#This Row],[Zw/w p/j]])</f>
        <v/>
      </c>
      <c r="V35" s="34" t="str">
        <f>IF(SOTOG[[#This Row],[Model 1
(eis M1 t/m M27)]]="","",SOTOG[[#This Row],[Kleur p/j]])</f>
        <v/>
      </c>
      <c r="W35" s="34" t="str">
        <f>IF(SOTOG[[#This Row],[Model 2
(eis M1 t/m M27)]]="","",SOTOG[[#This Row],[Zw/w p/j]])</f>
        <v/>
      </c>
      <c r="X35" s="34" t="str">
        <f>IF(SOTOG[[#This Row],[Model 2
(eis M1 t/m M27)]]="","",SOTOG[[#This Row],[Kleur p/j]])</f>
        <v/>
      </c>
      <c r="Y35" s="34"/>
    </row>
    <row r="36" spans="1:25" x14ac:dyDescent="0.35">
      <c r="A36" s="9"/>
      <c r="B36" s="109" t="s">
        <v>166</v>
      </c>
      <c r="C36" s="9" t="s">
        <v>131</v>
      </c>
      <c r="D36" s="9" t="s">
        <v>132</v>
      </c>
      <c r="E36" s="9" t="s">
        <v>133</v>
      </c>
      <c r="F36" s="9" t="s">
        <v>134</v>
      </c>
      <c r="G36" s="105">
        <v>1</v>
      </c>
      <c r="H36" s="110" t="str">
        <f>IF(AND(SOTOG[[#This Row],[Zw/w p/j]]+SOTOG[[#This Row],[Kleur p/j]]&gt;=SOTOG!$H$1,SOTOG[[#This Row],[Zw/w p/j]]+SOTOG[[#This Row],[Kleur p/j]]&lt;SOTOG!$G$1),1,"")</f>
        <v/>
      </c>
      <c r="I36" s="110" t="str">
        <f>IF(AND((SOTOG[[#This Row],[Zw/w p/j]]+SOTOG[[#This Row],[Kleur p/j]])&lt;$I$1,(SOTOG[[#This Row],[Zw/w p/j]]+SOTOG[[#This Row],[Kleur p/j]])&gt;0),1,"")</f>
        <v/>
      </c>
      <c r="J36" s="138">
        <v>44652</v>
      </c>
      <c r="K36" s="111"/>
      <c r="L36" s="111"/>
      <c r="M36" s="111"/>
      <c r="N36" s="111"/>
      <c r="O36" s="162">
        <f>INT(_xlfn.DAYS($P$1,SOTOG[[#This Row],[Datum in gebruikname]])/30.41)</f>
        <v>48</v>
      </c>
      <c r="P36" s="34">
        <f>IF(SOTOG[[#This Row],[Model 1
(eis M1 t/m M27)]]="","",SOTOG[[#This Row],[Zw/w p/m]]*SOTOG[[#This Row],[Aantal maanden]])</f>
        <v>0</v>
      </c>
      <c r="Q36" s="34">
        <f>IF(SOTOG[[#This Row],[Model 1
(eis M1 t/m M27)]]="","",SOTOG[[#This Row],[kleur p/m]]*SOTOG[[#This Row],[Aantal maanden]])</f>
        <v>0</v>
      </c>
      <c r="R36" s="34" t="str">
        <f>IF(SOTOG[[#This Row],[Model 2
(eis M1 t/m M27)]]="","",SOTOG[[#This Row],[Zw/w p/m]]*SOTOG[[#This Row],[Aantal maanden]])</f>
        <v/>
      </c>
      <c r="S36" s="34" t="str">
        <f>IF(SOTOG[[#This Row],[Model 2
(eis M1 t/m M27)]]="","",SOTOG[[#This Row],[kleur p/m]]*SOTOG[[#This Row],[Aantal maanden]])</f>
        <v/>
      </c>
      <c r="T36" s="34" t="str">
        <f>IF(SOTOG[[#This Row],[Model 3
(eis M1 t/m M27)]]="","",SOTOG[[#This Row],[Zw/w p/m]]*SOTOG[[#This Row],[Aantal maanden]])</f>
        <v/>
      </c>
      <c r="U36" s="34">
        <f>IF(SOTOG[[#This Row],[Model 1
(eis M1 t/m M27)]]="","",SOTOG[[#This Row],[Zw/w p/j]])</f>
        <v>0</v>
      </c>
      <c r="V36" s="34">
        <f>IF(SOTOG[[#This Row],[Model 1
(eis M1 t/m M27)]]="","",SOTOG[[#This Row],[Kleur p/j]])</f>
        <v>0</v>
      </c>
      <c r="W36" s="34" t="str">
        <f>IF(SOTOG[[#This Row],[Model 2
(eis M1 t/m M27)]]="","",SOTOG[[#This Row],[Zw/w p/j]])</f>
        <v/>
      </c>
      <c r="X36" s="34" t="str">
        <f>IF(SOTOG[[#This Row],[Model 2
(eis M1 t/m M27)]]="","",SOTOG[[#This Row],[Kleur p/j]])</f>
        <v/>
      </c>
      <c r="Y36" s="34" t="str">
        <f>IF(SOTOG[[#This Row],[Model 3
(eis M1 t/m M27)]]="","",SOTOG[[#This Row],[Zw/w p/j]])</f>
        <v/>
      </c>
    </row>
    <row r="37" spans="1:25" x14ac:dyDescent="0.35">
      <c r="A37" s="9"/>
      <c r="B37" s="109" t="s">
        <v>166</v>
      </c>
      <c r="C37" s="9" t="s">
        <v>569</v>
      </c>
      <c r="D37" s="9" t="s">
        <v>585</v>
      </c>
      <c r="E37" s="9" t="s">
        <v>133</v>
      </c>
      <c r="F37" s="9"/>
      <c r="G37" s="110">
        <v>1</v>
      </c>
      <c r="H37" s="110" t="str">
        <f>IF(AND(SOTOG[[#This Row],[Zw/w p/j]]+SOTOG[[#This Row],[Kleur p/j]]&gt;=SOTOG!$H$1,SOTOG[[#This Row],[Zw/w p/j]]+SOTOG[[#This Row],[Kleur p/j]]&lt;SOTOG!$G$1),1,"")</f>
        <v/>
      </c>
      <c r="I37" s="110" t="str">
        <f>IF(AND((SOTOG[[#This Row],[Zw/w p/j]]+SOTOG[[#This Row],[Kleur p/j]])&lt;$I$1,(SOTOG[[#This Row],[Zw/w p/j]]+SOTOG[[#This Row],[Kleur p/j]])&gt;0),1,"")</f>
        <v/>
      </c>
      <c r="J37" s="138">
        <v>44652</v>
      </c>
      <c r="K37" s="111"/>
      <c r="L37" s="111"/>
      <c r="M37" s="111"/>
      <c r="N37" s="111"/>
      <c r="O37" s="162">
        <f>INT(_xlfn.DAYS($P$1,SOTOG[[#This Row],[Datum in gebruikname]])/30.41)</f>
        <v>48</v>
      </c>
      <c r="P37" s="34">
        <f>IF(SOTOG[[#This Row],[Model 1
(eis M1 t/m M27)]]="","",SOTOG[[#This Row],[Zw/w p/m]]*SOTOG[[#This Row],[Aantal maanden]])</f>
        <v>0</v>
      </c>
      <c r="Q37" s="34">
        <f>IF(SOTOG[[#This Row],[Model 1
(eis M1 t/m M27)]]="","",SOTOG[[#This Row],[kleur p/m]]*SOTOG[[#This Row],[Aantal maanden]])</f>
        <v>0</v>
      </c>
      <c r="R37" s="34" t="str">
        <f>IF(SOTOG[[#This Row],[Model 2
(eis M1 t/m M27)]]="","",SOTOG[[#This Row],[Zw/w p/m]]*SOTOG[[#This Row],[Aantal maanden]])</f>
        <v/>
      </c>
      <c r="S37" s="34" t="str">
        <f>IF(SOTOG[[#This Row],[Model 2
(eis M1 t/m M27)]]="","",SOTOG[[#This Row],[kleur p/m]]*SOTOG[[#This Row],[Aantal maanden]])</f>
        <v/>
      </c>
      <c r="T37" s="34" t="str">
        <f>IF(SOTOG[[#This Row],[Model 3
(eis M1 t/m M27)]]="","",SOTOG[[#This Row],[Zw/w p/m]]*SOTOG[[#This Row],[Aantal maanden]])</f>
        <v/>
      </c>
      <c r="U37" s="34">
        <f>IF(SOTOG[[#This Row],[Model 1
(eis M1 t/m M27)]]="","",SOTOG[[#This Row],[Zw/w p/j]])</f>
        <v>0</v>
      </c>
      <c r="V37" s="34">
        <f>IF(SOTOG[[#This Row],[Model 1
(eis M1 t/m M27)]]="","",SOTOG[[#This Row],[Kleur p/j]])</f>
        <v>0</v>
      </c>
      <c r="W37" s="34" t="str">
        <f>IF(SOTOG[[#This Row],[Model 2
(eis M1 t/m M27)]]="","",SOTOG[[#This Row],[Zw/w p/j]])</f>
        <v/>
      </c>
      <c r="X37" s="34" t="str">
        <f>IF(SOTOG[[#This Row],[Model 2
(eis M1 t/m M27)]]="","",SOTOG[[#This Row],[Kleur p/j]])</f>
        <v/>
      </c>
      <c r="Y37" s="34" t="str">
        <f>IF(SOTOG[[#This Row],[Model 3
(eis M1 t/m M27)]]="","",SOTOG[[#This Row],[Zw/w p/j]])</f>
        <v/>
      </c>
    </row>
    <row r="38" spans="1:25" x14ac:dyDescent="0.35">
      <c r="A38" t="s">
        <v>7</v>
      </c>
      <c r="G38" s="105">
        <f>SUBTOTAL(109,SOTOG[Model 1
(eis M1 t/m M27)])</f>
        <v>25</v>
      </c>
      <c r="H38" s="105">
        <f>SUBTOTAL(109,SOTOG[Model 2
(eis M1 t/m M27)])</f>
        <v>5</v>
      </c>
      <c r="I38" s="105">
        <f>SUBTOTAL(109,SOTOG[Model 3
(eis M1 t/m M27)])</f>
        <v>32</v>
      </c>
      <c r="J38" s="27"/>
      <c r="K38" s="161" t="s">
        <v>575</v>
      </c>
      <c r="L38" s="161" t="s">
        <v>576</v>
      </c>
      <c r="M38" s="161" t="s">
        <v>577</v>
      </c>
      <c r="N38" s="161" t="s">
        <v>578</v>
      </c>
      <c r="O38" s="161" t="s">
        <v>572</v>
      </c>
      <c r="P38" s="35">
        <f>SUBTOTAL(109,SOTOG['# zw/w afdrukken M1])-P3</f>
        <v>0</v>
      </c>
      <c r="Q38" s="35">
        <f>SUBTOTAL(109,SOTOG['# kleur afdrukken M1])-Q3</f>
        <v>0</v>
      </c>
      <c r="R38" s="35" t="s">
        <v>573</v>
      </c>
      <c r="S38" s="35" t="s">
        <v>573</v>
      </c>
      <c r="T38" s="35" t="s">
        <v>573</v>
      </c>
      <c r="U38" s="35">
        <f>SUBTOTAL(109,SOTOG[Aantal zw/w afdrukken per optiejaar M1])</f>
        <v>0</v>
      </c>
      <c r="V38" s="35">
        <f>SUBTOTAL(109,SOTOG[Aantal kleur afdrukken per optiejaar M1])</f>
        <v>0</v>
      </c>
      <c r="W38" s="35">
        <f>SUBTOTAL(109,SOTOG[Aantal zw/w afdrukken per optiejaar M2])-W3</f>
        <v>0</v>
      </c>
      <c r="X38" s="35">
        <f>SUBTOTAL(109,SOTOG[Aantal kleur afdrukken per optiejaar M2])-X3</f>
        <v>0</v>
      </c>
      <c r="Y38" s="35">
        <f>SUBTOTAL(109,SOTOG[Aantal zw/w afdrukken per optiejaar M3])-Y3</f>
        <v>0</v>
      </c>
    </row>
    <row r="39" spans="1:25" x14ac:dyDescent="0.35">
      <c r="G39" s="105"/>
      <c r="H39" s="105"/>
      <c r="I39" s="105"/>
      <c r="J39" s="27"/>
      <c r="K39" s="35"/>
      <c r="L39" s="35"/>
      <c r="M39" s="35"/>
      <c r="N39" s="35"/>
      <c r="O39" s="30"/>
      <c r="P39" s="35"/>
      <c r="Q39" s="35"/>
      <c r="R39" s="35"/>
      <c r="S39" s="35"/>
      <c r="T39" s="35"/>
      <c r="U39" s="35"/>
      <c r="V39" s="35"/>
      <c r="W39" s="35"/>
      <c r="X39" s="35"/>
      <c r="Y39" s="35"/>
    </row>
    <row r="40" spans="1:25" ht="16.5" customHeight="1" x14ac:dyDescent="0.35">
      <c r="F40" s="24" t="s">
        <v>84</v>
      </c>
      <c r="G40" s="44" t="s">
        <v>32</v>
      </c>
      <c r="H40" s="43" t="s">
        <v>30</v>
      </c>
      <c r="I40" s="43" t="s">
        <v>31</v>
      </c>
      <c r="K40" s="92" t="s">
        <v>38</v>
      </c>
      <c r="L40" s="92" t="s">
        <v>38</v>
      </c>
      <c r="M40" s="92" t="s">
        <v>38</v>
      </c>
      <c r="N40" s="92" t="s">
        <v>38</v>
      </c>
    </row>
    <row r="41" spans="1:25" ht="16.5" customHeight="1" x14ac:dyDescent="0.35">
      <c r="C41" s="33"/>
      <c r="D41" s="33"/>
      <c r="E41" s="33"/>
      <c r="F41" s="41" t="s">
        <v>47</v>
      </c>
      <c r="G41" s="46">
        <v>0</v>
      </c>
      <c r="H41" s="46">
        <v>0</v>
      </c>
      <c r="I41" s="47">
        <v>0</v>
      </c>
      <c r="K41" s="93">
        <f>P1</f>
        <v>46113</v>
      </c>
      <c r="L41" s="94" t="s">
        <v>54</v>
      </c>
      <c r="M41" s="126">
        <f>P1</f>
        <v>46113</v>
      </c>
      <c r="N41" s="95" t="s">
        <v>55</v>
      </c>
    </row>
    <row r="42" spans="1:25" ht="16.5" customHeight="1" x14ac:dyDescent="0.35">
      <c r="D42" s="33"/>
      <c r="E42" s="33"/>
      <c r="F42" s="41" t="s">
        <v>46</v>
      </c>
      <c r="G42" s="46">
        <v>0</v>
      </c>
      <c r="H42" s="46">
        <v>0</v>
      </c>
      <c r="I42" s="46">
        <v>0</v>
      </c>
      <c r="J42" s="24" t="s">
        <v>595</v>
      </c>
      <c r="K42" s="51">
        <f>MROUND((SOTOG[[#Totals],[Zw/w p/j]]-117504)*4,1000)</f>
        <v>4428000</v>
      </c>
      <c r="L42" s="51">
        <f>MROUND((SOTOG[[#Totals],[Zw/w p/j]]*1)-117504,1000)</f>
        <v>1107000</v>
      </c>
      <c r="M42" s="51">
        <f>MROUND(SOTOG[[#Totals],[Kleur p/j]]*4,1000)</f>
        <v>6679000</v>
      </c>
      <c r="N42" s="51">
        <f>MROUND(SOTOG[[#Totals],[Kleur p/j]]*1,1000)</f>
        <v>1670000</v>
      </c>
    </row>
    <row r="43" spans="1:25" ht="16.5" customHeight="1" x14ac:dyDescent="0.35">
      <c r="D43" s="33"/>
      <c r="E43" s="33"/>
      <c r="F43" s="41" t="s">
        <v>592</v>
      </c>
      <c r="G43" s="46">
        <v>0</v>
      </c>
      <c r="H43" s="46">
        <v>0</v>
      </c>
      <c r="I43" s="46">
        <v>0</v>
      </c>
      <c r="J43" s="24" t="s">
        <v>596</v>
      </c>
      <c r="K43" s="51">
        <f>MROUND(117504*4,1000)</f>
        <v>470000</v>
      </c>
      <c r="L43" s="51">
        <f>MROUND(117504,1000)</f>
        <v>118000</v>
      </c>
      <c r="M43" s="96"/>
      <c r="N43" s="96"/>
    </row>
    <row r="44" spans="1:25" ht="16.5" customHeight="1" x14ac:dyDescent="0.35">
      <c r="G44" s="6"/>
      <c r="H44" s="6"/>
      <c r="I44" s="6"/>
    </row>
    <row r="45" spans="1:25" ht="16.5" customHeight="1" x14ac:dyDescent="0.35">
      <c r="F45" s="24" t="s">
        <v>593</v>
      </c>
      <c r="G45" s="6"/>
      <c r="H45" s="6"/>
      <c r="I45" s="6"/>
      <c r="K45" s="96"/>
      <c r="L45" s="96"/>
      <c r="M45" s="96"/>
      <c r="N45" s="96"/>
    </row>
    <row r="46" spans="1:25" ht="16.5" customHeight="1" x14ac:dyDescent="0.35">
      <c r="D46" s="32"/>
      <c r="F46" s="18" t="s">
        <v>33</v>
      </c>
      <c r="G46" s="48">
        <v>0</v>
      </c>
      <c r="H46" s="48">
        <v>0</v>
      </c>
      <c r="I46" s="48">
        <v>0</v>
      </c>
      <c r="K46" s="96"/>
    </row>
    <row r="47" spans="1:25" ht="16.5" customHeight="1" x14ac:dyDescent="0.35">
      <c r="D47" s="31"/>
      <c r="E47" s="31"/>
      <c r="F47" s="18" t="s">
        <v>16</v>
      </c>
      <c r="G47" s="48">
        <v>0</v>
      </c>
      <c r="H47" s="48">
        <v>0</v>
      </c>
      <c r="I47" s="48">
        <v>0</v>
      </c>
    </row>
    <row r="48" spans="1:25" ht="16.5" customHeight="1" x14ac:dyDescent="0.35">
      <c r="C48" s="7"/>
      <c r="D48" s="7"/>
      <c r="E48" s="7"/>
      <c r="F48" s="7"/>
      <c r="G48" s="6"/>
      <c r="H48" s="6"/>
      <c r="I48" s="6"/>
    </row>
    <row r="49" spans="3:14" ht="16.5" customHeight="1" x14ac:dyDescent="0.35">
      <c r="C49" s="160"/>
      <c r="D49" s="160"/>
      <c r="E49" s="160"/>
      <c r="F49" s="24" t="s">
        <v>594</v>
      </c>
      <c r="G49" s="6"/>
      <c r="H49" s="6"/>
      <c r="I49" s="6"/>
    </row>
    <row r="50" spans="3:14" ht="16.5" customHeight="1" x14ac:dyDescent="0.35">
      <c r="C50" s="160"/>
      <c r="D50" s="160"/>
      <c r="E50" s="160"/>
      <c r="F50" s="160" t="s">
        <v>33</v>
      </c>
      <c r="G50" s="48">
        <v>0</v>
      </c>
      <c r="H50" s="48">
        <v>0</v>
      </c>
      <c r="I50" s="48">
        <v>0</v>
      </c>
    </row>
    <row r="51" spans="3:14" ht="16.5" customHeight="1" x14ac:dyDescent="0.35">
      <c r="C51" s="160"/>
      <c r="D51" s="160"/>
      <c r="E51" s="160"/>
      <c r="F51" s="160"/>
      <c r="G51" s="101"/>
      <c r="H51" s="101"/>
      <c r="I51" s="101"/>
    </row>
    <row r="52" spans="3:14" ht="16.5" customHeight="1" x14ac:dyDescent="0.35">
      <c r="C52" s="23"/>
      <c r="D52" s="23"/>
      <c r="E52" s="23"/>
      <c r="F52" s="24" t="s">
        <v>82</v>
      </c>
      <c r="G52" s="6"/>
      <c r="H52" s="6"/>
      <c r="I52" s="6"/>
    </row>
    <row r="53" spans="3:14" ht="16.5" customHeight="1" x14ac:dyDescent="0.35">
      <c r="C53" s="18"/>
      <c r="D53" s="18"/>
      <c r="E53" s="18"/>
      <c r="F53" s="18" t="s">
        <v>600</v>
      </c>
      <c r="G53" s="49">
        <v>0</v>
      </c>
      <c r="H53" s="49">
        <v>0</v>
      </c>
      <c r="I53" s="49">
        <v>0</v>
      </c>
      <c r="L53" s="25"/>
    </row>
    <row r="54" spans="3:14" ht="16.5" customHeight="1" x14ac:dyDescent="0.35">
      <c r="C54" s="160"/>
      <c r="D54" s="160"/>
      <c r="E54" s="160"/>
      <c r="F54" s="160" t="s">
        <v>601</v>
      </c>
      <c r="G54" s="49">
        <v>0</v>
      </c>
      <c r="H54" s="49">
        <v>0</v>
      </c>
      <c r="I54" s="49">
        <v>0</v>
      </c>
      <c r="L54" s="25"/>
    </row>
    <row r="55" spans="3:14" ht="16.5" customHeight="1" x14ac:dyDescent="0.35">
      <c r="C55" s="23"/>
      <c r="D55" s="23"/>
      <c r="E55" s="23"/>
      <c r="F55" s="23"/>
      <c r="G55" s="25"/>
      <c r="H55" s="25"/>
      <c r="I55" s="25"/>
      <c r="J55" s="83"/>
      <c r="L55" s="25"/>
    </row>
    <row r="56" spans="3:14" ht="16.5" customHeight="1" x14ac:dyDescent="0.35">
      <c r="C56" s="18"/>
      <c r="D56" s="18"/>
      <c r="E56" s="18"/>
      <c r="F56" s="81" t="s">
        <v>79</v>
      </c>
      <c r="G56" s="25"/>
      <c r="H56" s="25"/>
      <c r="I56" s="25"/>
    </row>
    <row r="57" spans="3:14" ht="16.5" customHeight="1" x14ac:dyDescent="0.35">
      <c r="C57" s="199" t="s">
        <v>80</v>
      </c>
      <c r="D57" s="199"/>
      <c r="E57" s="199"/>
      <c r="F57" s="199"/>
      <c r="G57" s="50">
        <v>0</v>
      </c>
      <c r="H57" s="11" t="s">
        <v>88</v>
      </c>
      <c r="I57" s="25"/>
    </row>
    <row r="58" spans="3:14" ht="16.5" customHeight="1" x14ac:dyDescent="0.35">
      <c r="C58" s="199" t="s">
        <v>81</v>
      </c>
      <c r="D58" s="199"/>
      <c r="E58" s="199"/>
      <c r="F58" s="199"/>
      <c r="G58" s="50">
        <v>0</v>
      </c>
      <c r="H58" s="11" t="s">
        <v>88</v>
      </c>
      <c r="I58" s="25"/>
    </row>
    <row r="59" spans="3:14" ht="16.5" customHeight="1" x14ac:dyDescent="0.35">
      <c r="C59" s="18"/>
      <c r="D59" s="18"/>
      <c r="E59" s="18"/>
      <c r="F59" s="18"/>
    </row>
    <row r="60" spans="3:14" ht="16.5" customHeight="1" x14ac:dyDescent="0.35">
      <c r="C60" s="41"/>
      <c r="D60" s="41"/>
      <c r="E60" s="45"/>
      <c r="F60" s="81" t="s">
        <v>618</v>
      </c>
      <c r="G60" s="43" t="s">
        <v>56</v>
      </c>
      <c r="H60" s="43" t="s">
        <v>57</v>
      </c>
      <c r="I60" s="43" t="s">
        <v>58</v>
      </c>
      <c r="J60" s="43" t="s">
        <v>59</v>
      </c>
      <c r="K60" s="43" t="s">
        <v>60</v>
      </c>
      <c r="L60" s="43" t="s">
        <v>61</v>
      </c>
      <c r="M60" s="43" t="s">
        <v>62</v>
      </c>
      <c r="N60" s="43" t="s">
        <v>63</v>
      </c>
    </row>
    <row r="61" spans="3:14" ht="16.5" customHeight="1" x14ac:dyDescent="0.35">
      <c r="C61" s="41"/>
      <c r="D61" s="41"/>
      <c r="E61" s="41"/>
      <c r="F61" s="41" t="s">
        <v>588</v>
      </c>
      <c r="G61" s="62"/>
      <c r="H61" s="62"/>
      <c r="I61" s="62"/>
      <c r="J61" s="62"/>
      <c r="K61" s="62"/>
      <c r="L61" s="62"/>
      <c r="M61" s="62"/>
      <c r="N61" s="62"/>
    </row>
    <row r="62" spans="3:14" ht="16.5" customHeight="1" x14ac:dyDescent="0.35">
      <c r="C62" s="41"/>
      <c r="D62" s="41"/>
      <c r="E62" s="41"/>
      <c r="F62" s="41" t="s">
        <v>587</v>
      </c>
      <c r="G62" s="62"/>
      <c r="H62" s="62"/>
      <c r="I62" s="62"/>
      <c r="J62" s="62"/>
      <c r="K62" s="62"/>
      <c r="L62" s="62"/>
      <c r="M62" s="62"/>
      <c r="N62" s="62"/>
    </row>
    <row r="63" spans="3:14" ht="16.5" customHeight="1" x14ac:dyDescent="0.35">
      <c r="C63" s="41"/>
      <c r="D63" s="41"/>
      <c r="E63" s="41"/>
      <c r="F63" s="41" t="s">
        <v>35</v>
      </c>
      <c r="G63" s="62"/>
      <c r="H63" s="62"/>
      <c r="I63" s="62"/>
      <c r="J63" s="62"/>
      <c r="K63" s="62"/>
      <c r="L63" s="62"/>
      <c r="M63" s="62"/>
      <c r="N63" s="62"/>
    </row>
    <row r="64" spans="3:14" ht="16.5" customHeight="1" x14ac:dyDescent="0.35">
      <c r="C64" s="41"/>
      <c r="D64" s="41"/>
      <c r="E64" s="41"/>
      <c r="F64" s="41" t="s">
        <v>589</v>
      </c>
      <c r="G64" s="62"/>
      <c r="H64" s="62"/>
      <c r="I64" s="62"/>
      <c r="J64" s="62"/>
      <c r="K64" s="62"/>
      <c r="L64" s="62"/>
      <c r="M64" s="62"/>
      <c r="N64" s="62"/>
    </row>
    <row r="65" spans="3:14" ht="16.5" customHeight="1" x14ac:dyDescent="0.35">
      <c r="C65" s="41"/>
      <c r="D65" s="41"/>
      <c r="E65" s="41"/>
      <c r="F65" s="41" t="s">
        <v>36</v>
      </c>
      <c r="G65" s="62"/>
      <c r="H65" s="82"/>
      <c r="I65" s="62"/>
      <c r="J65" s="62"/>
      <c r="K65" s="62"/>
      <c r="L65" s="62"/>
      <c r="M65" s="62"/>
      <c r="N65" s="62"/>
    </row>
    <row r="66" spans="3:14" ht="16.5" customHeight="1" x14ac:dyDescent="0.35">
      <c r="C66" s="41"/>
      <c r="D66" s="41"/>
      <c r="E66" s="41"/>
      <c r="F66" s="41" t="s">
        <v>590</v>
      </c>
      <c r="G66" s="62"/>
      <c r="H66" s="62"/>
      <c r="I66" s="62"/>
      <c r="J66" s="62"/>
      <c r="K66" s="62"/>
      <c r="L66" s="62"/>
      <c r="M66" s="62"/>
      <c r="N66" s="62"/>
    </row>
    <row r="67" spans="3:14" ht="16.5" customHeight="1" x14ac:dyDescent="0.35">
      <c r="C67" s="41"/>
      <c r="D67" s="41"/>
      <c r="E67" s="41"/>
      <c r="F67" s="41" t="s">
        <v>37</v>
      </c>
      <c r="G67" s="62"/>
      <c r="H67" s="62"/>
      <c r="I67" s="62"/>
      <c r="J67" s="62"/>
      <c r="K67" s="62"/>
      <c r="L67" s="62"/>
      <c r="M67" s="62"/>
      <c r="N67" s="62"/>
    </row>
    <row r="68" spans="3:14" ht="16.5" customHeight="1" x14ac:dyDescent="0.35">
      <c r="C68" s="18"/>
      <c r="D68" s="18"/>
      <c r="E68" s="18"/>
      <c r="F68" s="24" t="s">
        <v>65</v>
      </c>
      <c r="G68" s="50">
        <v>0</v>
      </c>
      <c r="H68" s="50">
        <v>0</v>
      </c>
      <c r="I68" s="50">
        <v>0</v>
      </c>
      <c r="J68" s="50">
        <v>0</v>
      </c>
      <c r="K68" s="50">
        <v>0</v>
      </c>
      <c r="L68" s="50">
        <v>0</v>
      </c>
      <c r="M68" s="50">
        <v>0</v>
      </c>
      <c r="N68" s="50">
        <v>0</v>
      </c>
    </row>
    <row r="69" spans="3:14" ht="16.5" customHeight="1" x14ac:dyDescent="0.35">
      <c r="C69" s="18"/>
      <c r="D69" s="18"/>
      <c r="E69" s="18"/>
      <c r="F69" s="24" t="s">
        <v>64</v>
      </c>
      <c r="G69" s="50">
        <v>0</v>
      </c>
      <c r="H69" s="50">
        <v>0</v>
      </c>
      <c r="I69" s="50">
        <v>0</v>
      </c>
      <c r="J69" s="50">
        <v>0</v>
      </c>
      <c r="K69" s="50">
        <v>0</v>
      </c>
      <c r="L69" s="50">
        <v>0</v>
      </c>
      <c r="M69" s="50">
        <v>0</v>
      </c>
      <c r="N69" s="50">
        <v>0</v>
      </c>
    </row>
    <row r="70" spans="3:14" ht="16.5" customHeight="1" x14ac:dyDescent="0.35">
      <c r="C70" s="23"/>
      <c r="D70" s="23"/>
      <c r="E70" s="23"/>
      <c r="F70" s="24"/>
      <c r="G70" s="85"/>
      <c r="H70" s="85"/>
      <c r="I70" s="85"/>
      <c r="J70" s="85"/>
      <c r="K70" s="85"/>
      <c r="L70" s="85"/>
      <c r="M70" s="85"/>
      <c r="N70" s="85"/>
    </row>
    <row r="71" spans="3:14" ht="16.5" customHeight="1" x14ac:dyDescent="0.35">
      <c r="C71" s="184"/>
      <c r="D71" s="184"/>
      <c r="E71" s="184"/>
      <c r="F71" s="24" t="s">
        <v>611</v>
      </c>
      <c r="G71" s="85"/>
      <c r="H71" s="85"/>
      <c r="I71" s="85"/>
      <c r="J71" s="85"/>
      <c r="K71" s="85"/>
      <c r="L71" s="85"/>
      <c r="M71" s="85"/>
      <c r="N71" s="85"/>
    </row>
    <row r="72" spans="3:14" ht="16.5" customHeight="1" x14ac:dyDescent="0.35">
      <c r="C72" s="184"/>
      <c r="D72" s="184"/>
      <c r="E72" s="184"/>
      <c r="F72" s="41" t="s">
        <v>612</v>
      </c>
      <c r="G72" s="50">
        <v>0</v>
      </c>
      <c r="H72" s="85"/>
      <c r="I72" s="85"/>
      <c r="J72" s="85"/>
      <c r="K72" s="85"/>
      <c r="L72" s="85"/>
      <c r="M72" s="85"/>
      <c r="N72" s="85"/>
    </row>
    <row r="73" spans="3:14" ht="16.5" customHeight="1" x14ac:dyDescent="0.35">
      <c r="C73" s="184"/>
      <c r="D73" s="184"/>
      <c r="E73" s="184"/>
      <c r="F73" s="41" t="s">
        <v>613</v>
      </c>
      <c r="G73" s="50">
        <v>0</v>
      </c>
      <c r="H73" s="85"/>
      <c r="I73" s="85"/>
      <c r="J73" s="85"/>
      <c r="K73" s="85"/>
      <c r="L73" s="85"/>
      <c r="M73" s="85"/>
      <c r="N73" s="85"/>
    </row>
    <row r="74" spans="3:14" ht="16.5" customHeight="1" x14ac:dyDescent="0.35">
      <c r="C74" s="18"/>
      <c r="D74" s="18"/>
      <c r="E74" s="18"/>
      <c r="F74" s="18"/>
      <c r="G74" s="18"/>
      <c r="H74" s="11"/>
      <c r="I74" s="25"/>
    </row>
    <row r="75" spans="3:14" ht="16.5" customHeight="1" x14ac:dyDescent="0.35">
      <c r="C75" s="18"/>
      <c r="D75" s="18"/>
      <c r="E75" s="18"/>
      <c r="F75" s="24" t="s">
        <v>604</v>
      </c>
      <c r="G75" s="44" t="s">
        <v>32</v>
      </c>
      <c r="H75" s="43" t="s">
        <v>30</v>
      </c>
      <c r="I75" s="43" t="s">
        <v>31</v>
      </c>
    </row>
    <row r="76" spans="3:14" ht="16.5" customHeight="1" x14ac:dyDescent="0.35">
      <c r="C76" s="193"/>
      <c r="D76" s="193"/>
      <c r="E76" s="193"/>
      <c r="F76" s="41" t="s">
        <v>87</v>
      </c>
      <c r="G76" s="63">
        <v>0</v>
      </c>
      <c r="J76" s="12"/>
    </row>
    <row r="77" spans="3:14" ht="16.5" customHeight="1" x14ac:dyDescent="0.35">
      <c r="C77" s="199" t="s">
        <v>85</v>
      </c>
      <c r="D77" s="199"/>
      <c r="E77" s="199"/>
      <c r="F77" s="199"/>
      <c r="G77" s="63">
        <v>0</v>
      </c>
      <c r="J77" s="12" t="s">
        <v>19</v>
      </c>
    </row>
    <row r="78" spans="3:14" ht="16.5" customHeight="1" x14ac:dyDescent="0.35">
      <c r="C78" s="199" t="s">
        <v>66</v>
      </c>
      <c r="D78" s="199"/>
      <c r="E78" s="199"/>
      <c r="F78" s="199"/>
      <c r="G78" s="64">
        <v>0</v>
      </c>
      <c r="H78" s="64">
        <v>0</v>
      </c>
      <c r="I78" s="64">
        <v>0</v>
      </c>
      <c r="J78" s="12" t="s">
        <v>19</v>
      </c>
    </row>
    <row r="79" spans="3:14" ht="16.5" customHeight="1" x14ac:dyDescent="0.35">
      <c r="C79" s="199" t="s">
        <v>67</v>
      </c>
      <c r="D79" s="199"/>
      <c r="E79" s="199"/>
      <c r="F79" s="199"/>
      <c r="G79" s="64">
        <v>0</v>
      </c>
      <c r="H79" s="64">
        <v>0</v>
      </c>
      <c r="I79" s="64">
        <v>0</v>
      </c>
      <c r="J79" s="12" t="s">
        <v>19</v>
      </c>
    </row>
    <row r="80" spans="3:14" ht="16.5" customHeight="1" x14ac:dyDescent="0.35">
      <c r="C80" s="199" t="s">
        <v>68</v>
      </c>
      <c r="D80" s="199"/>
      <c r="E80" s="199"/>
      <c r="F80" s="199"/>
      <c r="G80" s="64">
        <v>0</v>
      </c>
      <c r="H80" s="64">
        <v>0</v>
      </c>
      <c r="I80" s="64">
        <v>0</v>
      </c>
      <c r="J80" s="12" t="s">
        <v>19</v>
      </c>
    </row>
    <row r="81" spans="3:11" ht="16.5" customHeight="1" x14ac:dyDescent="0.35">
      <c r="C81" s="199" t="s">
        <v>69</v>
      </c>
      <c r="D81" s="199"/>
      <c r="E81" s="199"/>
      <c r="F81" s="199"/>
      <c r="G81" s="64">
        <v>0</v>
      </c>
      <c r="H81" s="64">
        <v>0</v>
      </c>
      <c r="I81" s="64">
        <v>0</v>
      </c>
      <c r="J81" s="12" t="s">
        <v>19</v>
      </c>
    </row>
    <row r="82" spans="3:11" ht="16.5" customHeight="1" x14ac:dyDescent="0.35">
      <c r="C82" s="185"/>
      <c r="D82" s="185"/>
      <c r="E82" s="185"/>
      <c r="F82" s="185" t="s">
        <v>614</v>
      </c>
      <c r="G82" s="64">
        <v>0</v>
      </c>
      <c r="H82" s="64">
        <v>0</v>
      </c>
      <c r="I82" s="64">
        <v>0</v>
      </c>
      <c r="J82" s="12" t="s">
        <v>19</v>
      </c>
    </row>
    <row r="83" spans="3:11" ht="16.5" customHeight="1" x14ac:dyDescent="0.35">
      <c r="C83" s="199" t="s">
        <v>72</v>
      </c>
      <c r="D83" s="199"/>
      <c r="E83" s="199" t="s">
        <v>20</v>
      </c>
      <c r="F83" s="199"/>
      <c r="G83" s="64">
        <v>0</v>
      </c>
      <c r="H83" s="64">
        <v>0</v>
      </c>
      <c r="I83" s="64">
        <v>0</v>
      </c>
      <c r="J83" s="12" t="s">
        <v>19</v>
      </c>
    </row>
    <row r="84" spans="3:11" ht="16.5" customHeight="1" x14ac:dyDescent="0.35">
      <c r="C84" s="199" t="s">
        <v>73</v>
      </c>
      <c r="D84" s="199"/>
      <c r="E84" s="199" t="s">
        <v>20</v>
      </c>
      <c r="F84" s="199"/>
      <c r="G84" s="64">
        <v>0</v>
      </c>
      <c r="H84" s="64">
        <v>0</v>
      </c>
      <c r="I84" s="64">
        <v>0</v>
      </c>
      <c r="J84" s="12" t="s">
        <v>19</v>
      </c>
    </row>
    <row r="85" spans="3:11" ht="16.5" customHeight="1" x14ac:dyDescent="0.35">
      <c r="C85" s="199" t="s">
        <v>70</v>
      </c>
      <c r="D85" s="199"/>
      <c r="E85" s="199" t="s">
        <v>20</v>
      </c>
      <c r="F85" s="199"/>
      <c r="G85" s="64">
        <v>0</v>
      </c>
      <c r="H85" s="64">
        <v>0</v>
      </c>
      <c r="I85" s="64">
        <v>0</v>
      </c>
      <c r="J85" s="12" t="s">
        <v>19</v>
      </c>
    </row>
    <row r="86" spans="3:11" ht="16.5" customHeight="1" x14ac:dyDescent="0.35">
      <c r="C86" s="199" t="s">
        <v>71</v>
      </c>
      <c r="D86" s="199"/>
      <c r="E86" s="199" t="s">
        <v>20</v>
      </c>
      <c r="F86" s="199"/>
      <c r="G86" s="64">
        <v>0</v>
      </c>
      <c r="H86" s="64">
        <v>0</v>
      </c>
      <c r="I86" s="64">
        <v>0</v>
      </c>
      <c r="J86" s="12" t="s">
        <v>19</v>
      </c>
    </row>
    <row r="87" spans="3:11" ht="16.5" customHeight="1" thickBot="1" x14ac:dyDescent="0.4">
      <c r="C87" s="18"/>
      <c r="D87" s="18"/>
      <c r="E87" s="18"/>
      <c r="F87" s="18"/>
      <c r="G87" s="28"/>
      <c r="H87" s="28"/>
      <c r="I87" s="28"/>
      <c r="J87" s="12"/>
    </row>
    <row r="88" spans="3:11" ht="16.5" customHeight="1" x14ac:dyDescent="0.35">
      <c r="D88" s="65"/>
      <c r="E88" s="195"/>
      <c r="F88" s="194" t="s">
        <v>53</v>
      </c>
      <c r="G88" s="67" t="s">
        <v>32</v>
      </c>
      <c r="H88" s="68" t="s">
        <v>30</v>
      </c>
      <c r="I88" s="68" t="s">
        <v>31</v>
      </c>
      <c r="J88" s="69" t="s">
        <v>52</v>
      </c>
    </row>
    <row r="89" spans="3:11" ht="16.5" customHeight="1" x14ac:dyDescent="0.35">
      <c r="C89" s="31"/>
      <c r="D89" s="70"/>
      <c r="E89" s="52"/>
      <c r="F89" s="53" t="s">
        <v>49</v>
      </c>
      <c r="G89" s="169">
        <f>G41*SOTOG[[#Totals],[Model 1
(eis M1 t/m M27)]]*48</f>
        <v>0</v>
      </c>
      <c r="H89" s="169">
        <f>H41*SOTOG[[#Totals],[Model 1
(eis M1 t/m M27)]]*12</f>
        <v>0</v>
      </c>
      <c r="I89" s="169">
        <f>I41*SOTOG[[#Totals],[Model 1
(eis M1 t/m M27)]]*12</f>
        <v>0</v>
      </c>
      <c r="J89" s="170">
        <f>SUM(SOTOG!$G89:$I89)</f>
        <v>0</v>
      </c>
    </row>
    <row r="90" spans="3:11" ht="16.5" customHeight="1" x14ac:dyDescent="0.35">
      <c r="C90" s="31"/>
      <c r="D90" s="72"/>
      <c r="E90" s="55"/>
      <c r="F90" s="56" t="s">
        <v>48</v>
      </c>
      <c r="G90" s="171">
        <f>G42*SOTOG[[#Totals],[Model 2
(eis M1 t/m M27)]]*48</f>
        <v>0</v>
      </c>
      <c r="H90" s="171">
        <f>H42*SOTOG[[#Totals],[Model 2
(eis M1 t/m M27)]]*12</f>
        <v>0</v>
      </c>
      <c r="I90" s="171">
        <f>I42*SOTOG[[#Totals],[Model 2
(eis M1 t/m M27)]]*12</f>
        <v>0</v>
      </c>
      <c r="J90" s="172">
        <f>SUM(SOTOG!$G90:$I90)</f>
        <v>0</v>
      </c>
    </row>
    <row r="91" spans="3:11" ht="16.5" customHeight="1" x14ac:dyDescent="0.35">
      <c r="C91" s="31"/>
      <c r="D91" s="74"/>
      <c r="E91" s="58"/>
      <c r="F91" s="53" t="s">
        <v>597</v>
      </c>
      <c r="G91" s="169">
        <f>G43*SOTOG[[#Totals],[Model 3
(eis M1 t/m M27)]]*48</f>
        <v>0</v>
      </c>
      <c r="H91" s="169">
        <f>H43*SOTOG[[#Totals],[Model 3
(eis M1 t/m M27)]]*12</f>
        <v>0</v>
      </c>
      <c r="I91" s="169">
        <f>I43*SOTOG[[#Totals],[Model 3
(eis M1 t/m M27)]]*12</f>
        <v>0</v>
      </c>
      <c r="J91" s="170">
        <f>SUM(SOTOG!$G91:$I91)</f>
        <v>0</v>
      </c>
    </row>
    <row r="92" spans="3:11" ht="16.5" customHeight="1" x14ac:dyDescent="0.35">
      <c r="C92" s="31"/>
      <c r="D92" s="75"/>
      <c r="E92" s="59"/>
      <c r="F92" s="56" t="s">
        <v>599</v>
      </c>
      <c r="G92" s="171">
        <f>G46*K42</f>
        <v>0</v>
      </c>
      <c r="H92" s="171">
        <f>H46*L42</f>
        <v>0</v>
      </c>
      <c r="I92" s="171">
        <f>I46*L42</f>
        <v>0</v>
      </c>
      <c r="J92" s="172">
        <f>SUM(SOTOG!$G92:$I92)</f>
        <v>0</v>
      </c>
    </row>
    <row r="93" spans="3:11" ht="16.5" customHeight="1" x14ac:dyDescent="0.35">
      <c r="C93" s="31"/>
      <c r="D93" s="74"/>
      <c r="E93" s="58"/>
      <c r="F93" s="53" t="s">
        <v>51</v>
      </c>
      <c r="G93" s="169">
        <f>G47*M42</f>
        <v>0</v>
      </c>
      <c r="H93" s="169">
        <f>H47*N42</f>
        <v>0</v>
      </c>
      <c r="I93" s="169">
        <f>I47*N42</f>
        <v>0</v>
      </c>
      <c r="J93" s="170">
        <f>SUM(SOTOG!$G93:$I93)</f>
        <v>0</v>
      </c>
    </row>
    <row r="94" spans="3:11" ht="16.5" customHeight="1" x14ac:dyDescent="0.35">
      <c r="C94" s="31"/>
      <c r="D94" s="75"/>
      <c r="E94" s="59"/>
      <c r="F94" s="56" t="s">
        <v>598</v>
      </c>
      <c r="G94" s="171">
        <f>G50*K43</f>
        <v>0</v>
      </c>
      <c r="H94" s="171">
        <f>H50*L43</f>
        <v>0</v>
      </c>
      <c r="I94" s="171">
        <f>I50*L43</f>
        <v>0</v>
      </c>
      <c r="J94" s="172">
        <f>SUM(SOTOG!$G94:$I94)</f>
        <v>0</v>
      </c>
    </row>
    <row r="95" spans="3:11" ht="16.5" customHeight="1" x14ac:dyDescent="0.35">
      <c r="C95" s="40"/>
      <c r="D95" s="74"/>
      <c r="E95" s="58"/>
      <c r="F95" s="53" t="s">
        <v>602</v>
      </c>
      <c r="G95" s="169">
        <f>G53*(SOTOG[[#Totals],[Model 1
(eis M1 t/m M27)]]+SOTOG[[#Totals],[Model 2
(eis M1 t/m M27)]])*48</f>
        <v>0</v>
      </c>
      <c r="H95" s="169">
        <f>H53*(SOTOG[[#Totals],[Model 1
(eis M1 t/m M27)]]+SOTOG[[#Totals],[Model 2
(eis M1 t/m M27)]])*12</f>
        <v>0</v>
      </c>
      <c r="I95" s="169">
        <f>I53*(SOTOG[[#Totals],[Model 1
(eis M1 t/m M27)]]+SOTOG[[#Totals],[Model 2
(eis M1 t/m M27)]])*12</f>
        <v>0</v>
      </c>
      <c r="J95" s="170">
        <f>SUM(SOTOG!$G95:$I95)</f>
        <v>0</v>
      </c>
      <c r="K95" s="38"/>
    </row>
    <row r="96" spans="3:11" ht="16.5" customHeight="1" x14ac:dyDescent="0.35">
      <c r="C96" s="40"/>
      <c r="D96" s="75"/>
      <c r="E96" s="59"/>
      <c r="F96" s="56" t="s">
        <v>603</v>
      </c>
      <c r="G96" s="171">
        <f>G54*SOTOG[[#Totals],[Model 3
(eis M1 t/m M27)]]*48</f>
        <v>0</v>
      </c>
      <c r="H96" s="171">
        <f>H54*SOTOG[[#Totals],[Model 3
(eis M1 t/m M27)]]*12</f>
        <v>0</v>
      </c>
      <c r="I96" s="171">
        <f>I54*SOTOG[[#Totals],[Model 3
(eis M1 t/m M27)]]*12</f>
        <v>0</v>
      </c>
      <c r="J96" s="172">
        <f>SUM(SOTOG!$G96:$I96)</f>
        <v>0</v>
      </c>
      <c r="K96" s="38"/>
    </row>
    <row r="97" spans="3:11" ht="16.5" customHeight="1" x14ac:dyDescent="0.35">
      <c r="C97" s="40"/>
      <c r="D97" s="74"/>
      <c r="E97" s="58"/>
      <c r="F97" s="53" t="s">
        <v>618</v>
      </c>
      <c r="G97" s="169">
        <f>SUM(G68:N68)*48*(SOTOG[[#Totals],[Model 1
(eis M1 t/m M27)]]+SOTOG[[#Totals],[Model 2
(eis M1 t/m M27)]])</f>
        <v>0</v>
      </c>
      <c r="H97" s="169">
        <f>SUM(G69:N69)*12*(SOTOG[[#Totals],[Model 1
(eis M1 t/m M27)]]+SOTOG[[#Totals],[Model 2
(eis M1 t/m M27)]])</f>
        <v>0</v>
      </c>
      <c r="I97" s="169">
        <f>SUM(G69:N69)*12*(SOTOG[[#Totals],[Model 1
(eis M1 t/m M27)]]+SOTOG[[#Totals],[Model 2
(eis M1 t/m M27)]])</f>
        <v>0</v>
      </c>
      <c r="J97" s="170">
        <f>SUM(SOTOG!$G97:$I97)</f>
        <v>0</v>
      </c>
      <c r="K97" s="38"/>
    </row>
    <row r="98" spans="3:11" ht="16.5" customHeight="1" x14ac:dyDescent="0.35">
      <c r="C98" s="40"/>
      <c r="D98" s="173"/>
      <c r="E98" s="174"/>
      <c r="F98" s="175" t="s">
        <v>17</v>
      </c>
      <c r="G98" s="89"/>
      <c r="H98" s="89"/>
      <c r="I98" s="89"/>
      <c r="J98" s="73">
        <f>G57</f>
        <v>0</v>
      </c>
      <c r="K98" s="38"/>
    </row>
    <row r="99" spans="3:11" ht="16.5" customHeight="1" thickBot="1" x14ac:dyDescent="0.4">
      <c r="C99" s="39"/>
      <c r="D99" s="176"/>
      <c r="E99" s="177"/>
      <c r="F99" s="178" t="s">
        <v>18</v>
      </c>
      <c r="G99" s="90"/>
      <c r="H99" s="90"/>
      <c r="I99" s="90"/>
      <c r="J99" s="179">
        <f>G58</f>
        <v>0</v>
      </c>
    </row>
    <row r="100" spans="3:11" ht="16.5" customHeight="1" thickBot="1" x14ac:dyDescent="0.6">
      <c r="C100" s="15"/>
      <c r="D100" s="15"/>
      <c r="E100" s="16"/>
      <c r="G100" s="14"/>
      <c r="H100" s="14"/>
      <c r="I100" s="14"/>
    </row>
    <row r="101" spans="3:11" ht="24" thickBot="1" x14ac:dyDescent="0.6">
      <c r="G101" s="17"/>
      <c r="H101" s="91" t="s">
        <v>21</v>
      </c>
      <c r="I101" s="200">
        <f>SUM(J89:J100)</f>
        <v>0</v>
      </c>
      <c r="J101" s="201"/>
    </row>
    <row r="103" spans="3:11" ht="15" x14ac:dyDescent="0.35">
      <c r="E103" s="88" t="s">
        <v>76</v>
      </c>
      <c r="K103" s="42"/>
    </row>
    <row r="104" spans="3:11" ht="15" x14ac:dyDescent="0.35">
      <c r="E104" s="88" t="s">
        <v>77</v>
      </c>
      <c r="F104" s="42"/>
      <c r="G104" s="42"/>
      <c r="H104" s="42"/>
      <c r="I104" s="42"/>
      <c r="J104" s="42"/>
      <c r="K104" s="42"/>
    </row>
    <row r="105" spans="3:11" ht="15" x14ac:dyDescent="0.35">
      <c r="E105" s="87" t="s">
        <v>78</v>
      </c>
      <c r="F105" s="42"/>
      <c r="G105" s="42"/>
      <c r="H105" s="42"/>
      <c r="I105" s="42"/>
      <c r="J105" s="42"/>
      <c r="K105" s="13"/>
    </row>
    <row r="106" spans="3:11" x14ac:dyDescent="0.35">
      <c r="F106" s="13"/>
      <c r="G106" s="13"/>
      <c r="H106" s="13"/>
      <c r="I106" s="13"/>
      <c r="J106" s="13"/>
    </row>
  </sheetData>
  <mergeCells count="12">
    <mergeCell ref="I101:J101"/>
    <mergeCell ref="C86:F86"/>
    <mergeCell ref="C77:F77"/>
    <mergeCell ref="C78:F78"/>
    <mergeCell ref="C79:F79"/>
    <mergeCell ref="C80:F80"/>
    <mergeCell ref="C81:F81"/>
    <mergeCell ref="C57:F57"/>
    <mergeCell ref="C58:F58"/>
    <mergeCell ref="C83:F83"/>
    <mergeCell ref="C84:F84"/>
    <mergeCell ref="C85:F85"/>
  </mergeCells>
  <phoneticPr fontId="2" type="noConversion"/>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D53DD-C5DA-45BE-95BE-DEDF5248FA3A}">
  <sheetPr>
    <tabColor theme="4" tint="0.59999389629810485"/>
  </sheetPr>
  <dimension ref="A1:X93"/>
  <sheetViews>
    <sheetView showGridLines="0" zoomScale="90" zoomScaleNormal="90" workbookViewId="0">
      <pane ySplit="3" topLeftCell="A4" activePane="bottomLeft" state="frozen"/>
      <selection pane="bottomLeft" activeCell="G3" sqref="G3"/>
    </sheetView>
  </sheetViews>
  <sheetFormatPr defaultRowHeight="14.5" x14ac:dyDescent="0.35"/>
  <cols>
    <col min="1" max="1" width="15.81640625" customWidth="1"/>
    <col min="2" max="2" width="25.81640625" customWidth="1"/>
    <col min="3" max="3" width="32.453125" bestFit="1" customWidth="1"/>
    <col min="4" max="4" width="8.453125" bestFit="1" customWidth="1"/>
    <col min="5" max="7" width="20.81640625" customWidth="1"/>
    <col min="8" max="8" width="20.81640625" hidden="1" customWidth="1"/>
    <col min="9" max="24" width="20.81640625" customWidth="1"/>
  </cols>
  <sheetData>
    <row r="1" spans="1:24" hidden="1" x14ac:dyDescent="0.35">
      <c r="Q1" s="4">
        <v>45931</v>
      </c>
    </row>
    <row r="2" spans="1:24" s="36" customFormat="1" ht="26" x14ac:dyDescent="0.3">
      <c r="A2" s="10" t="s">
        <v>1</v>
      </c>
      <c r="B2" s="10" t="s">
        <v>2</v>
      </c>
      <c r="C2" s="10" t="s">
        <v>3</v>
      </c>
      <c r="D2" s="10" t="s">
        <v>4</v>
      </c>
      <c r="E2" s="10" t="s">
        <v>5</v>
      </c>
      <c r="F2" s="10" t="s">
        <v>6</v>
      </c>
      <c r="G2" s="10" t="s">
        <v>39</v>
      </c>
      <c r="H2" s="10" t="s">
        <v>551</v>
      </c>
      <c r="I2" s="10" t="s">
        <v>40</v>
      </c>
      <c r="J2" s="10" t="s">
        <v>561</v>
      </c>
      <c r="K2" s="10" t="s">
        <v>13</v>
      </c>
      <c r="L2" s="10" t="s">
        <v>14</v>
      </c>
      <c r="M2" s="10" t="s">
        <v>10</v>
      </c>
      <c r="N2" s="10" t="s">
        <v>11</v>
      </c>
      <c r="O2" s="129" t="s">
        <v>615</v>
      </c>
      <c r="P2" s="129" t="s">
        <v>616</v>
      </c>
      <c r="Q2" s="124" t="s">
        <v>562</v>
      </c>
      <c r="R2" s="125" t="s">
        <v>563</v>
      </c>
      <c r="S2" s="124" t="s">
        <v>564</v>
      </c>
      <c r="T2" s="125" t="s">
        <v>565</v>
      </c>
      <c r="U2" s="10" t="s">
        <v>41</v>
      </c>
      <c r="V2" s="10" t="s">
        <v>42</v>
      </c>
      <c r="W2" s="10" t="s">
        <v>43</v>
      </c>
      <c r="X2" s="10" t="s">
        <v>44</v>
      </c>
    </row>
    <row r="3" spans="1:24" s="119" customFormat="1" ht="13" x14ac:dyDescent="0.35">
      <c r="B3" s="120"/>
      <c r="G3" s="182" t="str">
        <f>IF(De_Groeiling[[#This Row],[Zw/w p/j]]=0,"",IF((De_Groeiling[[#This Row],[Zw/w p/j]]+De_Groeiling[[#This Row],[Kleur p/j]])&lt;SOTOG!$H$1,1,IF((De_Groeiling[[#This Row],[Zw/w p/j]]+De_Groeiling[[#This Row],[Kleur p/j]])&gt;SOTOG!$G$1,2,"")))</f>
        <v/>
      </c>
      <c r="H3" s="182"/>
      <c r="I3" s="182" t="str">
        <f>IF(AND(De_Groeiling[[#This Row],[Zw/w p/j]]+De_Groeiling[[#This Row],[Kleur p/j]]&gt;=SOTOG!$H$1,De_Groeiling[[#This Row],[Zw/w p/j]]+De_Groeiling[[#This Row],[Kleur p/j]]&lt;SOTOG!$G$1),1,"")</f>
        <v/>
      </c>
      <c r="J3" s="121"/>
      <c r="K3" s="122"/>
      <c r="L3" s="122"/>
      <c r="M3" s="122"/>
      <c r="N3" s="122"/>
      <c r="O3" s="123">
        <f>Q1</f>
        <v>45931</v>
      </c>
      <c r="P3" s="123">
        <f>Q1</f>
        <v>45931</v>
      </c>
      <c r="Q3" s="123">
        <f>Q1</f>
        <v>45931</v>
      </c>
      <c r="R3" s="123">
        <f>$Q$1</f>
        <v>45931</v>
      </c>
      <c r="S3" s="123">
        <f t="shared" ref="S3:T3" si="0">$Q$1</f>
        <v>45931</v>
      </c>
      <c r="T3" s="123">
        <f t="shared" si="0"/>
        <v>45931</v>
      </c>
      <c r="U3" s="122" t="str">
        <f>IF(De_Groeiling[[#This Row],[Model 1
(eis M1 t/m M27)]]="","",De_Groeiling[[#This Row],[Zw/w p/j]])</f>
        <v/>
      </c>
      <c r="V3" s="122" t="str">
        <f>IF(De_Groeiling[[#This Row],[Model 1
(eis M1 t/m M27)]]="","",De_Groeiling[[#This Row],[Kleur p/j]])</f>
        <v/>
      </c>
      <c r="W3" s="122" t="str">
        <f>IF(De_Groeiling[[#This Row],[Model 2
(eis M1 t/m M27)]]="","",De_Groeiling[[#This Row],[Zw/w p/j]])</f>
        <v/>
      </c>
      <c r="X3" s="122" t="str">
        <f>IF(De_Groeiling[[#This Row],[Model 2
(eis M1 t/m M27)]]="","",De_Groeiling[[#This Row],[Kleur p/j]])</f>
        <v/>
      </c>
    </row>
    <row r="4" spans="1:24" x14ac:dyDescent="0.35">
      <c r="A4" t="s">
        <v>174</v>
      </c>
      <c r="B4" t="s">
        <v>175</v>
      </c>
      <c r="C4" t="s">
        <v>230</v>
      </c>
      <c r="D4" t="s">
        <v>231</v>
      </c>
      <c r="E4" t="s">
        <v>232</v>
      </c>
      <c r="F4" t="s">
        <v>233</v>
      </c>
      <c r="G4" s="104" t="str">
        <f>IF(De_Groeiling[[#This Row],[Zw/w p/j]]=0,"",IF((De_Groeiling[[#This Row],[Zw/w p/j]]+De_Groeiling[[#This Row],[Kleur p/j]])&lt;SOTOG!$H$1,1,IF((De_Groeiling[[#This Row],[Zw/w p/j]]+De_Groeiling[[#This Row],[Kleur p/j]])&gt;SOTOG!$G$1,2,"")))</f>
        <v/>
      </c>
      <c r="H4" s="104" t="s">
        <v>553</v>
      </c>
      <c r="I4" s="104">
        <f>IF(AND(De_Groeiling[[#This Row],[Zw/w p/j]]+De_Groeiling[[#This Row],[Kleur p/j]]&gt;=SOTOG!$H$1,De_Groeiling[[#This Row],[Zw/w p/j]]+De_Groeiling[[#This Row],[Kleur p/j]]&lt;SOTOG!$G$1),1,"")</f>
        <v>1</v>
      </c>
      <c r="J4" s="112">
        <v>44470</v>
      </c>
      <c r="K4" s="1">
        <f>De_Groeiling[[#This Row],[Zw/w p/m]]*12</f>
        <v>171394.5</v>
      </c>
      <c r="L4" s="1">
        <f>De_Groeiling[[#This Row],[kleur p/m]]*12</f>
        <v>60991.5</v>
      </c>
      <c r="M4" s="1">
        <v>14282.875</v>
      </c>
      <c r="N4" s="1">
        <v>5082.625</v>
      </c>
      <c r="O4" s="1" t="str">
        <f>IF(De_Groeiling[[#This Row],[Model 1
(eis M1 t/m M27)]]="","",INT(_xlfn.DAYS($Q$1,De_Groeiling[[#This Row],[Datum in gebruikname nieuwe MFP]])/30.41))</f>
        <v/>
      </c>
      <c r="P4" s="1">
        <f>IF(De_Groeiling[[#This Row],[Model 2
(eis M1 t/m M27)]]="","",INT(_xlfn.DAYS($Q$1,De_Groeiling[[#This Row],[Datum in gebruikname nieuwe MFP]])/30.41))</f>
        <v>48</v>
      </c>
      <c r="Q4" s="1" t="str">
        <f>IF(De_Groeiling[[#This Row],[Model 1
(eis M1 t/m M27)]]="","",De_Groeiling[[#This Row],[Zw/w p/m]]*De_Groeiling[[#This Row],[Aantal maanden model 1]])</f>
        <v/>
      </c>
      <c r="R4" s="1" t="str">
        <f>IF(De_Groeiling[[#This Row],[Model 1
(eis M1 t/m M27)]]="","",De_Groeiling[[#This Row],[kleur p/m]]*De_Groeiling[[#This Row],[Aantal maanden model 1]])</f>
        <v/>
      </c>
      <c r="S4" s="1">
        <f>IF(De_Groeiling[[#This Row],[Model 2
(eis M1 t/m M27)]]="","",De_Groeiling[[#This Row],[Zw/w p/m]]*De_Groeiling[[#This Row],[Aantal maanden model 2]])</f>
        <v>685578</v>
      </c>
      <c r="T4" s="1">
        <f>IF(De_Groeiling[[#This Row],[Model 2
(eis M1 t/m M27)]]="","",De_Groeiling[[#This Row],[kleur p/m]]*De_Groeiling[[#This Row],[Aantal maanden model 2]])</f>
        <v>243966</v>
      </c>
      <c r="U4" s="1" t="str">
        <f>IF(De_Groeiling[[#This Row],[Model 1
(eis M1 t/m M27)]]="","",De_Groeiling[[#This Row],[Zw/w p/j]])</f>
        <v/>
      </c>
      <c r="V4" s="1" t="str">
        <f>IF(De_Groeiling[[#This Row],[Model 1
(eis M1 t/m M27)]]="","",De_Groeiling[[#This Row],[Kleur p/j]])</f>
        <v/>
      </c>
      <c r="W4" s="1">
        <f>IF(De_Groeiling[[#This Row],[Model 2
(eis M1 t/m M27)]]="","",De_Groeiling[[#This Row],[Zw/w p/j]])</f>
        <v>171394.5</v>
      </c>
      <c r="X4" s="1">
        <f>IF(De_Groeiling[[#This Row],[Model 2
(eis M1 t/m M27)]]="","",De_Groeiling[[#This Row],[Kleur p/j]])</f>
        <v>60991.5</v>
      </c>
    </row>
    <row r="5" spans="1:24" x14ac:dyDescent="0.35">
      <c r="A5" t="s">
        <v>184</v>
      </c>
      <c r="B5" t="s">
        <v>185</v>
      </c>
      <c r="C5" t="s">
        <v>249</v>
      </c>
      <c r="D5" t="s">
        <v>250</v>
      </c>
      <c r="E5" t="s">
        <v>236</v>
      </c>
      <c r="F5" t="s">
        <v>251</v>
      </c>
      <c r="G5" s="104">
        <v>1</v>
      </c>
      <c r="H5" s="104" t="s">
        <v>552</v>
      </c>
      <c r="I5" s="104">
        <f>IF(AND(De_Groeiling[[#This Row],[Zw/w p/j]]+De_Groeiling[[#This Row],[Kleur p/j]]&gt;=SOTOG!$H$1,De_Groeiling[[#This Row],[Zw/w p/j]]+De_Groeiling[[#This Row],[Kleur p/j]]&lt;SOTOG!$G$1),1,"")</f>
        <v>1</v>
      </c>
      <c r="J5" s="112">
        <v>44470</v>
      </c>
      <c r="K5" s="1">
        <f>De_Groeiling[[#This Row],[Zw/w p/m]]*12</f>
        <v>190501.5</v>
      </c>
      <c r="L5" s="1">
        <f>De_Groeiling[[#This Row],[kleur p/m]]*12</f>
        <v>208188</v>
      </c>
      <c r="M5" s="1">
        <v>15875.125</v>
      </c>
      <c r="N5" s="1">
        <v>17349</v>
      </c>
      <c r="O5" s="1">
        <f>IF(De_Groeiling[[#This Row],[Model 1
(eis M1 t/m M27)]]="","",INT(_xlfn.DAYS($Q$1,De_Groeiling[[#This Row],[Datum in gebruikname nieuwe MFP]])/30.41))</f>
        <v>48</v>
      </c>
      <c r="P5" s="1">
        <f>IF(De_Groeiling[[#This Row],[Model 2
(eis M1 t/m M27)]]="","",INT(_xlfn.DAYS($Q$1,De_Groeiling[[#This Row],[Datum in gebruikname nieuwe MFP]])/30.41))</f>
        <v>48</v>
      </c>
      <c r="Q5" s="1">
        <f>IF(De_Groeiling[[#This Row],[Model 1
(eis M1 t/m M27)]]="","",De_Groeiling[[#This Row],[Zw/w p/m]]*De_Groeiling[[#This Row],[Aantal maanden model 1]])*0.4</f>
        <v>304802.40000000002</v>
      </c>
      <c r="R5" s="1">
        <f>IF(De_Groeiling[[#This Row],[Model 1
(eis M1 t/m M27)]]="","",De_Groeiling[[#This Row],[kleur p/m]]*De_Groeiling[[#This Row],[Aantal maanden model 1]])*0.4</f>
        <v>333100.80000000005</v>
      </c>
      <c r="S5" s="1">
        <f>IF(De_Groeiling[[#This Row],[Model 2
(eis M1 t/m M27)]]="","",De_Groeiling[[#This Row],[Zw/w p/m]]*De_Groeiling[[#This Row],[Aantal maanden model 2]])*0.6</f>
        <v>457203.6</v>
      </c>
      <c r="T5" s="1">
        <f>IF(De_Groeiling[[#This Row],[Model 2
(eis M1 t/m M27)]]="","",De_Groeiling[[#This Row],[kleur p/m]]*De_Groeiling[[#This Row],[Aantal maanden model 2]])*0.6</f>
        <v>499651.19999999995</v>
      </c>
      <c r="U5" s="1">
        <f>IF(De_Groeiling[[#This Row],[Model 1
(eis M1 t/m M27)]]="","",De_Groeiling[[#This Row],[Zw/w p/j]])</f>
        <v>190501.5</v>
      </c>
      <c r="V5" s="1">
        <f>IF(De_Groeiling[[#This Row],[Model 1
(eis M1 t/m M27)]]="","",De_Groeiling[[#This Row],[Kleur p/j]])</f>
        <v>208188</v>
      </c>
      <c r="W5" s="1">
        <f>IF(De_Groeiling[[#This Row],[Model 2
(eis M1 t/m M27)]]="","",De_Groeiling[[#This Row],[Zw/w p/j]])</f>
        <v>190501.5</v>
      </c>
      <c r="X5" s="1">
        <f>IF(De_Groeiling[[#This Row],[Model 2
(eis M1 t/m M27)]]="","",De_Groeiling[[#This Row],[Kleur p/j]])</f>
        <v>208188</v>
      </c>
    </row>
    <row r="6" spans="1:24" x14ac:dyDescent="0.35">
      <c r="A6" t="s">
        <v>180</v>
      </c>
      <c r="B6" t="s">
        <v>181</v>
      </c>
      <c r="C6" t="s">
        <v>242</v>
      </c>
      <c r="D6" t="s">
        <v>243</v>
      </c>
      <c r="E6" t="s">
        <v>236</v>
      </c>
      <c r="F6" t="s">
        <v>244</v>
      </c>
      <c r="G6" s="104" t="str">
        <f>IF(De_Groeiling[[#This Row],[Zw/w p/j]]=0,"",IF((De_Groeiling[[#This Row],[Zw/w p/j]]+De_Groeiling[[#This Row],[Kleur p/j]])&lt;SOTOG!$H$1,1,IF((De_Groeiling[[#This Row],[Zw/w p/j]]+De_Groeiling[[#This Row],[Kleur p/j]])&gt;SOTOG!$G$1,2,"")))</f>
        <v/>
      </c>
      <c r="H6" s="104" t="s">
        <v>553</v>
      </c>
      <c r="I6" s="104">
        <f>IF(AND(De_Groeiling[[#This Row],[Zw/w p/j]]+De_Groeiling[[#This Row],[Kleur p/j]]&gt;=SOTOG!$H$1,De_Groeiling[[#This Row],[Zw/w p/j]]+De_Groeiling[[#This Row],[Kleur p/j]]&lt;SOTOG!$G$1),1,"")</f>
        <v>1</v>
      </c>
      <c r="J6" s="112">
        <v>44470</v>
      </c>
      <c r="K6" s="1">
        <f>De_Groeiling[[#This Row],[Zw/w p/m]]*12</f>
        <v>198316.5</v>
      </c>
      <c r="L6" s="1">
        <f>De_Groeiling[[#This Row],[kleur p/m]]*12</f>
        <v>119515.5</v>
      </c>
      <c r="M6" s="1">
        <v>16526.375</v>
      </c>
      <c r="N6" s="1">
        <v>9959.625</v>
      </c>
      <c r="O6" s="1" t="str">
        <f>IF(De_Groeiling[[#This Row],[Model 1
(eis M1 t/m M27)]]="","",INT(_xlfn.DAYS($Q$1,De_Groeiling[[#This Row],[Datum in gebruikname nieuwe MFP]])/30.41))</f>
        <v/>
      </c>
      <c r="P6" s="1">
        <f>IF(De_Groeiling[[#This Row],[Model 2
(eis M1 t/m M27)]]="","",INT(_xlfn.DAYS($Q$1,De_Groeiling[[#This Row],[Datum in gebruikname nieuwe MFP]])/30.41))</f>
        <v>48</v>
      </c>
      <c r="Q6" s="1" t="str">
        <f>IF(De_Groeiling[[#This Row],[Model 1
(eis M1 t/m M27)]]="","",De_Groeiling[[#This Row],[Zw/w p/m]]*De_Groeiling[[#This Row],[Aantal maanden model 1]])</f>
        <v/>
      </c>
      <c r="R6" s="1" t="str">
        <f>IF(De_Groeiling[[#This Row],[Model 1
(eis M1 t/m M27)]]="","",De_Groeiling[[#This Row],[kleur p/m]]*De_Groeiling[[#This Row],[Aantal maanden model 1]])</f>
        <v/>
      </c>
      <c r="S6" s="1">
        <f>IF(De_Groeiling[[#This Row],[Model 2
(eis M1 t/m M27)]]="","",De_Groeiling[[#This Row],[Zw/w p/m]]*De_Groeiling[[#This Row],[Aantal maanden model 2]])</f>
        <v>793266</v>
      </c>
      <c r="T6" s="1">
        <f>IF(De_Groeiling[[#This Row],[Model 2
(eis M1 t/m M27)]]="","",De_Groeiling[[#This Row],[kleur p/m]]*De_Groeiling[[#This Row],[Aantal maanden model 2]])</f>
        <v>478062</v>
      </c>
      <c r="U6" s="1" t="str">
        <f>IF(De_Groeiling[[#This Row],[Model 1
(eis M1 t/m M27)]]="","",De_Groeiling[[#This Row],[Zw/w p/j]])</f>
        <v/>
      </c>
      <c r="V6" s="1" t="str">
        <f>IF(De_Groeiling[[#This Row],[Model 1
(eis M1 t/m M27)]]="","",De_Groeiling[[#This Row],[Kleur p/j]])</f>
        <v/>
      </c>
      <c r="W6" s="1">
        <f>IF(De_Groeiling[[#This Row],[Model 2
(eis M1 t/m M27)]]="","",De_Groeiling[[#This Row],[Zw/w p/j]])</f>
        <v>198316.5</v>
      </c>
      <c r="X6" s="1">
        <f>IF(De_Groeiling[[#This Row],[Model 2
(eis M1 t/m M27)]]="","",De_Groeiling[[#This Row],[Kleur p/j]])</f>
        <v>119515.5</v>
      </c>
    </row>
    <row r="7" spans="1:24" x14ac:dyDescent="0.35">
      <c r="A7" t="s">
        <v>186</v>
      </c>
      <c r="B7" t="s">
        <v>187</v>
      </c>
      <c r="C7" t="s">
        <v>252</v>
      </c>
      <c r="D7" t="s">
        <v>253</v>
      </c>
      <c r="E7" t="s">
        <v>254</v>
      </c>
      <c r="F7" t="s">
        <v>255</v>
      </c>
      <c r="G7" s="104">
        <f>IF(De_Groeiling[[#This Row],[Zw/w p/j]]=0,"",IF((De_Groeiling[[#This Row],[Zw/w p/j]]+De_Groeiling[[#This Row],[Kleur p/j]])&lt;SOTOG!$H$1,1,IF((De_Groeiling[[#This Row],[Zw/w p/j]]+De_Groeiling[[#This Row],[Kleur p/j]])&gt;SOTOG!$G$1,2,"")))</f>
        <v>1</v>
      </c>
      <c r="H7" s="104" t="s">
        <v>553</v>
      </c>
      <c r="I7" s="104" t="str">
        <f>IF(AND(De_Groeiling[[#This Row],[Zw/w p/j]]+De_Groeiling[[#This Row],[Kleur p/j]]&gt;=SOTOG!$H$1,De_Groeiling[[#This Row],[Zw/w p/j]]+De_Groeiling[[#This Row],[Kleur p/j]]&lt;SOTOG!$G$1),1,"")</f>
        <v/>
      </c>
      <c r="J7" s="112">
        <v>45047</v>
      </c>
      <c r="K7" s="1">
        <f>De_Groeiling[[#This Row],[Zw/w p/m]]*12</f>
        <v>31969.5</v>
      </c>
      <c r="L7" s="1">
        <f>De_Groeiling[[#This Row],[kleur p/m]]*12</f>
        <v>38100</v>
      </c>
      <c r="M7" s="1">
        <v>2664.125</v>
      </c>
      <c r="N7" s="1">
        <v>3175</v>
      </c>
      <c r="O7" s="1">
        <f>IF(De_Groeiling[[#This Row],[Model 1
(eis M1 t/m M27)]]="","",INT(_xlfn.DAYS($Q$1,De_Groeiling[[#This Row],[Datum in gebruikname nieuwe MFP]])/30.41))</f>
        <v>29</v>
      </c>
      <c r="P7" s="1" t="str">
        <f>IF(De_Groeiling[[#This Row],[Model 2
(eis M1 t/m M27)]]="","",INT(_xlfn.DAYS($Q$1,De_Groeiling[[#This Row],[Datum in gebruikname nieuwe MFP]])/30.41))</f>
        <v/>
      </c>
      <c r="Q7" s="1">
        <f>IF(De_Groeiling[[#This Row],[Model 1
(eis M1 t/m M27)]]="","",De_Groeiling[[#This Row],[Zw/w p/m]]*De_Groeiling[[#This Row],[Aantal maanden model 1]])</f>
        <v>77259.625</v>
      </c>
      <c r="R7" s="1">
        <f>IF(De_Groeiling[[#This Row],[Model 1
(eis M1 t/m M27)]]="","",De_Groeiling[[#This Row],[kleur p/m]]*De_Groeiling[[#This Row],[Aantal maanden model 1]])</f>
        <v>92075</v>
      </c>
      <c r="S7" s="1" t="str">
        <f>IF(De_Groeiling[[#This Row],[Model 2
(eis M1 t/m M27)]]="","",De_Groeiling[[#This Row],[Zw/w p/m]]*De_Groeiling[[#This Row],[Aantal maanden model 2]])</f>
        <v/>
      </c>
      <c r="T7" s="1" t="str">
        <f>IF(De_Groeiling[[#This Row],[Model 2
(eis M1 t/m M27)]]="","",De_Groeiling[[#This Row],[kleur p/m]]*De_Groeiling[[#This Row],[Aantal maanden model 2]])</f>
        <v/>
      </c>
      <c r="U7" s="1">
        <f>IF(De_Groeiling[[#This Row],[Model 1
(eis M1 t/m M27)]]="","",De_Groeiling[[#This Row],[Zw/w p/j]])</f>
        <v>31969.5</v>
      </c>
      <c r="V7" s="1">
        <f>IF(De_Groeiling[[#This Row],[Model 1
(eis M1 t/m M27)]]="","",De_Groeiling[[#This Row],[Kleur p/j]])</f>
        <v>38100</v>
      </c>
      <c r="W7" s="1" t="str">
        <f>IF(De_Groeiling[[#This Row],[Model 2
(eis M1 t/m M27)]]="","",De_Groeiling[[#This Row],[Zw/w p/j]])</f>
        <v/>
      </c>
      <c r="X7" s="1" t="str">
        <f>IF(De_Groeiling[[#This Row],[Model 2
(eis M1 t/m M27)]]="","",De_Groeiling[[#This Row],[Kleur p/j]])</f>
        <v/>
      </c>
    </row>
    <row r="8" spans="1:24" x14ac:dyDescent="0.35">
      <c r="A8" t="s">
        <v>176</v>
      </c>
      <c r="B8" t="s">
        <v>177</v>
      </c>
      <c r="C8" t="s">
        <v>234</v>
      </c>
      <c r="D8" t="s">
        <v>235</v>
      </c>
      <c r="E8" t="s">
        <v>236</v>
      </c>
      <c r="F8" t="s">
        <v>237</v>
      </c>
      <c r="G8" s="104" t="str">
        <f>IF(De_Groeiling[[#This Row],[Zw/w p/j]]=0,"",IF((De_Groeiling[[#This Row],[Zw/w p/j]]+De_Groeiling[[#This Row],[Kleur p/j]])&lt;SOTOG!$H$1,1,IF((De_Groeiling[[#This Row],[Zw/w p/j]]+De_Groeiling[[#This Row],[Kleur p/j]])&gt;SOTOG!$G$1,2,"")))</f>
        <v/>
      </c>
      <c r="H8" s="104" t="s">
        <v>553</v>
      </c>
      <c r="I8" s="104">
        <f>IF(AND(De_Groeiling[[#This Row],[Zw/w p/j]]+De_Groeiling[[#This Row],[Kleur p/j]]&gt;=SOTOG!$H$1,De_Groeiling[[#This Row],[Zw/w p/j]]+De_Groeiling[[#This Row],[Kleur p/j]]&lt;SOTOG!$G$1),1,"")</f>
        <v>1</v>
      </c>
      <c r="J8" s="112">
        <v>44470</v>
      </c>
      <c r="K8" s="1">
        <f>De_Groeiling[[#This Row],[Zw/w p/m]]*12</f>
        <v>149718</v>
      </c>
      <c r="L8" s="1">
        <f>De_Groeiling[[#This Row],[kleur p/m]]*12</f>
        <v>66897</v>
      </c>
      <c r="M8" s="1">
        <v>12476.5</v>
      </c>
      <c r="N8" s="1">
        <v>5574.75</v>
      </c>
      <c r="O8" s="1" t="str">
        <f>IF(De_Groeiling[[#This Row],[Model 1
(eis M1 t/m M27)]]="","",INT(_xlfn.DAYS($Q$1,De_Groeiling[[#This Row],[Datum in gebruikname nieuwe MFP]])/30.41))</f>
        <v/>
      </c>
      <c r="P8" s="1">
        <f>IF(De_Groeiling[[#This Row],[Model 2
(eis M1 t/m M27)]]="","",INT(_xlfn.DAYS($Q$1,De_Groeiling[[#This Row],[Datum in gebruikname nieuwe MFP]])/30.41))</f>
        <v>48</v>
      </c>
      <c r="Q8" s="1" t="str">
        <f>IF(De_Groeiling[[#This Row],[Model 1
(eis M1 t/m M27)]]="","",De_Groeiling[[#This Row],[Zw/w p/m]]*De_Groeiling[[#This Row],[Aantal maanden model 1]])</f>
        <v/>
      </c>
      <c r="R8" s="1" t="str">
        <f>IF(De_Groeiling[[#This Row],[Model 1
(eis M1 t/m M27)]]="","",De_Groeiling[[#This Row],[kleur p/m]]*De_Groeiling[[#This Row],[Aantal maanden model 1]])</f>
        <v/>
      </c>
      <c r="S8" s="1">
        <f>IF(De_Groeiling[[#This Row],[Model 2
(eis M1 t/m M27)]]="","",De_Groeiling[[#This Row],[Zw/w p/m]]*De_Groeiling[[#This Row],[Aantal maanden model 2]])</f>
        <v>598872</v>
      </c>
      <c r="T8" s="1">
        <f>IF(De_Groeiling[[#This Row],[Model 2
(eis M1 t/m M27)]]="","",De_Groeiling[[#This Row],[kleur p/m]]*De_Groeiling[[#This Row],[Aantal maanden model 2]])</f>
        <v>267588</v>
      </c>
      <c r="U8" s="1" t="str">
        <f>IF(De_Groeiling[[#This Row],[Model 1
(eis M1 t/m M27)]]="","",De_Groeiling[[#This Row],[Zw/w p/j]])</f>
        <v/>
      </c>
      <c r="V8" s="1" t="str">
        <f>IF(De_Groeiling[[#This Row],[Model 1
(eis M1 t/m M27)]]="","",De_Groeiling[[#This Row],[Kleur p/j]])</f>
        <v/>
      </c>
      <c r="W8" s="1">
        <f>IF(De_Groeiling[[#This Row],[Model 2
(eis M1 t/m M27)]]="","",De_Groeiling[[#This Row],[Zw/w p/j]])</f>
        <v>149718</v>
      </c>
      <c r="X8" s="1">
        <f>IF(De_Groeiling[[#This Row],[Model 2
(eis M1 t/m M27)]]="","",De_Groeiling[[#This Row],[Kleur p/j]])</f>
        <v>66897</v>
      </c>
    </row>
    <row r="9" spans="1:24" x14ac:dyDescent="0.35">
      <c r="A9" t="s">
        <v>205</v>
      </c>
      <c r="B9" t="s">
        <v>206</v>
      </c>
      <c r="C9" t="s">
        <v>287</v>
      </c>
      <c r="D9" t="s">
        <v>558</v>
      </c>
      <c r="E9" t="s">
        <v>279</v>
      </c>
      <c r="F9" t="s">
        <v>288</v>
      </c>
      <c r="G9" s="104" t="str">
        <f>IF(De_Groeiling[[#This Row],[Zw/w p/j]]=0,"",IF((De_Groeiling[[#This Row],[Zw/w p/j]]+De_Groeiling[[#This Row],[Kleur p/j]])&lt;SOTOG!$H$1,1,IF((De_Groeiling[[#This Row],[Zw/w p/j]]+De_Groeiling[[#This Row],[Kleur p/j]])&gt;SOTOG!$G$1,2,"")))</f>
        <v/>
      </c>
      <c r="H9" s="104" t="s">
        <v>552</v>
      </c>
      <c r="I9" s="104">
        <f>IF(AND(De_Groeiling[[#This Row],[Zw/w p/j]]+De_Groeiling[[#This Row],[Kleur p/j]]&gt;=SOTOG!$H$1,De_Groeiling[[#This Row],[Zw/w p/j]]+De_Groeiling[[#This Row],[Kleur p/j]]&lt;SOTOG!$G$1),1,"")</f>
        <v>1</v>
      </c>
      <c r="J9" s="112">
        <v>45047</v>
      </c>
      <c r="K9" s="1">
        <f>De_Groeiling[[#This Row],[Zw/w p/m]]*12</f>
        <v>324571.5</v>
      </c>
      <c r="L9" s="1">
        <f>De_Groeiling[[#This Row],[kleur p/m]]*12</f>
        <v>58767</v>
      </c>
      <c r="M9" s="1">
        <v>27047.625</v>
      </c>
      <c r="N9" s="1">
        <v>4897.25</v>
      </c>
      <c r="O9" s="1" t="str">
        <f>IF(De_Groeiling[[#This Row],[Model 1
(eis M1 t/m M27)]]="","",INT(_xlfn.DAYS($Q$1,De_Groeiling[[#This Row],[Datum in gebruikname nieuwe MFP]])/30.41))</f>
        <v/>
      </c>
      <c r="P9" s="1">
        <f>IF(De_Groeiling[[#This Row],[Model 2
(eis M1 t/m M27)]]="","",INT(_xlfn.DAYS($Q$1,De_Groeiling[[#This Row],[Datum in gebruikname nieuwe MFP]])/30.41))</f>
        <v>29</v>
      </c>
      <c r="Q9" s="1" t="str">
        <f>IF(De_Groeiling[[#This Row],[Model 1
(eis M1 t/m M27)]]="","",De_Groeiling[[#This Row],[Zw/w p/m]]*De_Groeiling[[#This Row],[Aantal maanden model 1]])</f>
        <v/>
      </c>
      <c r="R9" s="1" t="str">
        <f>IF(De_Groeiling[[#This Row],[Model 1
(eis M1 t/m M27)]]="","",De_Groeiling[[#This Row],[kleur p/m]]*De_Groeiling[[#This Row],[Aantal maanden model 1]])</f>
        <v/>
      </c>
      <c r="S9" s="1">
        <f>IF(De_Groeiling[[#This Row],[Model 2
(eis M1 t/m M27)]]="","",De_Groeiling[[#This Row],[Zw/w p/m]]*De_Groeiling[[#This Row],[Aantal maanden model 2]])</f>
        <v>784381.125</v>
      </c>
      <c r="T9" s="1">
        <f>IF(De_Groeiling[[#This Row],[Model 2
(eis M1 t/m M27)]]="","",De_Groeiling[[#This Row],[kleur p/m]]*De_Groeiling[[#This Row],[Aantal maanden model 2]])</f>
        <v>142020.25</v>
      </c>
      <c r="U9" s="1" t="str">
        <f>IF(De_Groeiling[[#This Row],[Model 1
(eis M1 t/m M27)]]="","",De_Groeiling[[#This Row],[Zw/w p/j]])</f>
        <v/>
      </c>
      <c r="V9" s="1" t="str">
        <f>IF(De_Groeiling[[#This Row],[Model 1
(eis M1 t/m M27)]]="","",De_Groeiling[[#This Row],[Kleur p/j]])</f>
        <v/>
      </c>
      <c r="W9" s="1">
        <f>IF(De_Groeiling[[#This Row],[Model 2
(eis M1 t/m M27)]]="","",De_Groeiling[[#This Row],[Zw/w p/j]])</f>
        <v>324571.5</v>
      </c>
      <c r="X9" s="1">
        <f>IF(De_Groeiling[[#This Row],[Model 2
(eis M1 t/m M27)]]="","",De_Groeiling[[#This Row],[Kleur p/j]])</f>
        <v>58767</v>
      </c>
    </row>
    <row r="10" spans="1:24" x14ac:dyDescent="0.35">
      <c r="A10" t="s">
        <v>199</v>
      </c>
      <c r="B10" t="s">
        <v>200</v>
      </c>
      <c r="C10" t="s">
        <v>277</v>
      </c>
      <c r="D10" t="s">
        <v>278</v>
      </c>
      <c r="E10" t="s">
        <v>279</v>
      </c>
      <c r="F10" t="s">
        <v>280</v>
      </c>
      <c r="G10" s="104" t="str">
        <f>IF(De_Groeiling[[#This Row],[Zw/w p/j]]=0,"",IF((De_Groeiling[[#This Row],[Zw/w p/j]]+De_Groeiling[[#This Row],[Kleur p/j]])&lt;SOTOG!$H$1,1,IF((De_Groeiling[[#This Row],[Zw/w p/j]]+De_Groeiling[[#This Row],[Kleur p/j]])&gt;SOTOG!$G$1,2,"")))</f>
        <v/>
      </c>
      <c r="H10" s="104" t="s">
        <v>552</v>
      </c>
      <c r="I10" s="104">
        <f>IF(AND(De_Groeiling[[#This Row],[Zw/w p/j]]+De_Groeiling[[#This Row],[Kleur p/j]]&gt;=SOTOG!$H$1,De_Groeiling[[#This Row],[Zw/w p/j]]+De_Groeiling[[#This Row],[Kleur p/j]]&lt;SOTOG!$G$1),1,"")</f>
        <v>1</v>
      </c>
      <c r="J10" s="112">
        <v>45047</v>
      </c>
      <c r="K10" s="1">
        <f>De_Groeiling[[#This Row],[Zw/w p/m]]*12</f>
        <v>208233</v>
      </c>
      <c r="L10" s="1">
        <f>De_Groeiling[[#This Row],[kleur p/m]]*12</f>
        <v>101125.5</v>
      </c>
      <c r="M10" s="1">
        <v>17352.75</v>
      </c>
      <c r="N10" s="1">
        <v>8427.125</v>
      </c>
      <c r="O10" s="1" t="str">
        <f>IF(De_Groeiling[[#This Row],[Model 1
(eis M1 t/m M27)]]="","",INT(_xlfn.DAYS($Q$1,De_Groeiling[[#This Row],[Datum in gebruikname nieuwe MFP]])/30.41))</f>
        <v/>
      </c>
      <c r="P10" s="1">
        <f>IF(De_Groeiling[[#This Row],[Model 2
(eis M1 t/m M27)]]="","",INT(_xlfn.DAYS($Q$1,De_Groeiling[[#This Row],[Datum in gebruikname nieuwe MFP]])/30.41))</f>
        <v>29</v>
      </c>
      <c r="Q10" s="1" t="str">
        <f>IF(De_Groeiling[[#This Row],[Model 1
(eis M1 t/m M27)]]="","",De_Groeiling[[#This Row],[Zw/w p/m]]*De_Groeiling[[#This Row],[Aantal maanden model 1]])</f>
        <v/>
      </c>
      <c r="R10" s="1" t="str">
        <f>IF(De_Groeiling[[#This Row],[Model 1
(eis M1 t/m M27)]]="","",De_Groeiling[[#This Row],[kleur p/m]]*De_Groeiling[[#This Row],[Aantal maanden model 1]])</f>
        <v/>
      </c>
      <c r="S10" s="1">
        <f>IF(De_Groeiling[[#This Row],[Model 2
(eis M1 t/m M27)]]="","",De_Groeiling[[#This Row],[Zw/w p/m]]*De_Groeiling[[#This Row],[Aantal maanden model 2]])</f>
        <v>503229.75</v>
      </c>
      <c r="T10" s="1">
        <f>IF(De_Groeiling[[#This Row],[Model 2
(eis M1 t/m M27)]]="","",De_Groeiling[[#This Row],[kleur p/m]]*De_Groeiling[[#This Row],[Aantal maanden model 2]])</f>
        <v>244386.625</v>
      </c>
      <c r="U10" s="1" t="str">
        <f>IF(De_Groeiling[[#This Row],[Model 1
(eis M1 t/m M27)]]="","",De_Groeiling[[#This Row],[Zw/w p/j]])</f>
        <v/>
      </c>
      <c r="V10" s="1" t="str">
        <f>IF(De_Groeiling[[#This Row],[Model 1
(eis M1 t/m M27)]]="","",De_Groeiling[[#This Row],[Kleur p/j]])</f>
        <v/>
      </c>
      <c r="W10" s="1">
        <f>IF(De_Groeiling[[#This Row],[Model 2
(eis M1 t/m M27)]]="","",De_Groeiling[[#This Row],[Zw/w p/j]])</f>
        <v>208233</v>
      </c>
      <c r="X10" s="1">
        <f>IF(De_Groeiling[[#This Row],[Model 2
(eis M1 t/m M27)]]="","",De_Groeiling[[#This Row],[Kleur p/j]])</f>
        <v>101125.5</v>
      </c>
    </row>
    <row r="11" spans="1:24" x14ac:dyDescent="0.35">
      <c r="A11" t="s">
        <v>168</v>
      </c>
      <c r="B11" t="s">
        <v>169</v>
      </c>
      <c r="C11" t="s">
        <v>219</v>
      </c>
      <c r="D11" t="s">
        <v>220</v>
      </c>
      <c r="E11" t="s">
        <v>221</v>
      </c>
      <c r="F11" t="s">
        <v>222</v>
      </c>
      <c r="G11" s="104">
        <f>IF(De_Groeiling[[#This Row],[Zw/w p/j]]=0,"",IF((De_Groeiling[[#This Row],[Zw/w p/j]]+De_Groeiling[[#This Row],[Kleur p/j]])&lt;SOTOG!$H$1,1,IF((De_Groeiling[[#This Row],[Zw/w p/j]]+De_Groeiling[[#This Row],[Kleur p/j]])&gt;SOTOG!$G$1,2,"")))</f>
        <v>1</v>
      </c>
      <c r="H11" s="104" t="s">
        <v>553</v>
      </c>
      <c r="I11" s="104" t="str">
        <f>IF(AND(De_Groeiling[[#This Row],[Zw/w p/j]]+De_Groeiling[[#This Row],[Kleur p/j]]&gt;=SOTOG!$H$1,De_Groeiling[[#This Row],[Zw/w p/j]]+De_Groeiling[[#This Row],[Kleur p/j]]&lt;SOTOG!$G$1),1,"")</f>
        <v/>
      </c>
      <c r="J11" s="112">
        <v>44470</v>
      </c>
      <c r="K11" s="1">
        <f>De_Groeiling[[#This Row],[Zw/w p/m]]*12</f>
        <v>131998.5</v>
      </c>
      <c r="L11" s="1">
        <f>De_Groeiling[[#This Row],[kleur p/m]]*12</f>
        <v>46537.5</v>
      </c>
      <c r="M11" s="1">
        <v>10999.875</v>
      </c>
      <c r="N11" s="1">
        <v>3878.125</v>
      </c>
      <c r="O11" s="1">
        <f>IF(De_Groeiling[[#This Row],[Model 1
(eis M1 t/m M27)]]="","",INT(_xlfn.DAYS($Q$1,De_Groeiling[[#This Row],[Datum in gebruikname nieuwe MFP]])/30.41))</f>
        <v>48</v>
      </c>
      <c r="P11" s="1" t="str">
        <f>IF(De_Groeiling[[#This Row],[Model 2
(eis M1 t/m M27)]]="","",INT(_xlfn.DAYS($Q$1,De_Groeiling[[#This Row],[Datum in gebruikname nieuwe MFP]])/30.41))</f>
        <v/>
      </c>
      <c r="Q11" s="1">
        <f>IF(De_Groeiling[[#This Row],[Model 1
(eis M1 t/m M27)]]="","",De_Groeiling[[#This Row],[Zw/w p/m]]*De_Groeiling[[#This Row],[Aantal maanden model 1]])</f>
        <v>527994</v>
      </c>
      <c r="R11" s="1">
        <f>IF(De_Groeiling[[#This Row],[Model 1
(eis M1 t/m M27)]]="","",De_Groeiling[[#This Row],[kleur p/m]]*De_Groeiling[[#This Row],[Aantal maanden model 1]])</f>
        <v>186150</v>
      </c>
      <c r="S11" s="1" t="str">
        <f>IF(De_Groeiling[[#This Row],[Model 2
(eis M1 t/m M27)]]="","",De_Groeiling[[#This Row],[Zw/w p/m]]*De_Groeiling[[#This Row],[Aantal maanden model 2]])</f>
        <v/>
      </c>
      <c r="T11" s="1" t="str">
        <f>IF(De_Groeiling[[#This Row],[Model 2
(eis M1 t/m M27)]]="","",De_Groeiling[[#This Row],[kleur p/m]]*De_Groeiling[[#This Row],[Aantal maanden model 2]])</f>
        <v/>
      </c>
      <c r="U11" s="1">
        <f>IF(De_Groeiling[[#This Row],[Model 1
(eis M1 t/m M27)]]="","",De_Groeiling[[#This Row],[Zw/w p/j]])</f>
        <v>131998.5</v>
      </c>
      <c r="V11" s="1">
        <f>IF(De_Groeiling[[#This Row],[Model 1
(eis M1 t/m M27)]]="","",De_Groeiling[[#This Row],[Kleur p/j]])</f>
        <v>46537.5</v>
      </c>
      <c r="W11" s="1" t="str">
        <f>IF(De_Groeiling[[#This Row],[Model 2
(eis M1 t/m M27)]]="","",De_Groeiling[[#This Row],[Zw/w p/j]])</f>
        <v/>
      </c>
      <c r="X11" s="1" t="str">
        <f>IF(De_Groeiling[[#This Row],[Model 2
(eis M1 t/m M27)]]="","",De_Groeiling[[#This Row],[Kleur p/j]])</f>
        <v/>
      </c>
    </row>
    <row r="12" spans="1:24" x14ac:dyDescent="0.35">
      <c r="A12" t="s">
        <v>172</v>
      </c>
      <c r="B12" t="s">
        <v>173</v>
      </c>
      <c r="C12" t="s">
        <v>227</v>
      </c>
      <c r="D12" t="s">
        <v>228</v>
      </c>
      <c r="E12" t="s">
        <v>221</v>
      </c>
      <c r="F12" t="s">
        <v>229</v>
      </c>
      <c r="G12" s="104">
        <f>IF(De_Groeiling[[#This Row],[Zw/w p/j]]=0,"",IF((De_Groeiling[[#This Row],[Zw/w p/j]]+De_Groeiling[[#This Row],[Kleur p/j]])&lt;SOTOG!$H$1,1,IF((De_Groeiling[[#This Row],[Zw/w p/j]]+De_Groeiling[[#This Row],[Kleur p/j]])&gt;SOTOG!$G$1,2,"")))</f>
        <v>1</v>
      </c>
      <c r="H12" s="104" t="s">
        <v>553</v>
      </c>
      <c r="I12" s="104" t="str">
        <f>IF(AND(De_Groeiling[[#This Row],[Zw/w p/j]]+De_Groeiling[[#This Row],[Kleur p/j]]&gt;=SOTOG!$H$1,De_Groeiling[[#This Row],[Zw/w p/j]]+De_Groeiling[[#This Row],[Kleur p/j]]&lt;SOTOG!$G$1),1,"")</f>
        <v/>
      </c>
      <c r="J12" s="112">
        <v>44470</v>
      </c>
      <c r="K12" s="1">
        <f>De_Groeiling[[#This Row],[Zw/w p/m]]*12</f>
        <v>105054</v>
      </c>
      <c r="L12" s="1">
        <f>De_Groeiling[[#This Row],[kleur p/m]]*12</f>
        <v>60690</v>
      </c>
      <c r="M12" s="1">
        <v>8754.5</v>
      </c>
      <c r="N12" s="1">
        <v>5057.5</v>
      </c>
      <c r="O12" s="1">
        <f>IF(De_Groeiling[[#This Row],[Model 1
(eis M1 t/m M27)]]="","",INT(_xlfn.DAYS($Q$1,De_Groeiling[[#This Row],[Datum in gebruikname nieuwe MFP]])/30.41))</f>
        <v>48</v>
      </c>
      <c r="P12" s="1" t="str">
        <f>IF(De_Groeiling[[#This Row],[Model 2
(eis M1 t/m M27)]]="","",INT(_xlfn.DAYS($Q$1,De_Groeiling[[#This Row],[Datum in gebruikname nieuwe MFP]])/30.41))</f>
        <v/>
      </c>
      <c r="Q12" s="1">
        <f>IF(De_Groeiling[[#This Row],[Model 1
(eis M1 t/m M27)]]="","",De_Groeiling[[#This Row],[Zw/w p/m]]*De_Groeiling[[#This Row],[Aantal maanden model 1]])</f>
        <v>420216</v>
      </c>
      <c r="R12" s="1">
        <f>IF(De_Groeiling[[#This Row],[Model 1
(eis M1 t/m M27)]]="","",De_Groeiling[[#This Row],[kleur p/m]]*De_Groeiling[[#This Row],[Aantal maanden model 1]])</f>
        <v>242760</v>
      </c>
      <c r="S12" s="1" t="str">
        <f>IF(De_Groeiling[[#This Row],[Model 2
(eis M1 t/m M27)]]="","",De_Groeiling[[#This Row],[Zw/w p/m]]*De_Groeiling[[#This Row],[Aantal maanden model 2]])</f>
        <v/>
      </c>
      <c r="T12" s="1" t="str">
        <f>IF(De_Groeiling[[#This Row],[Model 2
(eis M1 t/m M27)]]="","",De_Groeiling[[#This Row],[kleur p/m]]*De_Groeiling[[#This Row],[Aantal maanden model 2]])</f>
        <v/>
      </c>
      <c r="U12" s="1">
        <f>IF(De_Groeiling[[#This Row],[Model 1
(eis M1 t/m M27)]]="","",De_Groeiling[[#This Row],[Zw/w p/j]])</f>
        <v>105054</v>
      </c>
      <c r="V12" s="1">
        <f>IF(De_Groeiling[[#This Row],[Model 1
(eis M1 t/m M27)]]="","",De_Groeiling[[#This Row],[Kleur p/j]])</f>
        <v>60690</v>
      </c>
      <c r="W12" s="1" t="str">
        <f>IF(De_Groeiling[[#This Row],[Model 2
(eis M1 t/m M27)]]="","",De_Groeiling[[#This Row],[Zw/w p/j]])</f>
        <v/>
      </c>
      <c r="X12" s="1" t="str">
        <f>IF(De_Groeiling[[#This Row],[Model 2
(eis M1 t/m M27)]]="","",De_Groeiling[[#This Row],[Kleur p/j]])</f>
        <v/>
      </c>
    </row>
    <row r="13" spans="1:24" x14ac:dyDescent="0.35">
      <c r="A13" t="s">
        <v>191</v>
      </c>
      <c r="B13" t="s">
        <v>192</v>
      </c>
      <c r="C13" t="s">
        <v>263</v>
      </c>
      <c r="D13" t="s">
        <v>264</v>
      </c>
      <c r="E13" t="s">
        <v>265</v>
      </c>
      <c r="F13" t="s">
        <v>266</v>
      </c>
      <c r="G13" s="104">
        <f>IF(De_Groeiling[[#This Row],[Zw/w p/j]]=0,"",IF((De_Groeiling[[#This Row],[Zw/w p/j]]+De_Groeiling[[#This Row],[Kleur p/j]])&lt;SOTOG!$H$1,1,IF((De_Groeiling[[#This Row],[Zw/w p/j]]+De_Groeiling[[#This Row],[Kleur p/j]])&gt;SOTOG!$G$1,2,"")))</f>
        <v>1</v>
      </c>
      <c r="H13" s="104" t="s">
        <v>552</v>
      </c>
      <c r="I13" s="104" t="str">
        <f>IF(AND(De_Groeiling[[#This Row],[Zw/w p/j]]+De_Groeiling[[#This Row],[Kleur p/j]]&gt;=SOTOG!$H$1,De_Groeiling[[#This Row],[Zw/w p/j]]+De_Groeiling[[#This Row],[Kleur p/j]]&lt;SOTOG!$G$1),1,"")</f>
        <v/>
      </c>
      <c r="J13" s="112">
        <v>45047</v>
      </c>
      <c r="K13" s="1">
        <f>De_Groeiling[[#This Row],[Zw/w p/m]]*12</f>
        <v>68865</v>
      </c>
      <c r="L13" s="1">
        <f>De_Groeiling[[#This Row],[kleur p/m]]*12</f>
        <v>36241.5</v>
      </c>
      <c r="M13" s="1">
        <v>5738.75</v>
      </c>
      <c r="N13" s="1">
        <v>3020.125</v>
      </c>
      <c r="O13" s="1">
        <f>IF(De_Groeiling[[#This Row],[Model 1
(eis M1 t/m M27)]]="","",INT(_xlfn.DAYS($Q$1,De_Groeiling[[#This Row],[Datum in gebruikname nieuwe MFP]])/30.41))</f>
        <v>29</v>
      </c>
      <c r="P13" s="1" t="str">
        <f>IF(De_Groeiling[[#This Row],[Model 2
(eis M1 t/m M27)]]="","",INT(_xlfn.DAYS($Q$1,De_Groeiling[[#This Row],[Datum in gebruikname nieuwe MFP]])/30.41))</f>
        <v/>
      </c>
      <c r="Q13" s="1">
        <f>IF(De_Groeiling[[#This Row],[Model 1
(eis M1 t/m M27)]]="","",De_Groeiling[[#This Row],[Zw/w p/m]]*De_Groeiling[[#This Row],[Aantal maanden model 1]])</f>
        <v>166423.75</v>
      </c>
      <c r="R13" s="1">
        <f>IF(De_Groeiling[[#This Row],[Model 1
(eis M1 t/m M27)]]="","",De_Groeiling[[#This Row],[kleur p/m]]*De_Groeiling[[#This Row],[Aantal maanden model 1]])</f>
        <v>87583.625</v>
      </c>
      <c r="S13" s="1" t="str">
        <f>IF(De_Groeiling[[#This Row],[Model 2
(eis M1 t/m M27)]]="","",De_Groeiling[[#This Row],[Zw/w p/m]]*De_Groeiling[[#This Row],[Aantal maanden model 2]])</f>
        <v/>
      </c>
      <c r="T13" s="1" t="str">
        <f>IF(De_Groeiling[[#This Row],[Model 2
(eis M1 t/m M27)]]="","",De_Groeiling[[#This Row],[kleur p/m]]*De_Groeiling[[#This Row],[Aantal maanden model 2]])</f>
        <v/>
      </c>
      <c r="U13" s="1">
        <f>IF(De_Groeiling[[#This Row],[Model 1
(eis M1 t/m M27)]]="","",De_Groeiling[[#This Row],[Zw/w p/j]])</f>
        <v>68865</v>
      </c>
      <c r="V13" s="1">
        <f>IF(De_Groeiling[[#This Row],[Model 1
(eis M1 t/m M27)]]="","",De_Groeiling[[#This Row],[Kleur p/j]])</f>
        <v>36241.5</v>
      </c>
      <c r="W13" s="1" t="str">
        <f>IF(De_Groeiling[[#This Row],[Model 2
(eis M1 t/m M27)]]="","",De_Groeiling[[#This Row],[Zw/w p/j]])</f>
        <v/>
      </c>
      <c r="X13" s="1" t="str">
        <f>IF(De_Groeiling[[#This Row],[Model 2
(eis M1 t/m M27)]]="","",De_Groeiling[[#This Row],[Kleur p/j]])</f>
        <v/>
      </c>
    </row>
    <row r="14" spans="1:24" x14ac:dyDescent="0.35">
      <c r="A14" t="s">
        <v>213</v>
      </c>
      <c r="B14" t="s">
        <v>214</v>
      </c>
      <c r="C14" t="s">
        <v>298</v>
      </c>
      <c r="D14" t="s">
        <v>299</v>
      </c>
      <c r="E14" t="s">
        <v>265</v>
      </c>
      <c r="F14" t="s">
        <v>300</v>
      </c>
      <c r="G14" s="104">
        <f>IF(De_Groeiling[[#This Row],[Zw/w p/j]]=0,"",IF((De_Groeiling[[#This Row],[Zw/w p/j]]+De_Groeiling[[#This Row],[Kleur p/j]])&lt;SOTOG!$H$1,1,IF((De_Groeiling[[#This Row],[Zw/w p/j]]+De_Groeiling[[#This Row],[Kleur p/j]])&gt;SOTOG!$G$1,2,"")))</f>
        <v>1</v>
      </c>
      <c r="H14" s="104" t="s">
        <v>552</v>
      </c>
      <c r="I14" s="104" t="str">
        <f>IF(AND(De_Groeiling[[#This Row],[Zw/w p/j]]+De_Groeiling[[#This Row],[Kleur p/j]]&gt;=SOTOG!$H$1,De_Groeiling[[#This Row],[Zw/w p/j]]+De_Groeiling[[#This Row],[Kleur p/j]]&lt;SOTOG!$G$1),1,"")</f>
        <v/>
      </c>
      <c r="J14" s="112">
        <v>45047</v>
      </c>
      <c r="K14" s="1">
        <f>De_Groeiling[[#This Row],[Zw/w p/m]]*12</f>
        <v>77332.5</v>
      </c>
      <c r="L14" s="1">
        <f>De_Groeiling[[#This Row],[kleur p/m]]*12</f>
        <v>86602.5</v>
      </c>
      <c r="M14" s="1">
        <v>6444.375</v>
      </c>
      <c r="N14" s="1">
        <v>7216.875</v>
      </c>
      <c r="O14" s="1">
        <f>IF(De_Groeiling[[#This Row],[Model 1
(eis M1 t/m M27)]]="","",INT(_xlfn.DAYS($Q$1,De_Groeiling[[#This Row],[Datum in gebruikname nieuwe MFP]])/30.41))</f>
        <v>29</v>
      </c>
      <c r="P14" s="1" t="str">
        <f>IF(De_Groeiling[[#This Row],[Model 2
(eis M1 t/m M27)]]="","",INT(_xlfn.DAYS($Q$1,De_Groeiling[[#This Row],[Datum in gebruikname nieuwe MFP]])/30.41))</f>
        <v/>
      </c>
      <c r="Q14" s="1">
        <f>IF(De_Groeiling[[#This Row],[Model 1
(eis M1 t/m M27)]]="","",De_Groeiling[[#This Row],[Zw/w p/m]]*De_Groeiling[[#This Row],[Aantal maanden model 1]])</f>
        <v>186886.875</v>
      </c>
      <c r="R14" s="1">
        <f>IF(De_Groeiling[[#This Row],[Model 1
(eis M1 t/m M27)]]="","",De_Groeiling[[#This Row],[kleur p/m]]*De_Groeiling[[#This Row],[Aantal maanden model 1]])</f>
        <v>209289.375</v>
      </c>
      <c r="S14" s="1" t="str">
        <f>IF(De_Groeiling[[#This Row],[Model 2
(eis M1 t/m M27)]]="","",De_Groeiling[[#This Row],[Zw/w p/m]]*De_Groeiling[[#This Row],[Aantal maanden model 2]])</f>
        <v/>
      </c>
      <c r="T14" s="1" t="str">
        <f>IF(De_Groeiling[[#This Row],[Model 2
(eis M1 t/m M27)]]="","",De_Groeiling[[#This Row],[kleur p/m]]*De_Groeiling[[#This Row],[Aantal maanden model 2]])</f>
        <v/>
      </c>
      <c r="U14" s="1">
        <f>IF(De_Groeiling[[#This Row],[Model 1
(eis M1 t/m M27)]]="","",De_Groeiling[[#This Row],[Zw/w p/j]])</f>
        <v>77332.5</v>
      </c>
      <c r="V14" s="1">
        <f>IF(De_Groeiling[[#This Row],[Model 1
(eis M1 t/m M27)]]="","",De_Groeiling[[#This Row],[Kleur p/j]])</f>
        <v>86602.5</v>
      </c>
      <c r="W14" s="1" t="str">
        <f>IF(De_Groeiling[[#This Row],[Model 2
(eis M1 t/m M27)]]="","",De_Groeiling[[#This Row],[Zw/w p/j]])</f>
        <v/>
      </c>
      <c r="X14" s="1" t="str">
        <f>IF(De_Groeiling[[#This Row],[Model 2
(eis M1 t/m M27)]]="","",De_Groeiling[[#This Row],[Kleur p/j]])</f>
        <v/>
      </c>
    </row>
    <row r="15" spans="1:24" x14ac:dyDescent="0.35">
      <c r="B15" t="s">
        <v>559</v>
      </c>
      <c r="C15" t="s">
        <v>607</v>
      </c>
      <c r="D15" t="s">
        <v>560</v>
      </c>
      <c r="E15" t="s">
        <v>265</v>
      </c>
      <c r="F15" t="s">
        <v>608</v>
      </c>
      <c r="G15" s="104">
        <f>IF(De_Groeiling[[#This Row],[Zw/w p/j]]=0,"",IF((De_Groeiling[[#This Row],[Zw/w p/j]]+De_Groeiling[[#This Row],[Kleur p/j]])&lt;SOTOG!$H$1,1,IF((De_Groeiling[[#This Row],[Zw/w p/j]]+De_Groeiling[[#This Row],[Kleur p/j]])&gt;SOTOG!$G$1,2,"")))</f>
        <v>1</v>
      </c>
      <c r="H15" s="104"/>
      <c r="I15" s="104" t="str">
        <f>IF(AND(De_Groeiling[[#This Row],[Zw/w p/j]]+De_Groeiling[[#This Row],[Kleur p/j]]&gt;=SOTOG!$H$1,De_Groeiling[[#This Row],[Zw/w p/j]]+De_Groeiling[[#This Row],[Kleur p/j]]&lt;SOTOG!$G$1),1,"")</f>
        <v/>
      </c>
      <c r="J15" s="112">
        <v>45047</v>
      </c>
      <c r="K15" s="1">
        <f>De_Groeiling[[#This Row],[Zw/w p/m]]*12</f>
        <v>49171.5</v>
      </c>
      <c r="L15" s="1">
        <f>De_Groeiling[[#This Row],[kleur p/m]]*12</f>
        <v>41037</v>
      </c>
      <c r="M15" s="1">
        <v>4097.625</v>
      </c>
      <c r="N15" s="1">
        <v>3419.75</v>
      </c>
      <c r="O15" s="1">
        <f>IF(De_Groeiling[[#This Row],[Model 1
(eis M1 t/m M27)]]="","",INT(_xlfn.DAYS($Q$1,De_Groeiling[[#This Row],[Datum in gebruikname nieuwe MFP]])/30.41))</f>
        <v>29</v>
      </c>
      <c r="P15" s="1" t="str">
        <f>IF(De_Groeiling[[#This Row],[Model 2
(eis M1 t/m M27)]]="","",INT(_xlfn.DAYS($Q$1,De_Groeiling[[#This Row],[Datum in gebruikname nieuwe MFP]])/30.41))</f>
        <v/>
      </c>
      <c r="Q15" s="1">
        <f>IF(De_Groeiling[[#This Row],[Model 1
(eis M1 t/m M27)]]="","",De_Groeiling[[#This Row],[Zw/w p/m]]*De_Groeiling[[#This Row],[Aantal maanden model 1]])</f>
        <v>118831.125</v>
      </c>
      <c r="R15" s="1">
        <f>IF(De_Groeiling[[#This Row],[Model 1
(eis M1 t/m M27)]]="","",De_Groeiling[[#This Row],[kleur p/m]]*De_Groeiling[[#This Row],[Aantal maanden model 1]])</f>
        <v>99172.75</v>
      </c>
      <c r="S15" s="1" t="str">
        <f>IF(De_Groeiling[[#This Row],[Model 2
(eis M1 t/m M27)]]="","",De_Groeiling[[#This Row],[Zw/w p/m]]*De_Groeiling[[#This Row],[Aantal maanden model 2]])</f>
        <v/>
      </c>
      <c r="T15" s="1" t="str">
        <f>IF(De_Groeiling[[#This Row],[Model 2
(eis M1 t/m M27)]]="","",De_Groeiling[[#This Row],[kleur p/m]]*De_Groeiling[[#This Row],[Aantal maanden model 2]])</f>
        <v/>
      </c>
      <c r="U15" s="1">
        <f>IF(De_Groeiling[[#This Row],[Model 1
(eis M1 t/m M27)]]="","",De_Groeiling[[#This Row],[Zw/w p/j]])</f>
        <v>49171.5</v>
      </c>
      <c r="V15" s="1">
        <f>IF(De_Groeiling[[#This Row],[Model 1
(eis M1 t/m M27)]]="","",De_Groeiling[[#This Row],[Kleur p/j]])</f>
        <v>41037</v>
      </c>
      <c r="W15" s="1" t="str">
        <f>IF(De_Groeiling[[#This Row],[Model 2
(eis M1 t/m M27)]]="","",De_Groeiling[[#This Row],[Zw/w p/j]])</f>
        <v/>
      </c>
      <c r="X15" s="1" t="str">
        <f>IF(De_Groeiling[[#This Row],[Model 2
(eis M1 t/m M27)]]="","",De_Groeiling[[#This Row],[Kleur p/j]])</f>
        <v/>
      </c>
    </row>
    <row r="16" spans="1:24" x14ac:dyDescent="0.35">
      <c r="A16" t="s">
        <v>215</v>
      </c>
      <c r="B16" t="s">
        <v>216</v>
      </c>
      <c r="C16" t="s">
        <v>301</v>
      </c>
      <c r="D16" t="s">
        <v>302</v>
      </c>
      <c r="E16" t="s">
        <v>265</v>
      </c>
      <c r="F16" t="s">
        <v>303</v>
      </c>
      <c r="G16" s="104" t="str">
        <f>IF(De_Groeiling[[#This Row],[Zw/w p/j]]=0,"",IF((De_Groeiling[[#This Row],[Zw/w p/j]]+De_Groeiling[[#This Row],[Kleur p/j]])&lt;SOTOG!$H$1,1,IF((De_Groeiling[[#This Row],[Zw/w p/j]]+De_Groeiling[[#This Row],[Kleur p/j]])&gt;SOTOG!$G$1,2,"")))</f>
        <v/>
      </c>
      <c r="H16" s="104" t="s">
        <v>552</v>
      </c>
      <c r="I16" s="104">
        <f>IF(AND(De_Groeiling[[#This Row],[Zw/w p/j]]+De_Groeiling[[#This Row],[Kleur p/j]]&gt;=SOTOG!$H$1,De_Groeiling[[#This Row],[Zw/w p/j]]+De_Groeiling[[#This Row],[Kleur p/j]]&lt;SOTOG!$G$1),1,"")</f>
        <v>1</v>
      </c>
      <c r="J16" s="112">
        <v>45047</v>
      </c>
      <c r="K16" s="1">
        <f>De_Groeiling[[#This Row],[Zw/w p/m]]*12</f>
        <v>151158</v>
      </c>
      <c r="L16" s="1">
        <f>De_Groeiling[[#This Row],[kleur p/m]]*12</f>
        <v>70323</v>
      </c>
      <c r="M16" s="1">
        <v>12596.5</v>
      </c>
      <c r="N16" s="1">
        <v>5860.25</v>
      </c>
      <c r="O16" s="1" t="str">
        <f>IF(De_Groeiling[[#This Row],[Model 1
(eis M1 t/m M27)]]="","",INT(_xlfn.DAYS($Q$1,De_Groeiling[[#This Row],[Datum in gebruikname nieuwe MFP]])/30.41))</f>
        <v/>
      </c>
      <c r="P16" s="1">
        <f>IF(De_Groeiling[[#This Row],[Model 2
(eis M1 t/m M27)]]="","",INT(_xlfn.DAYS($Q$1,De_Groeiling[[#This Row],[Datum in gebruikname nieuwe MFP]])/30.41))</f>
        <v>29</v>
      </c>
      <c r="Q16" s="1" t="str">
        <f>IF(De_Groeiling[[#This Row],[Model 1
(eis M1 t/m M27)]]="","",De_Groeiling[[#This Row],[Zw/w p/m]]*De_Groeiling[[#This Row],[Aantal maanden model 1]])</f>
        <v/>
      </c>
      <c r="R16" s="1" t="str">
        <f>IF(De_Groeiling[[#This Row],[Model 1
(eis M1 t/m M27)]]="","",De_Groeiling[[#This Row],[kleur p/m]]*De_Groeiling[[#This Row],[Aantal maanden model 1]])</f>
        <v/>
      </c>
      <c r="S16" s="1">
        <f>IF(De_Groeiling[[#This Row],[Model 2
(eis M1 t/m M27)]]="","",De_Groeiling[[#This Row],[Zw/w p/m]]*De_Groeiling[[#This Row],[Aantal maanden model 2]])</f>
        <v>365298.5</v>
      </c>
      <c r="T16" s="1">
        <f>IF(De_Groeiling[[#This Row],[Model 2
(eis M1 t/m M27)]]="","",De_Groeiling[[#This Row],[kleur p/m]]*De_Groeiling[[#This Row],[Aantal maanden model 2]])</f>
        <v>169947.25</v>
      </c>
      <c r="U16" s="1" t="str">
        <f>IF(De_Groeiling[[#This Row],[Model 1
(eis M1 t/m M27)]]="","",De_Groeiling[[#This Row],[Zw/w p/j]])</f>
        <v/>
      </c>
      <c r="V16" s="1" t="str">
        <f>IF(De_Groeiling[[#This Row],[Model 1
(eis M1 t/m M27)]]="","",De_Groeiling[[#This Row],[Kleur p/j]])</f>
        <v/>
      </c>
      <c r="W16" s="1">
        <f>IF(De_Groeiling[[#This Row],[Model 2
(eis M1 t/m M27)]]="","",De_Groeiling[[#This Row],[Zw/w p/j]])</f>
        <v>151158</v>
      </c>
      <c r="X16" s="1">
        <f>IF(De_Groeiling[[#This Row],[Model 2
(eis M1 t/m M27)]]="","",De_Groeiling[[#This Row],[Kleur p/j]])</f>
        <v>70323</v>
      </c>
    </row>
    <row r="17" spans="1:24" x14ac:dyDescent="0.35">
      <c r="A17" t="s">
        <v>209</v>
      </c>
      <c r="B17" t="s">
        <v>210</v>
      </c>
      <c r="C17" t="s">
        <v>292</v>
      </c>
      <c r="D17" t="s">
        <v>293</v>
      </c>
      <c r="E17" t="s">
        <v>265</v>
      </c>
      <c r="F17" t="s">
        <v>294</v>
      </c>
      <c r="G17" s="104" t="str">
        <f>IF(De_Groeiling[[#This Row],[Zw/w p/j]]=0,"",IF((De_Groeiling[[#This Row],[Zw/w p/j]]+De_Groeiling[[#This Row],[Kleur p/j]])&lt;SOTOG!$H$1,1,IF((De_Groeiling[[#This Row],[Zw/w p/j]]+De_Groeiling[[#This Row],[Kleur p/j]])&gt;SOTOG!$G$1,2,"")))</f>
        <v/>
      </c>
      <c r="H17" s="104" t="s">
        <v>553</v>
      </c>
      <c r="I17" s="104">
        <f>IF(AND(De_Groeiling[[#This Row],[Zw/w p/j]]+De_Groeiling[[#This Row],[Kleur p/j]]&gt;=SOTOG!$H$1,De_Groeiling[[#This Row],[Zw/w p/j]]+De_Groeiling[[#This Row],[Kleur p/j]]&lt;SOTOG!$G$1),1,"")</f>
        <v>1</v>
      </c>
      <c r="J17" s="112">
        <v>44470</v>
      </c>
      <c r="K17" s="1">
        <f>De_Groeiling[[#This Row],[Zw/w p/m]]*12</f>
        <v>151549.5</v>
      </c>
      <c r="L17" s="1">
        <f>De_Groeiling[[#This Row],[kleur p/m]]*12</f>
        <v>75469.5</v>
      </c>
      <c r="M17" s="1">
        <v>12629.125</v>
      </c>
      <c r="N17" s="1">
        <v>6289.125</v>
      </c>
      <c r="O17" s="1" t="str">
        <f>IF(De_Groeiling[[#This Row],[Model 1
(eis M1 t/m M27)]]="","",INT(_xlfn.DAYS($Q$1,De_Groeiling[[#This Row],[Datum in gebruikname nieuwe MFP]])/30.41))</f>
        <v/>
      </c>
      <c r="P17" s="1">
        <f>IF(De_Groeiling[[#This Row],[Model 2
(eis M1 t/m M27)]]="","",INT(_xlfn.DAYS($Q$1,De_Groeiling[[#This Row],[Datum in gebruikname nieuwe MFP]])/30.41))</f>
        <v>48</v>
      </c>
      <c r="Q17" s="1" t="str">
        <f>IF(De_Groeiling[[#This Row],[Model 1
(eis M1 t/m M27)]]="","",De_Groeiling[[#This Row],[Zw/w p/m]]*De_Groeiling[[#This Row],[Aantal maanden model 1]])</f>
        <v/>
      </c>
      <c r="R17" s="1" t="str">
        <f>IF(De_Groeiling[[#This Row],[Model 1
(eis M1 t/m M27)]]="","",De_Groeiling[[#This Row],[kleur p/m]]*De_Groeiling[[#This Row],[Aantal maanden model 1]])</f>
        <v/>
      </c>
      <c r="S17" s="1">
        <f>IF(De_Groeiling[[#This Row],[Model 2
(eis M1 t/m M27)]]="","",De_Groeiling[[#This Row],[Zw/w p/m]]*De_Groeiling[[#This Row],[Aantal maanden model 2]])</f>
        <v>606198</v>
      </c>
      <c r="T17" s="1">
        <f>IF(De_Groeiling[[#This Row],[Model 2
(eis M1 t/m M27)]]="","",De_Groeiling[[#This Row],[kleur p/m]]*De_Groeiling[[#This Row],[Aantal maanden model 2]])</f>
        <v>301878</v>
      </c>
      <c r="U17" s="1" t="str">
        <f>IF(De_Groeiling[[#This Row],[Model 1
(eis M1 t/m M27)]]="","",De_Groeiling[[#This Row],[Zw/w p/j]])</f>
        <v/>
      </c>
      <c r="V17" s="1" t="str">
        <f>IF(De_Groeiling[[#This Row],[Model 1
(eis M1 t/m M27)]]="","",De_Groeiling[[#This Row],[Kleur p/j]])</f>
        <v/>
      </c>
      <c r="W17" s="1">
        <f>IF(De_Groeiling[[#This Row],[Model 2
(eis M1 t/m M27)]]="","",De_Groeiling[[#This Row],[Zw/w p/j]])</f>
        <v>151549.5</v>
      </c>
      <c r="X17" s="1">
        <f>IF(De_Groeiling[[#This Row],[Model 2
(eis M1 t/m M27)]]="","",De_Groeiling[[#This Row],[Kleur p/j]])</f>
        <v>75469.5</v>
      </c>
    </row>
    <row r="18" spans="1:24" x14ac:dyDescent="0.35">
      <c r="A18" t="s">
        <v>207</v>
      </c>
      <c r="B18" t="s">
        <v>208</v>
      </c>
      <c r="C18" t="s">
        <v>289</v>
      </c>
      <c r="D18" t="s">
        <v>290</v>
      </c>
      <c r="E18" t="s">
        <v>265</v>
      </c>
      <c r="F18" t="s">
        <v>291</v>
      </c>
      <c r="G18" s="104">
        <f>IF(De_Groeiling[[#This Row],[Zw/w p/j]]=0,"",IF((De_Groeiling[[#This Row],[Zw/w p/j]]+De_Groeiling[[#This Row],[Kleur p/j]])&lt;SOTOG!$H$1,1,IF((De_Groeiling[[#This Row],[Zw/w p/j]]+De_Groeiling[[#This Row],[Kleur p/j]])&gt;SOTOG!$G$1,2,"")))</f>
        <v>1</v>
      </c>
      <c r="H18" s="104" t="s">
        <v>553</v>
      </c>
      <c r="I18" s="104" t="str">
        <f>IF(AND(De_Groeiling[[#This Row],[Zw/w p/j]]+De_Groeiling[[#This Row],[Kleur p/j]]&gt;=SOTOG!$H$1,De_Groeiling[[#This Row],[Zw/w p/j]]+De_Groeiling[[#This Row],[Kleur p/j]]&lt;SOTOG!$G$1),1,"")</f>
        <v/>
      </c>
      <c r="J18" s="112">
        <v>44470</v>
      </c>
      <c r="K18" s="1">
        <f>De_Groeiling[[#This Row],[Zw/w p/m]]*12</f>
        <v>89643</v>
      </c>
      <c r="L18" s="1">
        <f>De_Groeiling[[#This Row],[kleur p/m]]*12</f>
        <v>55624.5</v>
      </c>
      <c r="M18" s="1">
        <v>7470.25</v>
      </c>
      <c r="N18" s="1">
        <v>4635.375</v>
      </c>
      <c r="O18" s="1">
        <f>IF(De_Groeiling[[#This Row],[Model 1
(eis M1 t/m M27)]]="","",INT(_xlfn.DAYS($Q$1,De_Groeiling[[#This Row],[Datum in gebruikname nieuwe MFP]])/30.41))</f>
        <v>48</v>
      </c>
      <c r="P18" s="1" t="str">
        <f>IF(De_Groeiling[[#This Row],[Model 2
(eis M1 t/m M27)]]="","",INT(_xlfn.DAYS($Q$1,De_Groeiling[[#This Row],[Datum in gebruikname nieuwe MFP]])/30.41))</f>
        <v/>
      </c>
      <c r="Q18" s="1">
        <f>IF(De_Groeiling[[#This Row],[Model 1
(eis M1 t/m M27)]]="","",De_Groeiling[[#This Row],[Zw/w p/m]]*De_Groeiling[[#This Row],[Aantal maanden model 1]])</f>
        <v>358572</v>
      </c>
      <c r="R18" s="1">
        <f>IF(De_Groeiling[[#This Row],[Model 1
(eis M1 t/m M27)]]="","",De_Groeiling[[#This Row],[kleur p/m]]*De_Groeiling[[#This Row],[Aantal maanden model 1]])</f>
        <v>222498</v>
      </c>
      <c r="S18" s="1" t="str">
        <f>IF(De_Groeiling[[#This Row],[Model 2
(eis M1 t/m M27)]]="","",De_Groeiling[[#This Row],[Zw/w p/m]]*De_Groeiling[[#This Row],[Aantal maanden model 2]])</f>
        <v/>
      </c>
      <c r="T18" s="1" t="str">
        <f>IF(De_Groeiling[[#This Row],[Model 2
(eis M1 t/m M27)]]="","",De_Groeiling[[#This Row],[kleur p/m]]*De_Groeiling[[#This Row],[Aantal maanden model 2]])</f>
        <v/>
      </c>
      <c r="U18" s="1">
        <f>IF(De_Groeiling[[#This Row],[Model 1
(eis M1 t/m M27)]]="","",De_Groeiling[[#This Row],[Zw/w p/j]])</f>
        <v>89643</v>
      </c>
      <c r="V18" s="1">
        <f>IF(De_Groeiling[[#This Row],[Model 1
(eis M1 t/m M27)]]="","",De_Groeiling[[#This Row],[Kleur p/j]])</f>
        <v>55624.5</v>
      </c>
      <c r="W18" s="1" t="str">
        <f>IF(De_Groeiling[[#This Row],[Model 2
(eis M1 t/m M27)]]="","",De_Groeiling[[#This Row],[Zw/w p/j]])</f>
        <v/>
      </c>
      <c r="X18" s="1" t="str">
        <f>IF(De_Groeiling[[#This Row],[Model 2
(eis M1 t/m M27)]]="","",De_Groeiling[[#This Row],[Kleur p/j]])</f>
        <v/>
      </c>
    </row>
    <row r="19" spans="1:24" x14ac:dyDescent="0.35">
      <c r="A19" t="s">
        <v>197</v>
      </c>
      <c r="B19" t="s">
        <v>198</v>
      </c>
      <c r="C19" t="s">
        <v>274</v>
      </c>
      <c r="D19" t="s">
        <v>275</v>
      </c>
      <c r="E19" t="s">
        <v>265</v>
      </c>
      <c r="F19" t="s">
        <v>276</v>
      </c>
      <c r="G19" s="104" t="str">
        <f>IF(De_Groeiling[[#This Row],[Zw/w p/j]]=0,"",IF((De_Groeiling[[#This Row],[Zw/w p/j]]+De_Groeiling[[#This Row],[Kleur p/j]])&lt;SOTOG!$H$1,1,IF((De_Groeiling[[#This Row],[Zw/w p/j]]+De_Groeiling[[#This Row],[Kleur p/j]])&gt;SOTOG!$G$1,2,"")))</f>
        <v/>
      </c>
      <c r="H19" s="104" t="s">
        <v>553</v>
      </c>
      <c r="I19" s="104">
        <f>IF(AND(De_Groeiling[[#This Row],[Zw/w p/j]]+De_Groeiling[[#This Row],[Kleur p/j]]&gt;=SOTOG!$H$1,De_Groeiling[[#This Row],[Zw/w p/j]]+De_Groeiling[[#This Row],[Kleur p/j]]&lt;SOTOG!$G$1),1,"")</f>
        <v>1</v>
      </c>
      <c r="J19" s="112">
        <v>44470</v>
      </c>
      <c r="K19" s="1">
        <f>De_Groeiling[[#This Row],[Zw/w p/m]]*12</f>
        <v>231598.5</v>
      </c>
      <c r="L19" s="1">
        <f>De_Groeiling[[#This Row],[kleur p/m]]*12</f>
        <v>137817</v>
      </c>
      <c r="M19" s="1">
        <v>19299.875</v>
      </c>
      <c r="N19" s="1">
        <v>11484.75</v>
      </c>
      <c r="O19" s="1" t="str">
        <f>IF(De_Groeiling[[#This Row],[Model 1
(eis M1 t/m M27)]]="","",INT(_xlfn.DAYS($Q$1,De_Groeiling[[#This Row],[Datum in gebruikname nieuwe MFP]])/30.41))</f>
        <v/>
      </c>
      <c r="P19" s="1">
        <f>IF(De_Groeiling[[#This Row],[Model 2
(eis M1 t/m M27)]]="","",INT(_xlfn.DAYS($Q$1,De_Groeiling[[#This Row],[Datum in gebruikname nieuwe MFP]])/30.41))</f>
        <v>48</v>
      </c>
      <c r="Q19" s="1" t="str">
        <f>IF(De_Groeiling[[#This Row],[Model 1
(eis M1 t/m M27)]]="","",De_Groeiling[[#This Row],[Zw/w p/m]]*De_Groeiling[[#This Row],[Aantal maanden model 1]])</f>
        <v/>
      </c>
      <c r="R19" s="1" t="str">
        <f>IF(De_Groeiling[[#This Row],[Model 1
(eis M1 t/m M27)]]="","",De_Groeiling[[#This Row],[kleur p/m]]*De_Groeiling[[#This Row],[Aantal maanden model 1]])</f>
        <v/>
      </c>
      <c r="S19" s="1">
        <f>IF(De_Groeiling[[#This Row],[Model 2
(eis M1 t/m M27)]]="","",De_Groeiling[[#This Row],[Zw/w p/m]]*De_Groeiling[[#This Row],[Aantal maanden model 2]])</f>
        <v>926394</v>
      </c>
      <c r="T19" s="1">
        <f>IF(De_Groeiling[[#This Row],[Model 2
(eis M1 t/m M27)]]="","",De_Groeiling[[#This Row],[kleur p/m]]*De_Groeiling[[#This Row],[Aantal maanden model 2]])</f>
        <v>551268</v>
      </c>
      <c r="U19" s="1" t="str">
        <f>IF(De_Groeiling[[#This Row],[Model 1
(eis M1 t/m M27)]]="","",De_Groeiling[[#This Row],[Zw/w p/j]])</f>
        <v/>
      </c>
      <c r="V19" s="1" t="str">
        <f>IF(De_Groeiling[[#This Row],[Model 1
(eis M1 t/m M27)]]="","",De_Groeiling[[#This Row],[Kleur p/j]])</f>
        <v/>
      </c>
      <c r="W19" s="1">
        <f>IF(De_Groeiling[[#This Row],[Model 2
(eis M1 t/m M27)]]="","",De_Groeiling[[#This Row],[Zw/w p/j]])</f>
        <v>231598.5</v>
      </c>
      <c r="X19" s="1">
        <f>IF(De_Groeiling[[#This Row],[Model 2
(eis M1 t/m M27)]]="","",De_Groeiling[[#This Row],[Kleur p/j]])</f>
        <v>137817</v>
      </c>
    </row>
    <row r="20" spans="1:24" x14ac:dyDescent="0.35">
      <c r="A20" t="s">
        <v>217</v>
      </c>
      <c r="B20" t="s">
        <v>218</v>
      </c>
      <c r="C20" t="s">
        <v>304</v>
      </c>
      <c r="D20" t="s">
        <v>275</v>
      </c>
      <c r="E20" t="s">
        <v>265</v>
      </c>
      <c r="F20" t="s">
        <v>305</v>
      </c>
      <c r="G20" s="104">
        <f>IF(De_Groeiling[[#This Row],[Zw/w p/j]]=0,"",IF((De_Groeiling[[#This Row],[Zw/w p/j]]+De_Groeiling[[#This Row],[Kleur p/j]])&lt;SOTOG!$H$1,1,IF((De_Groeiling[[#This Row],[Zw/w p/j]]+De_Groeiling[[#This Row],[Kleur p/j]])&gt;SOTOG!$G$1,2,"")))</f>
        <v>1</v>
      </c>
      <c r="H20" s="104" t="s">
        <v>553</v>
      </c>
      <c r="I20" s="104" t="str">
        <f>IF(AND(De_Groeiling[[#This Row],[Zw/w p/j]]+De_Groeiling[[#This Row],[Kleur p/j]]&gt;=SOTOG!$H$1,De_Groeiling[[#This Row],[Zw/w p/j]]+De_Groeiling[[#This Row],[Kleur p/j]]&lt;SOTOG!$G$1),1,"")</f>
        <v/>
      </c>
      <c r="J20" s="112">
        <v>44470</v>
      </c>
      <c r="K20" s="1">
        <f>De_Groeiling[[#This Row],[Zw/w p/m]]*12</f>
        <v>5235</v>
      </c>
      <c r="L20" s="1">
        <f>De_Groeiling[[#This Row],[kleur p/m]]*12</f>
        <v>21439.5</v>
      </c>
      <c r="M20" s="1">
        <v>436.25</v>
      </c>
      <c r="N20" s="1">
        <v>1786.625</v>
      </c>
      <c r="O20" s="1">
        <f>IF(De_Groeiling[[#This Row],[Model 1
(eis M1 t/m M27)]]="","",INT(_xlfn.DAYS($Q$1,De_Groeiling[[#This Row],[Datum in gebruikname nieuwe MFP]])/30.41))</f>
        <v>48</v>
      </c>
      <c r="P20" s="1" t="str">
        <f>IF(De_Groeiling[[#This Row],[Model 2
(eis M1 t/m M27)]]="","",INT(_xlfn.DAYS($Q$1,De_Groeiling[[#This Row],[Datum in gebruikname nieuwe MFP]])/30.41))</f>
        <v/>
      </c>
      <c r="Q20" s="1">
        <f>IF(De_Groeiling[[#This Row],[Model 1
(eis M1 t/m M27)]]="","",De_Groeiling[[#This Row],[Zw/w p/m]]*De_Groeiling[[#This Row],[Aantal maanden model 1]])</f>
        <v>20940</v>
      </c>
      <c r="R20" s="1">
        <f>IF(De_Groeiling[[#This Row],[Model 1
(eis M1 t/m M27)]]="","",De_Groeiling[[#This Row],[kleur p/m]]*De_Groeiling[[#This Row],[Aantal maanden model 1]])</f>
        <v>85758</v>
      </c>
      <c r="S20" s="1" t="str">
        <f>IF(De_Groeiling[[#This Row],[Model 2
(eis M1 t/m M27)]]="","",De_Groeiling[[#This Row],[Zw/w p/m]]*De_Groeiling[[#This Row],[Aantal maanden model 2]])</f>
        <v/>
      </c>
      <c r="T20" s="1" t="str">
        <f>IF(De_Groeiling[[#This Row],[Model 2
(eis M1 t/m M27)]]="","",De_Groeiling[[#This Row],[kleur p/m]]*De_Groeiling[[#This Row],[Aantal maanden model 2]])</f>
        <v/>
      </c>
      <c r="U20" s="1">
        <f>IF(De_Groeiling[[#This Row],[Model 1
(eis M1 t/m M27)]]="","",De_Groeiling[[#This Row],[Zw/w p/j]])</f>
        <v>5235</v>
      </c>
      <c r="V20" s="1">
        <f>IF(De_Groeiling[[#This Row],[Model 1
(eis M1 t/m M27)]]="","",De_Groeiling[[#This Row],[Kleur p/j]])</f>
        <v>21439.5</v>
      </c>
      <c r="W20" s="1" t="str">
        <f>IF(De_Groeiling[[#This Row],[Model 2
(eis M1 t/m M27)]]="","",De_Groeiling[[#This Row],[Zw/w p/j]])</f>
        <v/>
      </c>
      <c r="X20" s="1" t="str">
        <f>IF(De_Groeiling[[#This Row],[Model 2
(eis M1 t/m M27)]]="","",De_Groeiling[[#This Row],[Kleur p/j]])</f>
        <v/>
      </c>
    </row>
    <row r="21" spans="1:24" x14ac:dyDescent="0.35">
      <c r="A21" t="s">
        <v>193</v>
      </c>
      <c r="B21" t="s">
        <v>194</v>
      </c>
      <c r="C21" t="s">
        <v>267</v>
      </c>
      <c r="D21" t="s">
        <v>268</v>
      </c>
      <c r="E21" t="s">
        <v>265</v>
      </c>
      <c r="F21" t="s">
        <v>269</v>
      </c>
      <c r="G21" s="104">
        <f>IF(De_Groeiling[[#This Row],[Zw/w p/j]]=0,"",IF((De_Groeiling[[#This Row],[Zw/w p/j]]+De_Groeiling[[#This Row],[Kleur p/j]])&lt;SOTOG!$H$1,1,IF((De_Groeiling[[#This Row],[Zw/w p/j]]+De_Groeiling[[#This Row],[Kleur p/j]])&gt;SOTOG!$G$1,2,"")))</f>
        <v>1</v>
      </c>
      <c r="H21" s="104" t="s">
        <v>552</v>
      </c>
      <c r="I21" s="104" t="str">
        <f>IF(AND(De_Groeiling[[#This Row],[Zw/w p/j]]+De_Groeiling[[#This Row],[Kleur p/j]]&gt;=SOTOG!$H$1,De_Groeiling[[#This Row],[Zw/w p/j]]+De_Groeiling[[#This Row],[Kleur p/j]]&lt;SOTOG!$G$1),1,"")</f>
        <v/>
      </c>
      <c r="J21" s="112">
        <v>45047</v>
      </c>
      <c r="K21" s="1">
        <f>De_Groeiling[[#This Row],[Zw/w p/m]]*12</f>
        <v>105478.5</v>
      </c>
      <c r="L21" s="1">
        <f>De_Groeiling[[#This Row],[kleur p/m]]*12</f>
        <v>43998</v>
      </c>
      <c r="M21" s="1">
        <v>8789.875</v>
      </c>
      <c r="N21" s="1">
        <v>3666.5</v>
      </c>
      <c r="O21" s="1">
        <f>IF(De_Groeiling[[#This Row],[Model 1
(eis M1 t/m M27)]]="","",INT(_xlfn.DAYS($Q$1,De_Groeiling[[#This Row],[Datum in gebruikname nieuwe MFP]])/30.41))</f>
        <v>29</v>
      </c>
      <c r="P21" s="1" t="str">
        <f>IF(De_Groeiling[[#This Row],[Model 2
(eis M1 t/m M27)]]="","",INT(_xlfn.DAYS($Q$1,De_Groeiling[[#This Row],[Datum in gebruikname nieuwe MFP]])/30.41))</f>
        <v/>
      </c>
      <c r="Q21" s="1">
        <f>IF(De_Groeiling[[#This Row],[Model 1
(eis M1 t/m M27)]]="","",De_Groeiling[[#This Row],[Zw/w p/m]]*De_Groeiling[[#This Row],[Aantal maanden model 1]])</f>
        <v>254906.375</v>
      </c>
      <c r="R21" s="1">
        <f>IF(De_Groeiling[[#This Row],[Model 1
(eis M1 t/m M27)]]="","",De_Groeiling[[#This Row],[kleur p/m]]*De_Groeiling[[#This Row],[Aantal maanden model 1]])</f>
        <v>106328.5</v>
      </c>
      <c r="S21" s="1" t="str">
        <f>IF(De_Groeiling[[#This Row],[Model 2
(eis M1 t/m M27)]]="","",De_Groeiling[[#This Row],[Zw/w p/m]]*De_Groeiling[[#This Row],[Aantal maanden model 2]])</f>
        <v/>
      </c>
      <c r="T21" s="1" t="str">
        <f>IF(De_Groeiling[[#This Row],[Model 2
(eis M1 t/m M27)]]="","",De_Groeiling[[#This Row],[kleur p/m]]*De_Groeiling[[#This Row],[Aantal maanden model 2]])</f>
        <v/>
      </c>
      <c r="U21" s="1">
        <f>IF(De_Groeiling[[#This Row],[Model 1
(eis M1 t/m M27)]]="","",De_Groeiling[[#This Row],[Zw/w p/j]])</f>
        <v>105478.5</v>
      </c>
      <c r="V21" s="1">
        <f>IF(De_Groeiling[[#This Row],[Model 1
(eis M1 t/m M27)]]="","",De_Groeiling[[#This Row],[Kleur p/j]])</f>
        <v>43998</v>
      </c>
      <c r="W21" s="1" t="str">
        <f>IF(De_Groeiling[[#This Row],[Model 2
(eis M1 t/m M27)]]="","",De_Groeiling[[#This Row],[Zw/w p/j]])</f>
        <v/>
      </c>
      <c r="X21" s="1" t="str">
        <f>IF(De_Groeiling[[#This Row],[Model 2
(eis M1 t/m M27)]]="","",De_Groeiling[[#This Row],[Kleur p/j]])</f>
        <v/>
      </c>
    </row>
    <row r="22" spans="1:24" x14ac:dyDescent="0.35">
      <c r="A22" t="s">
        <v>211</v>
      </c>
      <c r="B22" t="s">
        <v>212</v>
      </c>
      <c r="C22" t="s">
        <v>295</v>
      </c>
      <c r="D22" t="s">
        <v>296</v>
      </c>
      <c r="E22" t="s">
        <v>265</v>
      </c>
      <c r="F22" t="s">
        <v>297</v>
      </c>
      <c r="G22" s="104">
        <f>IF(De_Groeiling[[#This Row],[Zw/w p/j]]=0,"",IF((De_Groeiling[[#This Row],[Zw/w p/j]]+De_Groeiling[[#This Row],[Kleur p/j]])&lt;SOTOG!$H$1,1,IF((De_Groeiling[[#This Row],[Zw/w p/j]]+De_Groeiling[[#This Row],[Kleur p/j]])&gt;SOTOG!$G$1,2,"")))</f>
        <v>1</v>
      </c>
      <c r="H22" s="104" t="s">
        <v>552</v>
      </c>
      <c r="I22" s="104" t="str">
        <f>IF(AND(De_Groeiling[[#This Row],[Zw/w p/j]]+De_Groeiling[[#This Row],[Kleur p/j]]&gt;=SOTOG!$H$1,De_Groeiling[[#This Row],[Zw/w p/j]]+De_Groeiling[[#This Row],[Kleur p/j]]&lt;SOTOG!$G$1),1,"")</f>
        <v/>
      </c>
      <c r="J22" s="112">
        <v>45047</v>
      </c>
      <c r="K22" s="1">
        <f>De_Groeiling[[#This Row],[Zw/w p/m]]*12</f>
        <v>104554.5</v>
      </c>
      <c r="L22" s="1">
        <f>De_Groeiling[[#This Row],[kleur p/m]]*12</f>
        <v>52105.5</v>
      </c>
      <c r="M22" s="1">
        <v>8712.875</v>
      </c>
      <c r="N22" s="1">
        <v>4342.125</v>
      </c>
      <c r="O22" s="1">
        <f>IF(De_Groeiling[[#This Row],[Model 1
(eis M1 t/m M27)]]="","",INT(_xlfn.DAYS($Q$1,De_Groeiling[[#This Row],[Datum in gebruikname nieuwe MFP]])/30.41))</f>
        <v>29</v>
      </c>
      <c r="P22" s="1" t="str">
        <f>IF(De_Groeiling[[#This Row],[Model 2
(eis M1 t/m M27)]]="","",INT(_xlfn.DAYS($Q$1,De_Groeiling[[#This Row],[Datum in gebruikname nieuwe MFP]])/30.41))</f>
        <v/>
      </c>
      <c r="Q22" s="1">
        <f>IF(De_Groeiling[[#This Row],[Model 1
(eis M1 t/m M27)]]="","",De_Groeiling[[#This Row],[Zw/w p/m]]*De_Groeiling[[#This Row],[Aantal maanden model 1]])</f>
        <v>252673.375</v>
      </c>
      <c r="R22" s="1">
        <f>IF(De_Groeiling[[#This Row],[Model 1
(eis M1 t/m M27)]]="","",De_Groeiling[[#This Row],[kleur p/m]]*De_Groeiling[[#This Row],[Aantal maanden model 1]])</f>
        <v>125921.625</v>
      </c>
      <c r="S22" s="1" t="str">
        <f>IF(De_Groeiling[[#This Row],[Model 2
(eis M1 t/m M27)]]="","",De_Groeiling[[#This Row],[Zw/w p/m]]*De_Groeiling[[#This Row],[Aantal maanden model 2]])</f>
        <v/>
      </c>
      <c r="T22" s="1" t="str">
        <f>IF(De_Groeiling[[#This Row],[Model 2
(eis M1 t/m M27)]]="","",De_Groeiling[[#This Row],[kleur p/m]]*De_Groeiling[[#This Row],[Aantal maanden model 2]])</f>
        <v/>
      </c>
      <c r="U22" s="1">
        <f>IF(De_Groeiling[[#This Row],[Model 1
(eis M1 t/m M27)]]="","",De_Groeiling[[#This Row],[Zw/w p/j]])</f>
        <v>104554.5</v>
      </c>
      <c r="V22" s="1">
        <f>IF(De_Groeiling[[#This Row],[Model 1
(eis M1 t/m M27)]]="","",De_Groeiling[[#This Row],[Kleur p/j]])</f>
        <v>52105.5</v>
      </c>
      <c r="W22" s="1" t="str">
        <f>IF(De_Groeiling[[#This Row],[Model 2
(eis M1 t/m M27)]]="","",De_Groeiling[[#This Row],[Zw/w p/j]])</f>
        <v/>
      </c>
      <c r="X22" s="1" t="str">
        <f>IF(De_Groeiling[[#This Row],[Model 2
(eis M1 t/m M27)]]="","",De_Groeiling[[#This Row],[Kleur p/j]])</f>
        <v/>
      </c>
    </row>
    <row r="23" spans="1:24" x14ac:dyDescent="0.35">
      <c r="A23" t="s">
        <v>203</v>
      </c>
      <c r="B23" t="s">
        <v>202</v>
      </c>
      <c r="C23" t="s">
        <v>281</v>
      </c>
      <c r="D23" t="s">
        <v>282</v>
      </c>
      <c r="E23" t="s">
        <v>265</v>
      </c>
      <c r="F23" t="s">
        <v>283</v>
      </c>
      <c r="G23" s="104" t="str">
        <f>IF(De_Groeiling[[#This Row],[Zw/w p/j]]=0,"",IF((De_Groeiling[[#This Row],[Zw/w p/j]]+De_Groeiling[[#This Row],[Kleur p/j]])&lt;SOTOG!$H$1,1,IF((De_Groeiling[[#This Row],[Zw/w p/j]]+De_Groeiling[[#This Row],[Kleur p/j]])&gt;SOTOG!$G$1,2,"")))</f>
        <v/>
      </c>
      <c r="H23" s="104" t="s">
        <v>553</v>
      </c>
      <c r="I23" s="104">
        <f>IF(AND(De_Groeiling[[#This Row],[Zw/w p/j]]+De_Groeiling[[#This Row],[Kleur p/j]]&gt;=SOTOG!$H$1,De_Groeiling[[#This Row],[Zw/w p/j]]+De_Groeiling[[#This Row],[Kleur p/j]]&lt;SOTOG!$G$1),1,"")</f>
        <v>1</v>
      </c>
      <c r="J23" s="112">
        <v>44470</v>
      </c>
      <c r="K23" s="1">
        <f>De_Groeiling[[#This Row],[Zw/w p/m]]*12</f>
        <v>123217.5</v>
      </c>
      <c r="L23" s="1">
        <f>De_Groeiling[[#This Row],[kleur p/m]]*12</f>
        <v>176376</v>
      </c>
      <c r="M23" s="1">
        <v>10268.125</v>
      </c>
      <c r="N23" s="1">
        <v>14698</v>
      </c>
      <c r="O23" s="1" t="str">
        <f>IF(De_Groeiling[[#This Row],[Model 1
(eis M1 t/m M27)]]="","",INT(_xlfn.DAYS($Q$1,De_Groeiling[[#This Row],[Datum in gebruikname nieuwe MFP]])/30.41))</f>
        <v/>
      </c>
      <c r="P23" s="1">
        <f>IF(De_Groeiling[[#This Row],[Model 2
(eis M1 t/m M27)]]="","",INT(_xlfn.DAYS($Q$1,De_Groeiling[[#This Row],[Datum in gebruikname nieuwe MFP]])/30.41))</f>
        <v>48</v>
      </c>
      <c r="Q23" s="1" t="str">
        <f>IF(De_Groeiling[[#This Row],[Model 1
(eis M1 t/m M27)]]="","",De_Groeiling[[#This Row],[Zw/w p/m]]*De_Groeiling[[#This Row],[Aantal maanden model 1]])</f>
        <v/>
      </c>
      <c r="R23" s="1" t="str">
        <f>IF(De_Groeiling[[#This Row],[Model 1
(eis M1 t/m M27)]]="","",De_Groeiling[[#This Row],[kleur p/m]]*De_Groeiling[[#This Row],[Aantal maanden model 1]])</f>
        <v/>
      </c>
      <c r="S23" s="1">
        <f>IF(De_Groeiling[[#This Row],[Model 2
(eis M1 t/m M27)]]="","",De_Groeiling[[#This Row],[Zw/w p/m]]*De_Groeiling[[#This Row],[Aantal maanden model 2]])</f>
        <v>492870</v>
      </c>
      <c r="T23" s="1">
        <f>IF(De_Groeiling[[#This Row],[Model 2
(eis M1 t/m M27)]]="","",De_Groeiling[[#This Row],[kleur p/m]]*De_Groeiling[[#This Row],[Aantal maanden model 2]])</f>
        <v>705504</v>
      </c>
      <c r="U23" s="1" t="str">
        <f>IF(De_Groeiling[[#This Row],[Model 1
(eis M1 t/m M27)]]="","",De_Groeiling[[#This Row],[Zw/w p/j]])</f>
        <v/>
      </c>
      <c r="V23" s="1" t="str">
        <f>IF(De_Groeiling[[#This Row],[Model 1
(eis M1 t/m M27)]]="","",De_Groeiling[[#This Row],[Kleur p/j]])</f>
        <v/>
      </c>
      <c r="W23" s="1">
        <f>IF(De_Groeiling[[#This Row],[Model 2
(eis M1 t/m M27)]]="","",De_Groeiling[[#This Row],[Zw/w p/j]])</f>
        <v>123217.5</v>
      </c>
      <c r="X23" s="1">
        <f>IF(De_Groeiling[[#This Row],[Model 2
(eis M1 t/m M27)]]="","",De_Groeiling[[#This Row],[Kleur p/j]])</f>
        <v>176376</v>
      </c>
    </row>
    <row r="24" spans="1:24" x14ac:dyDescent="0.35">
      <c r="A24" t="s">
        <v>201</v>
      </c>
      <c r="B24" t="s">
        <v>202</v>
      </c>
      <c r="C24" t="s">
        <v>281</v>
      </c>
      <c r="D24" t="s">
        <v>282</v>
      </c>
      <c r="E24" t="s">
        <v>265</v>
      </c>
      <c r="F24" t="s">
        <v>283</v>
      </c>
      <c r="G24" s="104">
        <f>IF(De_Groeiling[[#This Row],[Zw/w p/j]]=0,"",IF((De_Groeiling[[#This Row],[Zw/w p/j]]+De_Groeiling[[#This Row],[Kleur p/j]])&lt;SOTOG!$H$1,1,IF((De_Groeiling[[#This Row],[Zw/w p/j]]+De_Groeiling[[#This Row],[Kleur p/j]])&gt;SOTOG!$G$1,2,"")))</f>
        <v>1</v>
      </c>
      <c r="H24" s="104" t="s">
        <v>557</v>
      </c>
      <c r="I24" s="104" t="str">
        <f>IF(AND(De_Groeiling[[#This Row],[Zw/w p/j]]+De_Groeiling[[#This Row],[Kleur p/j]]&gt;=SOTOG!$H$1,De_Groeiling[[#This Row],[Zw/w p/j]]+De_Groeiling[[#This Row],[Kleur p/j]]&lt;SOTOG!$G$1),1,"")</f>
        <v/>
      </c>
      <c r="J24" s="112">
        <v>44470</v>
      </c>
      <c r="K24" s="1">
        <f>De_Groeiling[[#This Row],[Zw/w p/m]]*12</f>
        <v>11227.5</v>
      </c>
      <c r="L24" s="1">
        <f>De_Groeiling[[#This Row],[kleur p/m]]*12</f>
        <v>18423</v>
      </c>
      <c r="M24" s="1">
        <v>935.625</v>
      </c>
      <c r="N24" s="1">
        <v>1535.25</v>
      </c>
      <c r="O24" s="1">
        <f>IF(De_Groeiling[[#This Row],[Model 1
(eis M1 t/m M27)]]="","",INT(_xlfn.DAYS($Q$1,De_Groeiling[[#This Row],[Datum in gebruikname nieuwe MFP]])/30.41))</f>
        <v>48</v>
      </c>
      <c r="P24" s="1" t="str">
        <f>IF(De_Groeiling[[#This Row],[Model 2
(eis M1 t/m M27)]]="","",INT(_xlfn.DAYS($Q$1,De_Groeiling[[#This Row],[Datum in gebruikname nieuwe MFP]])/30.41))</f>
        <v/>
      </c>
      <c r="Q24" s="1">
        <f>IF(De_Groeiling[[#This Row],[Model 1
(eis M1 t/m M27)]]="","",De_Groeiling[[#This Row],[Zw/w p/m]]*De_Groeiling[[#This Row],[Aantal maanden model 1]])</f>
        <v>44910</v>
      </c>
      <c r="R24" s="1">
        <f>IF(De_Groeiling[[#This Row],[Model 1
(eis M1 t/m M27)]]="","",De_Groeiling[[#This Row],[kleur p/m]]*De_Groeiling[[#This Row],[Aantal maanden model 1]])</f>
        <v>73692</v>
      </c>
      <c r="S24" s="1" t="str">
        <f>IF(De_Groeiling[[#This Row],[Model 2
(eis M1 t/m M27)]]="","",De_Groeiling[[#This Row],[Zw/w p/m]]*De_Groeiling[[#This Row],[Aantal maanden model 2]])</f>
        <v/>
      </c>
      <c r="T24" s="1" t="str">
        <f>IF(De_Groeiling[[#This Row],[Model 2
(eis M1 t/m M27)]]="","",De_Groeiling[[#This Row],[kleur p/m]]*De_Groeiling[[#This Row],[Aantal maanden model 2]])</f>
        <v/>
      </c>
      <c r="U24" s="1">
        <f>IF(De_Groeiling[[#This Row],[Model 1
(eis M1 t/m M27)]]="","",De_Groeiling[[#This Row],[Zw/w p/j]])</f>
        <v>11227.5</v>
      </c>
      <c r="V24" s="1">
        <f>IF(De_Groeiling[[#This Row],[Model 1
(eis M1 t/m M27)]]="","",De_Groeiling[[#This Row],[Kleur p/j]])</f>
        <v>18423</v>
      </c>
      <c r="W24" s="1" t="str">
        <f>IF(De_Groeiling[[#This Row],[Model 2
(eis M1 t/m M27)]]="","",De_Groeiling[[#This Row],[Zw/w p/j]])</f>
        <v/>
      </c>
      <c r="X24" s="1" t="str">
        <f>IF(De_Groeiling[[#This Row],[Model 2
(eis M1 t/m M27)]]="","",De_Groeiling[[#This Row],[Kleur p/j]])</f>
        <v/>
      </c>
    </row>
    <row r="25" spans="1:24" x14ac:dyDescent="0.35">
      <c r="A25" t="s">
        <v>203</v>
      </c>
      <c r="B25" t="s">
        <v>204</v>
      </c>
      <c r="C25" t="s">
        <v>284</v>
      </c>
      <c r="D25" t="s">
        <v>285</v>
      </c>
      <c r="E25" t="s">
        <v>265</v>
      </c>
      <c r="F25" t="s">
        <v>286</v>
      </c>
      <c r="G25" s="104">
        <f>IF(De_Groeiling[[#This Row],[Zw/w p/j]]=0,"",IF((De_Groeiling[[#This Row],[Zw/w p/j]]+De_Groeiling[[#This Row],[Kleur p/j]])&lt;SOTOG!$H$1,1,IF((De_Groeiling[[#This Row],[Zw/w p/j]]+De_Groeiling[[#This Row],[Kleur p/j]])&gt;SOTOG!$G$1,2,"")))</f>
        <v>1</v>
      </c>
      <c r="H25" s="104" t="s">
        <v>552</v>
      </c>
      <c r="I25" s="104" t="str">
        <f>IF(AND(De_Groeiling[[#This Row],[Zw/w p/j]]+De_Groeiling[[#This Row],[Kleur p/j]]&gt;=SOTOG!$H$1,De_Groeiling[[#This Row],[Zw/w p/j]]+De_Groeiling[[#This Row],[Kleur p/j]]&lt;SOTOG!$G$1),1,"")</f>
        <v/>
      </c>
      <c r="J25" s="112">
        <v>45047</v>
      </c>
      <c r="K25" s="1">
        <f>De_Groeiling[[#This Row],[Zw/w p/m]]*12</f>
        <v>88758</v>
      </c>
      <c r="L25" s="1">
        <f>De_Groeiling[[#This Row],[kleur p/m]]*12</f>
        <v>49492.5</v>
      </c>
      <c r="M25" s="1">
        <v>7396.5</v>
      </c>
      <c r="N25" s="1">
        <v>4124.375</v>
      </c>
      <c r="O25" s="1">
        <f>IF(De_Groeiling[[#This Row],[Model 1
(eis M1 t/m M27)]]="","",INT(_xlfn.DAYS($Q$1,De_Groeiling[[#This Row],[Datum in gebruikname nieuwe MFP]])/30.41))</f>
        <v>29</v>
      </c>
      <c r="P25" s="1" t="str">
        <f>IF(De_Groeiling[[#This Row],[Model 2
(eis M1 t/m M27)]]="","",INT(_xlfn.DAYS($Q$1,De_Groeiling[[#This Row],[Datum in gebruikname nieuwe MFP]])/30.41))</f>
        <v/>
      </c>
      <c r="Q25" s="1">
        <f>IF(De_Groeiling[[#This Row],[Model 1
(eis M1 t/m M27)]]="","",De_Groeiling[[#This Row],[Zw/w p/m]]*De_Groeiling[[#This Row],[Aantal maanden model 1]])</f>
        <v>214498.5</v>
      </c>
      <c r="R25" s="1">
        <f>IF(De_Groeiling[[#This Row],[Model 1
(eis M1 t/m M27)]]="","",De_Groeiling[[#This Row],[kleur p/m]]*De_Groeiling[[#This Row],[Aantal maanden model 1]])</f>
        <v>119606.875</v>
      </c>
      <c r="S25" s="1" t="str">
        <f>IF(De_Groeiling[[#This Row],[Model 2
(eis M1 t/m M27)]]="","",De_Groeiling[[#This Row],[Zw/w p/m]]*De_Groeiling[[#This Row],[Aantal maanden model 2]])</f>
        <v/>
      </c>
      <c r="T25" s="1" t="str">
        <f>IF(De_Groeiling[[#This Row],[Model 2
(eis M1 t/m M27)]]="","",De_Groeiling[[#This Row],[kleur p/m]]*De_Groeiling[[#This Row],[Aantal maanden model 2]])</f>
        <v/>
      </c>
      <c r="U25" s="1">
        <f>IF(De_Groeiling[[#This Row],[Model 1
(eis M1 t/m M27)]]="","",De_Groeiling[[#This Row],[Zw/w p/j]])</f>
        <v>88758</v>
      </c>
      <c r="V25" s="1">
        <f>IF(De_Groeiling[[#This Row],[Model 1
(eis M1 t/m M27)]]="","",De_Groeiling[[#This Row],[Kleur p/j]])</f>
        <v>49492.5</v>
      </c>
      <c r="W25" s="1" t="str">
        <f>IF(De_Groeiling[[#This Row],[Model 2
(eis M1 t/m M27)]]="","",De_Groeiling[[#This Row],[Zw/w p/j]])</f>
        <v/>
      </c>
      <c r="X25" s="1" t="str">
        <f>IF(De_Groeiling[[#This Row],[Model 2
(eis M1 t/m M27)]]="","",De_Groeiling[[#This Row],[Kleur p/j]])</f>
        <v/>
      </c>
    </row>
    <row r="26" spans="1:24" x14ac:dyDescent="0.35">
      <c r="A26" t="s">
        <v>189</v>
      </c>
      <c r="B26" t="s">
        <v>190</v>
      </c>
      <c r="C26" t="s">
        <v>259</v>
      </c>
      <c r="D26" t="s">
        <v>260</v>
      </c>
      <c r="E26" t="s">
        <v>261</v>
      </c>
      <c r="F26" t="s">
        <v>262</v>
      </c>
      <c r="G26" s="104">
        <f>IF(De_Groeiling[[#This Row],[Zw/w p/j]]=0,"",IF((De_Groeiling[[#This Row],[Zw/w p/j]]+De_Groeiling[[#This Row],[Kleur p/j]])&lt;SOTOG!$H$1,1,IF((De_Groeiling[[#This Row],[Zw/w p/j]]+De_Groeiling[[#This Row],[Kleur p/j]])&gt;SOTOG!$G$1,2,"")))</f>
        <v>1</v>
      </c>
      <c r="H26" s="104" t="s">
        <v>553</v>
      </c>
      <c r="I26" s="104" t="str">
        <f>IF(AND(De_Groeiling[[#This Row],[Zw/w p/j]]+De_Groeiling[[#This Row],[Kleur p/j]]&gt;=SOTOG!$H$1,De_Groeiling[[#This Row],[Zw/w p/j]]+De_Groeiling[[#This Row],[Kleur p/j]]&lt;SOTOG!$G$1),1,"")</f>
        <v/>
      </c>
      <c r="J26" s="112">
        <v>44470</v>
      </c>
      <c r="K26" s="1">
        <f>De_Groeiling[[#This Row],[Zw/w p/m]]*12</f>
        <v>96144</v>
      </c>
      <c r="L26" s="1">
        <f>De_Groeiling[[#This Row],[kleur p/m]]*12</f>
        <v>98373</v>
      </c>
      <c r="M26" s="1">
        <v>8012</v>
      </c>
      <c r="N26" s="1">
        <v>8197.75</v>
      </c>
      <c r="O26" s="1">
        <f>IF(De_Groeiling[[#This Row],[Model 1
(eis M1 t/m M27)]]="","",INT(_xlfn.DAYS($Q$1,De_Groeiling[[#This Row],[Datum in gebruikname nieuwe MFP]])/30.41))</f>
        <v>48</v>
      </c>
      <c r="P26" s="1" t="str">
        <f>IF(De_Groeiling[[#This Row],[Model 2
(eis M1 t/m M27)]]="","",INT(_xlfn.DAYS($Q$1,De_Groeiling[[#This Row],[Datum in gebruikname nieuwe MFP]])/30.41))</f>
        <v/>
      </c>
      <c r="Q26" s="1">
        <f>IF(De_Groeiling[[#This Row],[Model 1
(eis M1 t/m M27)]]="","",De_Groeiling[[#This Row],[Zw/w p/m]]*De_Groeiling[[#This Row],[Aantal maanden model 1]])</f>
        <v>384576</v>
      </c>
      <c r="R26" s="1">
        <f>IF(De_Groeiling[[#This Row],[Model 1
(eis M1 t/m M27)]]="","",De_Groeiling[[#This Row],[kleur p/m]]*De_Groeiling[[#This Row],[Aantal maanden model 1]])</f>
        <v>393492</v>
      </c>
      <c r="S26" s="1" t="str">
        <f>IF(De_Groeiling[[#This Row],[Model 2
(eis M1 t/m M27)]]="","",De_Groeiling[[#This Row],[Zw/w p/m]]*De_Groeiling[[#This Row],[Aantal maanden model 2]])</f>
        <v/>
      </c>
      <c r="T26" s="1" t="str">
        <f>IF(De_Groeiling[[#This Row],[Model 2
(eis M1 t/m M27)]]="","",De_Groeiling[[#This Row],[kleur p/m]]*De_Groeiling[[#This Row],[Aantal maanden model 2]])</f>
        <v/>
      </c>
      <c r="U26" s="1">
        <f>IF(De_Groeiling[[#This Row],[Model 1
(eis M1 t/m M27)]]="","",De_Groeiling[[#This Row],[Zw/w p/j]])</f>
        <v>96144</v>
      </c>
      <c r="V26" s="1">
        <f>IF(De_Groeiling[[#This Row],[Model 1
(eis M1 t/m M27)]]="","",De_Groeiling[[#This Row],[Kleur p/j]])</f>
        <v>98373</v>
      </c>
      <c r="W26" s="1" t="str">
        <f>IF(De_Groeiling[[#This Row],[Model 2
(eis M1 t/m M27)]]="","",De_Groeiling[[#This Row],[Zw/w p/j]])</f>
        <v/>
      </c>
      <c r="X26" s="1" t="str">
        <f>IF(De_Groeiling[[#This Row],[Model 2
(eis M1 t/m M27)]]="","",De_Groeiling[[#This Row],[Kleur p/j]])</f>
        <v/>
      </c>
    </row>
    <row r="27" spans="1:24" x14ac:dyDescent="0.35">
      <c r="A27" t="s">
        <v>178</v>
      </c>
      <c r="B27" t="s">
        <v>179</v>
      </c>
      <c r="C27" t="s">
        <v>238</v>
      </c>
      <c r="D27" t="s">
        <v>239</v>
      </c>
      <c r="E27" t="s">
        <v>240</v>
      </c>
      <c r="F27" t="s">
        <v>241</v>
      </c>
      <c r="G27" s="104" t="str">
        <f>IF(De_Groeiling[[#This Row],[Zw/w p/j]]=0,"",IF((De_Groeiling[[#This Row],[Zw/w p/j]]+De_Groeiling[[#This Row],[Kleur p/j]])&lt;SOTOG!$H$1,1,IF((De_Groeiling[[#This Row],[Zw/w p/j]]+De_Groeiling[[#This Row],[Kleur p/j]])&gt;SOTOG!$G$1,2,"")))</f>
        <v/>
      </c>
      <c r="H27" s="104" t="s">
        <v>553</v>
      </c>
      <c r="I27" s="104">
        <f>IF(AND(De_Groeiling[[#This Row],[Zw/w p/j]]+De_Groeiling[[#This Row],[Kleur p/j]]&gt;=SOTOG!$H$1,De_Groeiling[[#This Row],[Zw/w p/j]]+De_Groeiling[[#This Row],[Kleur p/j]]&lt;SOTOG!$G$1),1,"")</f>
        <v>1</v>
      </c>
      <c r="J27" s="112">
        <v>44470</v>
      </c>
      <c r="K27" s="1">
        <f>De_Groeiling[[#This Row],[Zw/w p/m]]*12</f>
        <v>109944</v>
      </c>
      <c r="L27" s="1">
        <f>De_Groeiling[[#This Row],[kleur p/m]]*12</f>
        <v>110778</v>
      </c>
      <c r="M27" s="1">
        <v>9162</v>
      </c>
      <c r="N27" s="1">
        <v>9231.5</v>
      </c>
      <c r="O27" s="1" t="str">
        <f>IF(De_Groeiling[[#This Row],[Model 1
(eis M1 t/m M27)]]="","",INT(_xlfn.DAYS($Q$1,De_Groeiling[[#This Row],[Datum in gebruikname nieuwe MFP]])/30.41))</f>
        <v/>
      </c>
      <c r="P27" s="1">
        <f>IF(De_Groeiling[[#This Row],[Model 2
(eis M1 t/m M27)]]="","",INT(_xlfn.DAYS($Q$1,De_Groeiling[[#This Row],[Datum in gebruikname nieuwe MFP]])/30.41))</f>
        <v>48</v>
      </c>
      <c r="Q27" s="1" t="str">
        <f>IF(De_Groeiling[[#This Row],[Model 1
(eis M1 t/m M27)]]="","",De_Groeiling[[#This Row],[Zw/w p/m]]*De_Groeiling[[#This Row],[Aantal maanden model 1]])</f>
        <v/>
      </c>
      <c r="R27" s="1" t="str">
        <f>IF(De_Groeiling[[#This Row],[Model 1
(eis M1 t/m M27)]]="","",De_Groeiling[[#This Row],[kleur p/m]]*De_Groeiling[[#This Row],[Aantal maanden model 1]])</f>
        <v/>
      </c>
      <c r="S27" s="1">
        <f>IF(De_Groeiling[[#This Row],[Model 2
(eis M1 t/m M27)]]="","",De_Groeiling[[#This Row],[Zw/w p/m]]*De_Groeiling[[#This Row],[Aantal maanden model 2]])</f>
        <v>439776</v>
      </c>
      <c r="T27" s="1">
        <f>IF(De_Groeiling[[#This Row],[Model 2
(eis M1 t/m M27)]]="","",De_Groeiling[[#This Row],[kleur p/m]]*De_Groeiling[[#This Row],[Aantal maanden model 2]])</f>
        <v>443112</v>
      </c>
      <c r="U27" s="1" t="str">
        <f>IF(De_Groeiling[[#This Row],[Model 1
(eis M1 t/m M27)]]="","",De_Groeiling[[#This Row],[Zw/w p/j]])</f>
        <v/>
      </c>
      <c r="V27" s="1" t="str">
        <f>IF(De_Groeiling[[#This Row],[Model 1
(eis M1 t/m M27)]]="","",De_Groeiling[[#This Row],[Kleur p/j]])</f>
        <v/>
      </c>
      <c r="W27" s="1">
        <f>IF(De_Groeiling[[#This Row],[Model 2
(eis M1 t/m M27)]]="","",De_Groeiling[[#This Row],[Zw/w p/j]])</f>
        <v>109944</v>
      </c>
      <c r="X27" s="1">
        <f>IF(De_Groeiling[[#This Row],[Model 2
(eis M1 t/m M27)]]="","",De_Groeiling[[#This Row],[Kleur p/j]])</f>
        <v>110778</v>
      </c>
    </row>
    <row r="28" spans="1:24" x14ac:dyDescent="0.35">
      <c r="A28" t="s">
        <v>170</v>
      </c>
      <c r="B28" t="s">
        <v>171</v>
      </c>
      <c r="C28" t="s">
        <v>223</v>
      </c>
      <c r="D28" t="s">
        <v>224</v>
      </c>
      <c r="E28" t="s">
        <v>225</v>
      </c>
      <c r="F28" t="s">
        <v>226</v>
      </c>
      <c r="G28" s="104">
        <f>IF(De_Groeiling[[#This Row],[Zw/w p/j]]=0,"",IF((De_Groeiling[[#This Row],[Zw/w p/j]]+De_Groeiling[[#This Row],[Kleur p/j]])&lt;SOTOG!$H$1,1,IF((De_Groeiling[[#This Row],[Zw/w p/j]]+De_Groeiling[[#This Row],[Kleur p/j]])&gt;SOTOG!$G$1,2,"")))</f>
        <v>1</v>
      </c>
      <c r="H28" s="104" t="s">
        <v>552</v>
      </c>
      <c r="I28" s="104" t="str">
        <f>IF(AND(De_Groeiling[[#This Row],[Zw/w p/j]]+De_Groeiling[[#This Row],[Kleur p/j]]&gt;=SOTOG!$H$1,De_Groeiling[[#This Row],[Zw/w p/j]]+De_Groeiling[[#This Row],[Kleur p/j]]&lt;SOTOG!$G$1),1,"")</f>
        <v/>
      </c>
      <c r="J28" s="112">
        <v>45047</v>
      </c>
      <c r="K28" s="1">
        <f>De_Groeiling[[#This Row],[Zw/w p/m]]*12</f>
        <v>103780.5</v>
      </c>
      <c r="L28" s="1">
        <f>De_Groeiling[[#This Row],[kleur p/m]]*12</f>
        <v>57628.5</v>
      </c>
      <c r="M28" s="1">
        <v>8648.375</v>
      </c>
      <c r="N28" s="1">
        <v>4802.375</v>
      </c>
      <c r="O28" s="1">
        <f>IF(De_Groeiling[[#This Row],[Model 1
(eis M1 t/m M27)]]="","",INT(_xlfn.DAYS($Q$1,De_Groeiling[[#This Row],[Datum in gebruikname nieuwe MFP]])/30.41))</f>
        <v>29</v>
      </c>
      <c r="P28" s="1" t="str">
        <f>IF(De_Groeiling[[#This Row],[Model 2
(eis M1 t/m M27)]]="","",INT(_xlfn.DAYS($Q$1,De_Groeiling[[#This Row],[Datum in gebruikname nieuwe MFP]])/30.41))</f>
        <v/>
      </c>
      <c r="Q28" s="1">
        <f>IF(De_Groeiling[[#This Row],[Model 1
(eis M1 t/m M27)]]="","",De_Groeiling[[#This Row],[Zw/w p/m]]*De_Groeiling[[#This Row],[Aantal maanden model 1]])</f>
        <v>250802.875</v>
      </c>
      <c r="R28" s="1">
        <f>IF(De_Groeiling[[#This Row],[Model 1
(eis M1 t/m M27)]]="","",De_Groeiling[[#This Row],[kleur p/m]]*De_Groeiling[[#This Row],[Aantal maanden model 1]])</f>
        <v>139268.875</v>
      </c>
      <c r="S28" s="1" t="str">
        <f>IF(De_Groeiling[[#This Row],[Model 2
(eis M1 t/m M27)]]="","",De_Groeiling[[#This Row],[Zw/w p/m]]*De_Groeiling[[#This Row],[Aantal maanden model 2]])</f>
        <v/>
      </c>
      <c r="T28" s="1" t="str">
        <f>IF(De_Groeiling[[#This Row],[Model 2
(eis M1 t/m M27)]]="","",De_Groeiling[[#This Row],[kleur p/m]]*De_Groeiling[[#This Row],[Aantal maanden model 2]])</f>
        <v/>
      </c>
      <c r="U28" s="1">
        <f>IF(De_Groeiling[[#This Row],[Model 1
(eis M1 t/m M27)]]="","",De_Groeiling[[#This Row],[Zw/w p/j]])</f>
        <v>103780.5</v>
      </c>
      <c r="V28" s="1">
        <f>IF(De_Groeiling[[#This Row],[Model 1
(eis M1 t/m M27)]]="","",De_Groeiling[[#This Row],[Kleur p/j]])</f>
        <v>57628.5</v>
      </c>
      <c r="W28" s="1" t="str">
        <f>IF(De_Groeiling[[#This Row],[Model 2
(eis M1 t/m M27)]]="","",De_Groeiling[[#This Row],[Zw/w p/j]])</f>
        <v/>
      </c>
      <c r="X28" s="1" t="str">
        <f>IF(De_Groeiling[[#This Row],[Model 2
(eis M1 t/m M27)]]="","",De_Groeiling[[#This Row],[Kleur p/j]])</f>
        <v/>
      </c>
    </row>
    <row r="29" spans="1:24" x14ac:dyDescent="0.35">
      <c r="A29" t="s">
        <v>195</v>
      </c>
      <c r="B29" t="s">
        <v>196</v>
      </c>
      <c r="C29" t="s">
        <v>270</v>
      </c>
      <c r="D29" t="s">
        <v>271</v>
      </c>
      <c r="E29" t="s">
        <v>272</v>
      </c>
      <c r="F29" t="s">
        <v>273</v>
      </c>
      <c r="G29" s="104">
        <f>IF(De_Groeiling[[#This Row],[Zw/w p/j]]=0,"",IF((De_Groeiling[[#This Row],[Zw/w p/j]]+De_Groeiling[[#This Row],[Kleur p/j]])&lt;SOTOG!$H$1,1,IF((De_Groeiling[[#This Row],[Zw/w p/j]]+De_Groeiling[[#This Row],[Kleur p/j]])&gt;SOTOG!$G$1,2,"")))</f>
        <v>1</v>
      </c>
      <c r="H29" s="104" t="s">
        <v>553</v>
      </c>
      <c r="I29" s="104" t="str">
        <f>IF(AND(De_Groeiling[[#This Row],[Zw/w p/j]]+De_Groeiling[[#This Row],[Kleur p/j]]&gt;=SOTOG!$H$1,De_Groeiling[[#This Row],[Zw/w p/j]]+De_Groeiling[[#This Row],[Kleur p/j]]&lt;SOTOG!$G$1),1,"")</f>
        <v/>
      </c>
      <c r="J29" s="112">
        <v>44470</v>
      </c>
      <c r="K29" s="1">
        <f>De_Groeiling[[#This Row],[Zw/w p/m]]*12</f>
        <v>102322.5</v>
      </c>
      <c r="L29" s="1">
        <f>De_Groeiling[[#This Row],[kleur p/m]]*12</f>
        <v>61228.5</v>
      </c>
      <c r="M29" s="1">
        <v>8526.875</v>
      </c>
      <c r="N29" s="1">
        <v>5102.375</v>
      </c>
      <c r="O29" s="1">
        <f>IF(De_Groeiling[[#This Row],[Model 1
(eis M1 t/m M27)]]="","",INT(_xlfn.DAYS($Q$1,De_Groeiling[[#This Row],[Datum in gebruikname nieuwe MFP]])/30.41))</f>
        <v>48</v>
      </c>
      <c r="P29" s="1" t="str">
        <f>IF(De_Groeiling[[#This Row],[Model 2
(eis M1 t/m M27)]]="","",INT(_xlfn.DAYS($Q$1,De_Groeiling[[#This Row],[Datum in gebruikname nieuwe MFP]])/30.41))</f>
        <v/>
      </c>
      <c r="Q29" s="1">
        <f>IF(De_Groeiling[[#This Row],[Model 1
(eis M1 t/m M27)]]="","",De_Groeiling[[#This Row],[Zw/w p/m]]*De_Groeiling[[#This Row],[Aantal maanden model 1]])</f>
        <v>409290</v>
      </c>
      <c r="R29" s="1">
        <f>IF(De_Groeiling[[#This Row],[Model 1
(eis M1 t/m M27)]]="","",De_Groeiling[[#This Row],[kleur p/m]]*De_Groeiling[[#This Row],[Aantal maanden model 1]])</f>
        <v>244914</v>
      </c>
      <c r="S29" s="1" t="str">
        <f>IF(De_Groeiling[[#This Row],[Model 2
(eis M1 t/m M27)]]="","",De_Groeiling[[#This Row],[Zw/w p/m]]*De_Groeiling[[#This Row],[Aantal maanden model 2]])</f>
        <v/>
      </c>
      <c r="T29" s="1" t="str">
        <f>IF(De_Groeiling[[#This Row],[Model 2
(eis M1 t/m M27)]]="","",De_Groeiling[[#This Row],[kleur p/m]]*De_Groeiling[[#This Row],[Aantal maanden model 2]])</f>
        <v/>
      </c>
      <c r="U29" s="1">
        <f>IF(De_Groeiling[[#This Row],[Model 1
(eis M1 t/m M27)]]="","",De_Groeiling[[#This Row],[Zw/w p/j]])</f>
        <v>102322.5</v>
      </c>
      <c r="V29" s="1">
        <f>IF(De_Groeiling[[#This Row],[Model 1
(eis M1 t/m M27)]]="","",De_Groeiling[[#This Row],[Kleur p/j]])</f>
        <v>61228.5</v>
      </c>
      <c r="W29" s="1" t="str">
        <f>IF(De_Groeiling[[#This Row],[Model 2
(eis M1 t/m M27)]]="","",De_Groeiling[[#This Row],[Zw/w p/j]])</f>
        <v/>
      </c>
      <c r="X29" s="1" t="str">
        <f>IF(De_Groeiling[[#This Row],[Model 2
(eis M1 t/m M27)]]="","",De_Groeiling[[#This Row],[Kleur p/j]])</f>
        <v/>
      </c>
    </row>
    <row r="30" spans="1:24" x14ac:dyDescent="0.35">
      <c r="A30" t="s">
        <v>188</v>
      </c>
      <c r="B30" t="s">
        <v>9</v>
      </c>
      <c r="C30" t="s">
        <v>256</v>
      </c>
      <c r="D30" t="s">
        <v>257</v>
      </c>
      <c r="E30" t="s">
        <v>247</v>
      </c>
      <c r="F30" t="s">
        <v>258</v>
      </c>
      <c r="G30" s="104">
        <f>IF(De_Groeiling[[#This Row],[Zw/w p/j]]=0,"",IF((De_Groeiling[[#This Row],[Zw/w p/j]]+De_Groeiling[[#This Row],[Kleur p/j]])&lt;SOTOG!$H$1,1,IF((De_Groeiling[[#This Row],[Zw/w p/j]]+De_Groeiling[[#This Row],[Kleur p/j]])&gt;SOTOG!$G$1,2,"")))</f>
        <v>1</v>
      </c>
      <c r="H30" s="104" t="s">
        <v>553</v>
      </c>
      <c r="I30" s="104" t="str">
        <f>IF(AND(De_Groeiling[[#This Row],[Zw/w p/j]]+De_Groeiling[[#This Row],[Kleur p/j]]&gt;=SOTOG!$H$1,De_Groeiling[[#This Row],[Zw/w p/j]]+De_Groeiling[[#This Row],[Kleur p/j]]&lt;SOTOG!$G$1),1,"")</f>
        <v/>
      </c>
      <c r="J30" s="112">
        <v>44470</v>
      </c>
      <c r="K30" s="1">
        <f>De_Groeiling[[#This Row],[Zw/w p/m]]*12</f>
        <v>119259</v>
      </c>
      <c r="L30" s="1">
        <f>De_Groeiling[[#This Row],[kleur p/m]]*12</f>
        <v>55923</v>
      </c>
      <c r="M30" s="1">
        <v>9938.25</v>
      </c>
      <c r="N30" s="1">
        <v>4660.25</v>
      </c>
      <c r="O30" s="1">
        <f>IF(De_Groeiling[[#This Row],[Model 1
(eis M1 t/m M27)]]="","",INT(_xlfn.DAYS($Q$1,De_Groeiling[[#This Row],[Datum in gebruikname nieuwe MFP]])/30.41))</f>
        <v>48</v>
      </c>
      <c r="P30" s="1" t="str">
        <f>IF(De_Groeiling[[#This Row],[Model 2
(eis M1 t/m M27)]]="","",INT(_xlfn.DAYS($Q$1,De_Groeiling[[#This Row],[Datum in gebruikname nieuwe MFP]])/30.41))</f>
        <v/>
      </c>
      <c r="Q30" s="1">
        <f>IF(De_Groeiling[[#This Row],[Model 1
(eis M1 t/m M27)]]="","",De_Groeiling[[#This Row],[Zw/w p/m]]*De_Groeiling[[#This Row],[Aantal maanden model 1]])</f>
        <v>477036</v>
      </c>
      <c r="R30" s="1">
        <f>IF(De_Groeiling[[#This Row],[Model 1
(eis M1 t/m M27)]]="","",De_Groeiling[[#This Row],[kleur p/m]]*De_Groeiling[[#This Row],[Aantal maanden model 1]])</f>
        <v>223692</v>
      </c>
      <c r="S30" s="1" t="str">
        <f>IF(De_Groeiling[[#This Row],[Model 2
(eis M1 t/m M27)]]="","",De_Groeiling[[#This Row],[Zw/w p/m]]*De_Groeiling[[#This Row],[Aantal maanden model 2]])</f>
        <v/>
      </c>
      <c r="T30" s="1" t="str">
        <f>IF(De_Groeiling[[#This Row],[Model 2
(eis M1 t/m M27)]]="","",De_Groeiling[[#This Row],[kleur p/m]]*De_Groeiling[[#This Row],[Aantal maanden model 2]])</f>
        <v/>
      </c>
      <c r="U30" s="1">
        <f>IF(De_Groeiling[[#This Row],[Model 1
(eis M1 t/m M27)]]="","",De_Groeiling[[#This Row],[Zw/w p/j]])</f>
        <v>119259</v>
      </c>
      <c r="V30" s="1">
        <f>IF(De_Groeiling[[#This Row],[Model 1
(eis M1 t/m M27)]]="","",De_Groeiling[[#This Row],[Kleur p/j]])</f>
        <v>55923</v>
      </c>
      <c r="W30" s="1" t="str">
        <f>IF(De_Groeiling[[#This Row],[Model 2
(eis M1 t/m M27)]]="","",De_Groeiling[[#This Row],[Zw/w p/j]])</f>
        <v/>
      </c>
      <c r="X30" s="1" t="str">
        <f>IF(De_Groeiling[[#This Row],[Model 2
(eis M1 t/m M27)]]="","",De_Groeiling[[#This Row],[Kleur p/j]])</f>
        <v/>
      </c>
    </row>
    <row r="31" spans="1:24" x14ac:dyDescent="0.35">
      <c r="A31" t="s">
        <v>182</v>
      </c>
      <c r="B31" t="s">
        <v>183</v>
      </c>
      <c r="C31" t="s">
        <v>245</v>
      </c>
      <c r="D31" t="s">
        <v>246</v>
      </c>
      <c r="E31" t="s">
        <v>247</v>
      </c>
      <c r="F31" t="s">
        <v>248</v>
      </c>
      <c r="G31" s="104" t="str">
        <f>IF(De_Groeiling[[#This Row],[Zw/w p/j]]=0,"",IF((De_Groeiling[[#This Row],[Zw/w p/j]]+De_Groeiling[[#This Row],[Kleur p/j]])&lt;SOTOG!$H$1,1,IF((De_Groeiling[[#This Row],[Zw/w p/j]]+De_Groeiling[[#This Row],[Kleur p/j]])&gt;SOTOG!$G$1,2,"")))</f>
        <v/>
      </c>
      <c r="H31" s="104" t="s">
        <v>553</v>
      </c>
      <c r="I31" s="104">
        <f>IF(AND(De_Groeiling[[#This Row],[Zw/w p/j]]+De_Groeiling[[#This Row],[Kleur p/j]]&gt;=SOTOG!$H$1,De_Groeiling[[#This Row],[Zw/w p/j]]+De_Groeiling[[#This Row],[Kleur p/j]]&lt;SOTOG!$G$1),1,"")</f>
        <v>1</v>
      </c>
      <c r="J31" s="112">
        <v>44470</v>
      </c>
      <c r="K31" s="1">
        <f>De_Groeiling[[#This Row],[Zw/w p/m]]*12</f>
        <v>240694.5</v>
      </c>
      <c r="L31" s="1">
        <f>De_Groeiling[[#This Row],[kleur p/m]]*12</f>
        <v>72741</v>
      </c>
      <c r="M31" s="1">
        <v>20057.875</v>
      </c>
      <c r="N31" s="1">
        <v>6061.75</v>
      </c>
      <c r="O31" s="1" t="str">
        <f>IF(De_Groeiling[[#This Row],[Model 1
(eis M1 t/m M27)]]="","",INT(_xlfn.DAYS($Q$1,De_Groeiling[[#This Row],[Datum in gebruikname nieuwe MFP]])/30.41))</f>
        <v/>
      </c>
      <c r="P31" s="1">
        <f>IF(De_Groeiling[[#This Row],[Model 2
(eis M1 t/m M27)]]="","",INT(_xlfn.DAYS($Q$1,De_Groeiling[[#This Row],[Datum in gebruikname nieuwe MFP]])/30.41))</f>
        <v>48</v>
      </c>
      <c r="Q31" s="1" t="str">
        <f>IF(De_Groeiling[[#This Row],[Model 1
(eis M1 t/m M27)]]="","",De_Groeiling[[#This Row],[Zw/w p/m]]*De_Groeiling[[#This Row],[Aantal maanden model 1]])</f>
        <v/>
      </c>
      <c r="R31" s="1" t="str">
        <f>IF(De_Groeiling[[#This Row],[Model 1
(eis M1 t/m M27)]]="","",De_Groeiling[[#This Row],[kleur p/m]]*De_Groeiling[[#This Row],[Aantal maanden model 1]])</f>
        <v/>
      </c>
      <c r="S31" s="1">
        <f>IF(De_Groeiling[[#This Row],[Model 2
(eis M1 t/m M27)]]="","",De_Groeiling[[#This Row],[Zw/w p/m]]*De_Groeiling[[#This Row],[Aantal maanden model 2]])</f>
        <v>962778</v>
      </c>
      <c r="T31" s="1">
        <f>IF(De_Groeiling[[#This Row],[Model 2
(eis M1 t/m M27)]]="","",De_Groeiling[[#This Row],[kleur p/m]]*De_Groeiling[[#This Row],[Aantal maanden model 2]])</f>
        <v>290964</v>
      </c>
      <c r="U31" s="1" t="str">
        <f>IF(De_Groeiling[[#This Row],[Model 1
(eis M1 t/m M27)]]="","",De_Groeiling[[#This Row],[Zw/w p/j]])</f>
        <v/>
      </c>
      <c r="V31" s="1" t="str">
        <f>IF(De_Groeiling[[#This Row],[Model 1
(eis M1 t/m M27)]]="","",De_Groeiling[[#This Row],[Kleur p/j]])</f>
        <v/>
      </c>
      <c r="W31" s="1">
        <f>IF(De_Groeiling[[#This Row],[Model 2
(eis M1 t/m M27)]]="","",De_Groeiling[[#This Row],[Zw/w p/j]])</f>
        <v>240694.5</v>
      </c>
      <c r="X31" s="1">
        <f>IF(De_Groeiling[[#This Row],[Model 2
(eis M1 t/m M27)]]="","",De_Groeiling[[#This Row],[Kleur p/j]])</f>
        <v>72741</v>
      </c>
    </row>
    <row r="32" spans="1:24" x14ac:dyDescent="0.35">
      <c r="A32" t="s">
        <v>554</v>
      </c>
      <c r="B32" t="s">
        <v>183</v>
      </c>
      <c r="C32" t="s">
        <v>555</v>
      </c>
      <c r="E32" t="s">
        <v>247</v>
      </c>
      <c r="G32" s="104"/>
      <c r="H32" s="104" t="s">
        <v>556</v>
      </c>
      <c r="I32" s="104" t="str">
        <f>IF(AND(De_Groeiling[[#This Row],[Zw/w p/j]]+De_Groeiling[[#This Row],[Kleur p/j]]&gt;=SOTOG!$H$1,De_Groeiling[[#This Row],[Zw/w p/j]]+De_Groeiling[[#This Row],[Kleur p/j]]&lt;SOTOG!$G$1),1,"")</f>
        <v/>
      </c>
      <c r="J32" s="112">
        <v>44470</v>
      </c>
      <c r="K32" s="1">
        <f>De_Groeiling[[#This Row],[Zw/w p/m]]*12</f>
        <v>61755</v>
      </c>
      <c r="L32" s="1">
        <f>De_Groeiling[[#This Row],[kleur p/m]]*12</f>
        <v>8757</v>
      </c>
      <c r="M32" s="1">
        <v>5146.25</v>
      </c>
      <c r="N32" s="1">
        <v>729.75</v>
      </c>
      <c r="O32" s="1" t="str">
        <f>IF(De_Groeiling[[#This Row],[Model 1
(eis M1 t/m M27)]]="","",INT(_xlfn.DAYS($Q$1,De_Groeiling[[#This Row],[Datum in gebruikname nieuwe MFP]])/30.41))</f>
        <v/>
      </c>
      <c r="P32" s="1" t="str">
        <f>IF(De_Groeiling[[#This Row],[Model 2
(eis M1 t/m M27)]]="","",INT(_xlfn.DAYS($Q$1,De_Groeiling[[#This Row],[Datum in gebruikname nieuwe MFP]])/30.41))</f>
        <v/>
      </c>
      <c r="Q32" s="1" t="str">
        <f>IF(De_Groeiling[[#This Row],[Model 1
(eis M1 t/m M27)]]="","",De_Groeiling[[#This Row],[Zw/w p/m]]*De_Groeiling[[#This Row],[Aantal maanden model 1]])</f>
        <v/>
      </c>
      <c r="R32" s="1" t="str">
        <f>IF(De_Groeiling[[#This Row],[Model 1
(eis M1 t/m M27)]]="","",De_Groeiling[[#This Row],[kleur p/m]]*De_Groeiling[[#This Row],[Aantal maanden model 1]])</f>
        <v/>
      </c>
      <c r="S32" s="1" t="str">
        <f>IF(De_Groeiling[[#This Row],[Model 2
(eis M1 t/m M27)]]="","",De_Groeiling[[#This Row],[Zw/w p/m]]*De_Groeiling[[#This Row],[Aantal maanden model 2]])</f>
        <v/>
      </c>
      <c r="T32" s="1" t="str">
        <f>IF(De_Groeiling[[#This Row],[Model 2
(eis M1 t/m M27)]]="","",De_Groeiling[[#This Row],[kleur p/m]]*De_Groeiling[[#This Row],[Aantal maanden model 2]])</f>
        <v/>
      </c>
      <c r="U32" s="1" t="str">
        <f>IF(De_Groeiling[[#This Row],[Model 1
(eis M1 t/m M27)]]="","",De_Groeiling[[#This Row],[Zw/w p/j]])</f>
        <v/>
      </c>
      <c r="V32" s="1" t="str">
        <f>IF(De_Groeiling[[#This Row],[Model 1
(eis M1 t/m M27)]]="","",De_Groeiling[[#This Row],[Kleur p/j]])</f>
        <v/>
      </c>
      <c r="W32" s="1" t="str">
        <f>IF(De_Groeiling[[#This Row],[Model 2
(eis M1 t/m M27)]]="","",De_Groeiling[[#This Row],[Zw/w p/j]])</f>
        <v/>
      </c>
      <c r="X32" s="1" t="str">
        <f>IF(De_Groeiling[[#This Row],[Model 2
(eis M1 t/m M27)]]="","",De_Groeiling[[#This Row],[Kleur p/j]])</f>
        <v/>
      </c>
    </row>
    <row r="33" spans="1:24" x14ac:dyDescent="0.35">
      <c r="A33" t="s">
        <v>7</v>
      </c>
      <c r="G33" s="104">
        <f>SUBTOTAL(109,De_Groeiling[Model 1
(eis M1 t/m M27)])</f>
        <v>17</v>
      </c>
      <c r="H33" s="104"/>
      <c r="I33" s="104">
        <f>SUBTOTAL(109,De_Groeiling[Model 2
(eis M1 t/m M27)])</f>
        <v>12</v>
      </c>
      <c r="K33" s="3">
        <f>SUM(K3:K32)</f>
        <v>3603445.5</v>
      </c>
      <c r="L33" s="3">
        <f>SUM(L3:L32)</f>
        <v>2091190.5</v>
      </c>
      <c r="M33" s="2">
        <f>SUBTOTAL(109,De_Groeiling[Zw/w p/m])</f>
        <v>300287.125</v>
      </c>
      <c r="N33" s="2">
        <f>SUBTOTAL(109,De_Groeiling[kleur p/m])</f>
        <v>174265.875</v>
      </c>
      <c r="O33" s="3">
        <f>SUBTOTAL(109,De_Groeiling[Aantal maanden model 1])-O3</f>
        <v>664</v>
      </c>
      <c r="P33" s="3">
        <f>SUBTOTAL(109,De_Groeiling[Aantal maanden model 2])-P3</f>
        <v>519</v>
      </c>
      <c r="Q33" s="3">
        <f>SUM(Q6:Q32)-Q3</f>
        <v>4119885.5</v>
      </c>
      <c r="R33" s="3">
        <f>SUM(R6:R32)-R3</f>
        <v>2606271.625</v>
      </c>
      <c r="S33" s="3">
        <f>SUM(S6:S32)-S3</f>
        <v>6427132.375</v>
      </c>
      <c r="T33" s="3">
        <f>SUM(T6:T32)-T3</f>
        <v>3548799.125</v>
      </c>
      <c r="U33" s="3">
        <f>SUM(U6:U32)</f>
        <v>1290793.5</v>
      </c>
      <c r="V33" s="3">
        <f>SUM(V6:V32)</f>
        <v>823444.5</v>
      </c>
      <c r="W33" s="3">
        <f>SUM(W6:W32)</f>
        <v>1889001</v>
      </c>
      <c r="X33" s="3">
        <f>SUM(X6:X32)</f>
        <v>989809.5</v>
      </c>
    </row>
    <row r="35" spans="1:24" x14ac:dyDescent="0.35">
      <c r="G35" s="3"/>
      <c r="H35" s="3"/>
      <c r="I35" s="3"/>
      <c r="K35" s="3"/>
      <c r="L35" s="3"/>
      <c r="M35" s="2"/>
      <c r="N35" s="2"/>
      <c r="O35" s="3"/>
      <c r="P35" s="3"/>
    </row>
    <row r="36" spans="1:24" ht="16.5" customHeight="1" x14ac:dyDescent="0.35">
      <c r="F36" s="24" t="s">
        <v>84</v>
      </c>
      <c r="G36" s="191">
        <f>Q1</f>
        <v>45931</v>
      </c>
      <c r="H36" s="44"/>
      <c r="I36" s="43" t="s">
        <v>30</v>
      </c>
      <c r="J36" s="43" t="s">
        <v>31</v>
      </c>
    </row>
    <row r="37" spans="1:24" ht="16.5" customHeight="1" x14ac:dyDescent="0.35">
      <c r="C37" s="33"/>
      <c r="D37" s="33"/>
      <c r="E37" s="33"/>
      <c r="F37" s="41" t="s">
        <v>47</v>
      </c>
      <c r="G37" s="46">
        <v>0</v>
      </c>
      <c r="H37" s="46">
        <v>0</v>
      </c>
      <c r="I37" s="46">
        <v>0</v>
      </c>
      <c r="J37" s="47">
        <v>0</v>
      </c>
      <c r="L37" s="92" t="s">
        <v>38</v>
      </c>
      <c r="M37" s="92" t="s">
        <v>38</v>
      </c>
      <c r="N37" s="92" t="s">
        <v>38</v>
      </c>
      <c r="O37" s="92" t="s">
        <v>38</v>
      </c>
      <c r="P37" s="189"/>
    </row>
    <row r="38" spans="1:24" ht="16.5" customHeight="1" x14ac:dyDescent="0.35">
      <c r="D38" s="33"/>
      <c r="E38" s="33"/>
      <c r="F38" s="41" t="s">
        <v>46</v>
      </c>
      <c r="G38" s="46">
        <v>0</v>
      </c>
      <c r="H38" s="46">
        <v>0</v>
      </c>
      <c r="I38" s="46">
        <v>0</v>
      </c>
      <c r="J38" s="46">
        <v>0</v>
      </c>
      <c r="L38" s="93">
        <f>Q1</f>
        <v>45931</v>
      </c>
      <c r="M38" s="94" t="s">
        <v>54</v>
      </c>
      <c r="N38" s="126">
        <f>Q1</f>
        <v>45931</v>
      </c>
      <c r="O38" s="95" t="s">
        <v>55</v>
      </c>
      <c r="P38" s="190"/>
    </row>
    <row r="39" spans="1:24" ht="16.5" customHeight="1" x14ac:dyDescent="0.35">
      <c r="D39" s="33"/>
      <c r="E39" s="33"/>
      <c r="F39" s="41"/>
      <c r="G39" s="97"/>
      <c r="H39" s="97"/>
      <c r="I39" s="97"/>
      <c r="J39" s="97"/>
      <c r="L39" s="51">
        <f>MROUND(De_Groeiling[[#Totals],['# zw/w afdrukken M1]]+De_Groeiling[[#Totals],['# zw/w afdrukken M2]],1000)</f>
        <v>10547000</v>
      </c>
      <c r="M39" s="51">
        <f>MROUND(De_Groeiling[[#Totals],[Aantal zw/w afdrukken per optiejaar M1]]+De_Groeiling[[#Totals],[Aantal zw/w afdrukken per optiejaar M2]],1000)</f>
        <v>3180000</v>
      </c>
      <c r="N39" s="51">
        <f>MROUND(De_Groeiling[[#Totals],['# kleur afdrukken M1]]+De_Groeiling[[#Totals],['# kleur afdrukken M2]],1000)</f>
        <v>6155000</v>
      </c>
      <c r="O39" s="51">
        <f>MROUND(De_Groeiling[[#Totals],[Aantal kleur afdrukken per optiejaar M1]]+De_Groeiling[[#Totals],[Aantal kleur afdrukken per optiejaar M2]],1000)</f>
        <v>1813000</v>
      </c>
      <c r="P39" s="96"/>
    </row>
    <row r="40" spans="1:24" ht="16.5" customHeight="1" x14ac:dyDescent="0.35">
      <c r="F40" s="24" t="s">
        <v>83</v>
      </c>
      <c r="G40" s="6"/>
      <c r="H40" s="6"/>
      <c r="I40" s="6"/>
      <c r="J40" s="6"/>
    </row>
    <row r="41" spans="1:24" ht="16.5" customHeight="1" x14ac:dyDescent="0.35">
      <c r="D41" s="32"/>
      <c r="F41" s="23" t="s">
        <v>33</v>
      </c>
      <c r="G41" s="48">
        <v>0</v>
      </c>
      <c r="H41" s="48">
        <v>0</v>
      </c>
      <c r="I41" s="48">
        <v>0</v>
      </c>
      <c r="J41" s="48">
        <v>0</v>
      </c>
      <c r="L41" s="3"/>
      <c r="N41" s="3"/>
    </row>
    <row r="42" spans="1:24" ht="16.5" customHeight="1" x14ac:dyDescent="0.35">
      <c r="D42" s="31"/>
      <c r="E42" s="31"/>
      <c r="F42" s="23" t="s">
        <v>16</v>
      </c>
      <c r="G42" s="48">
        <v>0</v>
      </c>
      <c r="H42" s="48">
        <v>0</v>
      </c>
      <c r="I42" s="48">
        <v>0</v>
      </c>
      <c r="J42" s="48">
        <v>0</v>
      </c>
    </row>
    <row r="43" spans="1:24" ht="16.5" customHeight="1" x14ac:dyDescent="0.35">
      <c r="C43" s="23"/>
      <c r="D43" s="23"/>
      <c r="E43" s="23"/>
      <c r="F43" s="23"/>
      <c r="G43" s="6"/>
      <c r="H43" s="6"/>
      <c r="I43" s="6"/>
      <c r="J43" s="6"/>
      <c r="M43" s="25"/>
    </row>
    <row r="44" spans="1:24" ht="16.5" customHeight="1" x14ac:dyDescent="0.35">
      <c r="C44" s="23"/>
      <c r="D44" s="23"/>
      <c r="E44" s="23"/>
      <c r="F44" s="24" t="s">
        <v>82</v>
      </c>
      <c r="G44" s="6"/>
      <c r="H44" s="6"/>
      <c r="I44" s="6"/>
      <c r="J44" s="6"/>
      <c r="M44" s="25"/>
    </row>
    <row r="45" spans="1:24" ht="16.5" customHeight="1" x14ac:dyDescent="0.35">
      <c r="C45" s="23"/>
      <c r="D45" s="23"/>
      <c r="E45" s="23"/>
      <c r="F45" s="23" t="s">
        <v>591</v>
      </c>
      <c r="G45" s="49">
        <v>0</v>
      </c>
      <c r="H45" s="49">
        <v>0</v>
      </c>
      <c r="I45" s="49">
        <v>0</v>
      </c>
      <c r="J45" s="49">
        <v>0</v>
      </c>
    </row>
    <row r="46" spans="1:24" ht="16.5" customHeight="1" x14ac:dyDescent="0.35">
      <c r="C46" s="23"/>
      <c r="D46" s="23"/>
      <c r="E46" s="23"/>
      <c r="F46" s="23"/>
    </row>
    <row r="47" spans="1:24" ht="16.5" customHeight="1" x14ac:dyDescent="0.35">
      <c r="C47" s="23"/>
      <c r="D47" s="23"/>
      <c r="E47" s="23"/>
      <c r="F47" s="81" t="s">
        <v>79</v>
      </c>
    </row>
    <row r="48" spans="1:24" ht="16.5" customHeight="1" x14ac:dyDescent="0.35">
      <c r="C48" s="31"/>
      <c r="D48" s="31"/>
      <c r="E48" s="31"/>
      <c r="F48" s="99" t="s">
        <v>80</v>
      </c>
      <c r="G48" s="50">
        <v>0</v>
      </c>
      <c r="H48" s="114"/>
      <c r="I48" s="11" t="s">
        <v>88</v>
      </c>
      <c r="J48" s="25"/>
    </row>
    <row r="49" spans="3:16" ht="16.5" customHeight="1" x14ac:dyDescent="0.35">
      <c r="D49" s="31"/>
      <c r="E49" s="31"/>
      <c r="F49" s="160" t="s">
        <v>81</v>
      </c>
      <c r="G49" s="50">
        <v>0</v>
      </c>
      <c r="H49" s="114"/>
      <c r="I49" s="11" t="s">
        <v>88</v>
      </c>
      <c r="J49" s="25"/>
    </row>
    <row r="50" spans="3:16" ht="16.5" customHeight="1" x14ac:dyDescent="0.35">
      <c r="C50" s="23"/>
      <c r="D50" s="23"/>
      <c r="E50" s="23"/>
      <c r="F50" s="23"/>
    </row>
    <row r="51" spans="3:16" ht="16.5" customHeight="1" x14ac:dyDescent="0.35">
      <c r="C51" s="107"/>
      <c r="D51" s="107"/>
      <c r="E51" s="107"/>
      <c r="F51" s="81" t="s">
        <v>617</v>
      </c>
      <c r="G51" s="43" t="s">
        <v>56</v>
      </c>
      <c r="H51" s="43"/>
      <c r="I51" s="43" t="s">
        <v>57</v>
      </c>
      <c r="J51" s="43" t="s">
        <v>58</v>
      </c>
      <c r="K51" s="43" t="s">
        <v>59</v>
      </c>
      <c r="L51" s="43" t="s">
        <v>60</v>
      </c>
      <c r="M51" s="43" t="s">
        <v>61</v>
      </c>
      <c r="N51" s="43" t="s">
        <v>62</v>
      </c>
      <c r="O51" s="43" t="s">
        <v>63</v>
      </c>
      <c r="P51" s="186"/>
    </row>
    <row r="52" spans="3:16" ht="16.5" customHeight="1" x14ac:dyDescent="0.35">
      <c r="C52" s="41"/>
      <c r="D52" s="41"/>
      <c r="E52" s="41"/>
      <c r="F52" s="41" t="s">
        <v>588</v>
      </c>
      <c r="G52" s="62"/>
      <c r="H52" s="62"/>
      <c r="I52" s="62"/>
      <c r="J52" s="62"/>
      <c r="K52" s="62"/>
      <c r="L52" s="62"/>
      <c r="M52" s="62"/>
      <c r="N52" s="62"/>
      <c r="O52" s="62"/>
      <c r="P52" s="187"/>
    </row>
    <row r="53" spans="3:16" ht="16.5" customHeight="1" x14ac:dyDescent="0.35">
      <c r="C53" s="41"/>
      <c r="D53" s="41"/>
      <c r="E53" s="41"/>
      <c r="F53" s="41" t="s">
        <v>587</v>
      </c>
      <c r="G53" s="62"/>
      <c r="H53" s="62"/>
      <c r="I53" s="62"/>
      <c r="J53" s="62"/>
      <c r="K53" s="62"/>
      <c r="L53" s="62"/>
      <c r="M53" s="62"/>
      <c r="N53" s="62"/>
      <c r="O53" s="62"/>
      <c r="P53" s="187"/>
    </row>
    <row r="54" spans="3:16" ht="16.5" customHeight="1" x14ac:dyDescent="0.35">
      <c r="C54" s="41"/>
      <c r="D54" s="41"/>
      <c r="E54" s="41"/>
      <c r="F54" s="41" t="s">
        <v>35</v>
      </c>
      <c r="G54" s="62"/>
      <c r="H54" s="62"/>
      <c r="I54" s="62"/>
      <c r="J54" s="62"/>
      <c r="K54" s="62"/>
      <c r="L54" s="62"/>
      <c r="M54" s="62"/>
      <c r="N54" s="62"/>
      <c r="O54" s="62"/>
      <c r="P54" s="187"/>
    </row>
    <row r="55" spans="3:16" ht="16.5" customHeight="1" x14ac:dyDescent="0.35">
      <c r="C55" s="41"/>
      <c r="D55" s="41"/>
      <c r="E55" s="41"/>
      <c r="F55" s="41" t="s">
        <v>589</v>
      </c>
      <c r="G55" s="62"/>
      <c r="H55" s="62"/>
      <c r="I55" s="62"/>
      <c r="J55" s="62"/>
      <c r="K55" s="62"/>
      <c r="L55" s="62"/>
      <c r="M55" s="62"/>
      <c r="N55" s="62"/>
      <c r="O55" s="62"/>
      <c r="P55" s="187"/>
    </row>
    <row r="56" spans="3:16" ht="16.5" customHeight="1" x14ac:dyDescent="0.35">
      <c r="C56" s="41"/>
      <c r="D56" s="41"/>
      <c r="E56" s="41"/>
      <c r="F56" s="41" t="s">
        <v>36</v>
      </c>
      <c r="G56" s="62"/>
      <c r="H56" s="62"/>
      <c r="I56" s="82"/>
      <c r="J56" s="62"/>
      <c r="K56" s="62"/>
      <c r="L56" s="62"/>
      <c r="M56" s="62"/>
      <c r="N56" s="62"/>
      <c r="O56" s="62"/>
      <c r="P56" s="187"/>
    </row>
    <row r="57" spans="3:16" ht="16.5" customHeight="1" x14ac:dyDescent="0.35">
      <c r="C57" s="41"/>
      <c r="D57" s="41"/>
      <c r="E57" s="41"/>
      <c r="F57" s="41" t="s">
        <v>590</v>
      </c>
      <c r="G57" s="62"/>
      <c r="H57" s="62"/>
      <c r="I57" s="62"/>
      <c r="J57" s="62"/>
      <c r="K57" s="62"/>
      <c r="L57" s="62"/>
      <c r="M57" s="62"/>
      <c r="N57" s="62"/>
      <c r="O57" s="62"/>
      <c r="P57" s="187"/>
    </row>
    <row r="58" spans="3:16" ht="16.5" customHeight="1" x14ac:dyDescent="0.35">
      <c r="C58" s="41"/>
      <c r="D58" s="41"/>
      <c r="E58" s="41"/>
      <c r="F58" s="41" t="s">
        <v>37</v>
      </c>
      <c r="G58" s="62"/>
      <c r="H58" s="62"/>
      <c r="I58" s="62"/>
      <c r="J58" s="62"/>
      <c r="K58" s="62"/>
      <c r="L58" s="62"/>
      <c r="M58" s="62"/>
      <c r="N58" s="62"/>
      <c r="O58" s="62"/>
      <c r="P58" s="187"/>
    </row>
    <row r="59" spans="3:16" ht="16.5" customHeight="1" x14ac:dyDescent="0.35">
      <c r="C59" s="23"/>
      <c r="D59" s="23"/>
      <c r="E59" s="23"/>
      <c r="F59" s="24" t="s">
        <v>65</v>
      </c>
      <c r="G59" s="50">
        <v>0</v>
      </c>
      <c r="H59" s="50">
        <v>0</v>
      </c>
      <c r="I59" s="50">
        <v>0</v>
      </c>
      <c r="J59" s="50">
        <v>0</v>
      </c>
      <c r="K59" s="50">
        <v>0</v>
      </c>
      <c r="L59" s="50">
        <v>0</v>
      </c>
      <c r="M59" s="50">
        <v>0</v>
      </c>
      <c r="N59" s="50">
        <v>0</v>
      </c>
      <c r="O59" s="50">
        <v>0</v>
      </c>
      <c r="P59" s="114"/>
    </row>
    <row r="60" spans="3:16" ht="16.5" customHeight="1" x14ac:dyDescent="0.35">
      <c r="C60" s="23"/>
      <c r="D60" s="23"/>
      <c r="E60" s="23"/>
      <c r="F60" s="24" t="s">
        <v>64</v>
      </c>
      <c r="G60" s="50">
        <v>0</v>
      </c>
      <c r="H60" s="50">
        <v>0</v>
      </c>
      <c r="I60" s="50">
        <v>0</v>
      </c>
      <c r="J60" s="50">
        <v>0</v>
      </c>
      <c r="K60" s="50">
        <v>0</v>
      </c>
      <c r="L60" s="50">
        <v>0</v>
      </c>
      <c r="M60" s="50">
        <v>0</v>
      </c>
      <c r="N60" s="50">
        <v>0</v>
      </c>
      <c r="O60" s="50">
        <v>0</v>
      </c>
      <c r="P60" s="114"/>
    </row>
    <row r="61" spans="3:16" ht="16.5" customHeight="1" x14ac:dyDescent="0.35">
      <c r="C61" s="23"/>
      <c r="D61" s="23"/>
      <c r="E61" s="23"/>
      <c r="F61" s="23"/>
      <c r="G61" s="25"/>
      <c r="H61" s="25"/>
      <c r="I61" s="25"/>
      <c r="J61" s="25"/>
    </row>
    <row r="62" spans="3:16" ht="16.5" customHeight="1" x14ac:dyDescent="0.35">
      <c r="C62" s="184"/>
      <c r="D62" s="184"/>
      <c r="E62" s="184"/>
      <c r="F62" s="24" t="s">
        <v>611</v>
      </c>
      <c r="G62" s="85"/>
      <c r="H62" s="25"/>
      <c r="I62" s="25"/>
      <c r="J62" s="25"/>
    </row>
    <row r="63" spans="3:16" ht="16.5" customHeight="1" x14ac:dyDescent="0.35">
      <c r="C63" s="184"/>
      <c r="D63" s="184"/>
      <c r="E63" s="184"/>
      <c r="F63" s="41" t="s">
        <v>612</v>
      </c>
      <c r="G63" s="50">
        <v>0</v>
      </c>
      <c r="H63" s="25"/>
      <c r="I63" s="25"/>
      <c r="J63" s="25"/>
    </row>
    <row r="64" spans="3:16" ht="16.5" customHeight="1" x14ac:dyDescent="0.35">
      <c r="C64" s="184"/>
      <c r="D64" s="184"/>
      <c r="E64" s="184"/>
      <c r="F64" s="41" t="s">
        <v>613</v>
      </c>
      <c r="G64" s="50">
        <v>0</v>
      </c>
      <c r="H64" s="25"/>
      <c r="I64" s="25"/>
      <c r="J64" s="25"/>
    </row>
    <row r="65" spans="3:11" ht="16.5" customHeight="1" x14ac:dyDescent="0.35">
      <c r="C65" s="184"/>
      <c r="D65" s="184"/>
      <c r="E65" s="184"/>
      <c r="F65" s="184"/>
      <c r="G65" s="25"/>
      <c r="H65" s="25"/>
      <c r="I65" s="25"/>
      <c r="J65" s="25"/>
    </row>
    <row r="66" spans="3:11" ht="16.5" customHeight="1" x14ac:dyDescent="0.35">
      <c r="C66" s="23"/>
      <c r="D66" s="23"/>
      <c r="E66" s="23"/>
      <c r="F66" s="23"/>
      <c r="G66" s="188">
        <f>Q1</f>
        <v>45931</v>
      </c>
      <c r="H66" s="44"/>
      <c r="I66" s="43" t="s">
        <v>30</v>
      </c>
      <c r="J66" s="43" t="s">
        <v>31</v>
      </c>
    </row>
    <row r="67" spans="3:11" ht="16.5" customHeight="1" x14ac:dyDescent="0.35">
      <c r="C67" s="193"/>
      <c r="D67" s="193"/>
      <c r="E67" s="193"/>
      <c r="F67" s="41" t="s">
        <v>87</v>
      </c>
      <c r="G67" s="63">
        <v>0</v>
      </c>
      <c r="H67" s="115"/>
      <c r="K67" s="12"/>
    </row>
    <row r="68" spans="3:11" ht="16.5" customHeight="1" x14ac:dyDescent="0.35">
      <c r="C68" s="199" t="s">
        <v>85</v>
      </c>
      <c r="D68" s="199"/>
      <c r="E68" s="199"/>
      <c r="F68" s="199"/>
      <c r="G68" s="63">
        <v>0</v>
      </c>
      <c r="H68" s="115"/>
      <c r="K68" s="12" t="s">
        <v>19</v>
      </c>
    </row>
    <row r="69" spans="3:11" ht="16.5" customHeight="1" x14ac:dyDescent="0.35">
      <c r="C69" s="199" t="s">
        <v>66</v>
      </c>
      <c r="D69" s="199"/>
      <c r="E69" s="199"/>
      <c r="F69" s="199"/>
      <c r="G69" s="64">
        <v>0</v>
      </c>
      <c r="H69" s="64"/>
      <c r="I69" s="64">
        <v>0</v>
      </c>
      <c r="J69" s="64">
        <v>0</v>
      </c>
      <c r="K69" s="12" t="s">
        <v>19</v>
      </c>
    </row>
    <row r="70" spans="3:11" ht="16.5" customHeight="1" x14ac:dyDescent="0.35">
      <c r="C70" s="199" t="s">
        <v>67</v>
      </c>
      <c r="D70" s="199"/>
      <c r="E70" s="199"/>
      <c r="F70" s="199"/>
      <c r="G70" s="64">
        <v>0</v>
      </c>
      <c r="H70" s="64"/>
      <c r="I70" s="64">
        <v>0</v>
      </c>
      <c r="J70" s="64">
        <v>0</v>
      </c>
      <c r="K70" s="12" t="s">
        <v>19</v>
      </c>
    </row>
    <row r="71" spans="3:11" ht="16.5" customHeight="1" x14ac:dyDescent="0.35">
      <c r="C71" s="199" t="s">
        <v>68</v>
      </c>
      <c r="D71" s="199"/>
      <c r="E71" s="199"/>
      <c r="F71" s="199"/>
      <c r="G71" s="64">
        <v>0</v>
      </c>
      <c r="H71" s="64"/>
      <c r="I71" s="64">
        <v>0</v>
      </c>
      <c r="J71" s="64">
        <v>0</v>
      </c>
      <c r="K71" s="12" t="s">
        <v>19</v>
      </c>
    </row>
    <row r="72" spans="3:11" ht="16.5" customHeight="1" x14ac:dyDescent="0.35">
      <c r="C72" s="199" t="s">
        <v>69</v>
      </c>
      <c r="D72" s="199"/>
      <c r="E72" s="199"/>
      <c r="F72" s="199"/>
      <c r="G72" s="64">
        <v>0</v>
      </c>
      <c r="H72" s="64"/>
      <c r="I72" s="64">
        <v>0</v>
      </c>
      <c r="J72" s="64">
        <v>0</v>
      </c>
      <c r="K72" s="12" t="s">
        <v>19</v>
      </c>
    </row>
    <row r="73" spans="3:11" ht="16.5" customHeight="1" x14ac:dyDescent="0.35">
      <c r="C73" s="199" t="s">
        <v>72</v>
      </c>
      <c r="D73" s="199"/>
      <c r="E73" s="199" t="s">
        <v>20</v>
      </c>
      <c r="F73" s="199"/>
      <c r="G73" s="64">
        <v>0</v>
      </c>
      <c r="H73" s="64"/>
      <c r="I73" s="64">
        <v>0</v>
      </c>
      <c r="J73" s="64">
        <v>0</v>
      </c>
      <c r="K73" s="12" t="s">
        <v>19</v>
      </c>
    </row>
    <row r="74" spans="3:11" ht="16.5" customHeight="1" x14ac:dyDescent="0.35">
      <c r="C74" s="199" t="s">
        <v>73</v>
      </c>
      <c r="D74" s="199"/>
      <c r="E74" s="199" t="s">
        <v>20</v>
      </c>
      <c r="F74" s="199"/>
      <c r="G74" s="64">
        <v>0</v>
      </c>
      <c r="H74" s="64"/>
      <c r="I74" s="64">
        <v>0</v>
      </c>
      <c r="J74" s="64">
        <v>0</v>
      </c>
      <c r="K74" s="12" t="s">
        <v>19</v>
      </c>
    </row>
    <row r="75" spans="3:11" ht="16.5" customHeight="1" x14ac:dyDescent="0.35">
      <c r="C75" s="199" t="s">
        <v>70</v>
      </c>
      <c r="D75" s="199"/>
      <c r="E75" s="199" t="s">
        <v>20</v>
      </c>
      <c r="F75" s="199"/>
      <c r="G75" s="64">
        <v>0</v>
      </c>
      <c r="H75" s="64"/>
      <c r="I75" s="64">
        <v>0</v>
      </c>
      <c r="J75" s="64">
        <v>0</v>
      </c>
      <c r="K75" s="12" t="s">
        <v>19</v>
      </c>
    </row>
    <row r="76" spans="3:11" ht="16.5" customHeight="1" x14ac:dyDescent="0.35">
      <c r="C76" s="199" t="s">
        <v>71</v>
      </c>
      <c r="D76" s="199"/>
      <c r="E76" s="199" t="s">
        <v>20</v>
      </c>
      <c r="F76" s="199"/>
      <c r="G76" s="64">
        <v>0</v>
      </c>
      <c r="H76" s="64"/>
      <c r="I76" s="64">
        <v>0</v>
      </c>
      <c r="J76" s="64">
        <v>0</v>
      </c>
      <c r="K76" s="12" t="s">
        <v>19</v>
      </c>
    </row>
    <row r="77" spans="3:11" ht="16.5" customHeight="1" thickBot="1" x14ac:dyDescent="0.4">
      <c r="C77" s="23"/>
      <c r="D77" s="23"/>
      <c r="E77" s="23"/>
      <c r="F77" s="23"/>
      <c r="G77" s="28"/>
      <c r="H77" s="28"/>
      <c r="I77" s="28"/>
      <c r="J77" s="28"/>
      <c r="K77" s="12"/>
    </row>
    <row r="78" spans="3:11" ht="16.5" customHeight="1" x14ac:dyDescent="0.35">
      <c r="D78" s="65"/>
      <c r="E78" s="195"/>
      <c r="F78" s="194" t="s">
        <v>53</v>
      </c>
      <c r="G78" s="192">
        <f>Q1</f>
        <v>45931</v>
      </c>
      <c r="H78" s="67"/>
      <c r="I78" s="68" t="s">
        <v>30</v>
      </c>
      <c r="J78" s="68" t="s">
        <v>31</v>
      </c>
      <c r="K78" s="69" t="s">
        <v>52</v>
      </c>
    </row>
    <row r="79" spans="3:11" ht="16.5" customHeight="1" x14ac:dyDescent="0.35">
      <c r="C79" s="31"/>
      <c r="D79" s="70"/>
      <c r="E79" s="52"/>
      <c r="F79" s="53" t="s">
        <v>49</v>
      </c>
      <c r="G79" s="54">
        <f>G37*De_Groeiling[[#Totals],[Aantal maanden model 1]]</f>
        <v>0</v>
      </c>
      <c r="H79" s="54"/>
      <c r="I79" s="54">
        <f>I37*De_Groeiling[[#Totals],[Model 1
(eis M1 t/m M27)]]*12</f>
        <v>0</v>
      </c>
      <c r="J79" s="54">
        <f>J37*De_Groeiling[[#Totals],[Model 1
(eis M1 t/m M27)]]*12</f>
        <v>0</v>
      </c>
      <c r="K79" s="71">
        <f t="shared" ref="K79:K84" si="1">SUM(G79:J79)</f>
        <v>0</v>
      </c>
    </row>
    <row r="80" spans="3:11" ht="16.5" customHeight="1" x14ac:dyDescent="0.35">
      <c r="C80" s="31"/>
      <c r="D80" s="72"/>
      <c r="E80" s="55"/>
      <c r="F80" s="56" t="s">
        <v>48</v>
      </c>
      <c r="G80" s="57">
        <f>G38*De_Groeiling[[#Totals],[Aantal maanden model 2]]</f>
        <v>0</v>
      </c>
      <c r="H80" s="57"/>
      <c r="I80" s="57">
        <f>I38*De_Groeiling[[#Totals],[Model 2
(eis M1 t/m M27)]]*12</f>
        <v>0</v>
      </c>
      <c r="J80" s="57">
        <f>J38*De_Groeiling[[#Totals],[Model 2
(eis M1 t/m M27)]]*12</f>
        <v>0</v>
      </c>
      <c r="K80" s="73">
        <f t="shared" si="1"/>
        <v>0</v>
      </c>
    </row>
    <row r="81" spans="3:12" ht="16.5" customHeight="1" x14ac:dyDescent="0.35">
      <c r="C81" s="31"/>
      <c r="D81" s="70"/>
      <c r="E81" s="52"/>
      <c r="F81" s="53" t="s">
        <v>50</v>
      </c>
      <c r="G81" s="54">
        <f>G41*L39</f>
        <v>0</v>
      </c>
      <c r="H81" s="54"/>
      <c r="I81" s="54">
        <f>I41*M39</f>
        <v>0</v>
      </c>
      <c r="J81" s="54">
        <f>J41*M39</f>
        <v>0</v>
      </c>
      <c r="K81" s="71">
        <f t="shared" si="1"/>
        <v>0</v>
      </c>
    </row>
    <row r="82" spans="3:12" ht="16.5" customHeight="1" x14ac:dyDescent="0.35">
      <c r="C82" s="31"/>
      <c r="D82" s="72"/>
      <c r="E82" s="55"/>
      <c r="F82" s="56" t="s">
        <v>51</v>
      </c>
      <c r="G82" s="57">
        <f>G42*N39</f>
        <v>0</v>
      </c>
      <c r="H82" s="57"/>
      <c r="I82" s="57">
        <f>I42*O39</f>
        <v>0</v>
      </c>
      <c r="J82" s="57">
        <f>J42*O39</f>
        <v>0</v>
      </c>
      <c r="K82" s="73">
        <f t="shared" si="1"/>
        <v>0</v>
      </c>
      <c r="L82" s="38"/>
    </row>
    <row r="83" spans="3:12" ht="16.5" customHeight="1" x14ac:dyDescent="0.35">
      <c r="C83" s="40"/>
      <c r="D83" s="74"/>
      <c r="E83" s="58"/>
      <c r="F83" s="53" t="s">
        <v>29</v>
      </c>
      <c r="G83" s="54">
        <f>G45*(De_Groeiling[[#Totals],[Model 1
(eis M1 t/m M27)]]+De_Groeiling[[#Totals],[Model 2
(eis M1 t/m M27)]])*48</f>
        <v>0</v>
      </c>
      <c r="H83" s="54"/>
      <c r="I83" s="54">
        <f>I45*(De_Groeiling[[#Totals],[Model 1
(eis M1 t/m M27)]]+De_Groeiling[[#Totals],[Model 2
(eis M1 t/m M27)]])*12</f>
        <v>0</v>
      </c>
      <c r="J83" s="54">
        <f>J45*(De_Groeiling[[#Totals],[Model 1
(eis M1 t/m M27)]]+De_Groeiling[[#Totals],[Model 2
(eis M1 t/m M27)]])*12</f>
        <v>0</v>
      </c>
      <c r="K83" s="71">
        <f t="shared" si="1"/>
        <v>0</v>
      </c>
      <c r="L83" s="38"/>
    </row>
    <row r="84" spans="3:12" ht="16.5" customHeight="1" x14ac:dyDescent="0.35">
      <c r="C84" s="40"/>
      <c r="D84" s="75"/>
      <c r="E84" s="59"/>
      <c r="F84" s="56" t="s">
        <v>617</v>
      </c>
      <c r="G84" s="57">
        <f>SUM(G59:O59)*48*(De_Groeiling[[#Totals],[Model 1
(eis M1 t/m M27)]]+De_Groeiling[[#Totals],[Model 2
(eis M1 t/m M27)]])</f>
        <v>0</v>
      </c>
      <c r="H84" s="57"/>
      <c r="I84" s="57">
        <f>SUM(G60:O60)*12*(De_Groeiling[[#Totals],[Model 1
(eis M1 t/m M27)]]+De_Groeiling[[#Totals],[Model 2
(eis M1 t/m M27)]])</f>
        <v>0</v>
      </c>
      <c r="J84" s="57">
        <f>SUM(G60:O60)*12*(De_Groeiling[[#Totals],[Model 1
(eis M1 t/m M27)]]+De_Groeiling[[#Totals],[Model 2
(eis M1 t/m M27)]])</f>
        <v>0</v>
      </c>
      <c r="K84" s="73">
        <f t="shared" si="1"/>
        <v>0</v>
      </c>
      <c r="L84" s="38"/>
    </row>
    <row r="85" spans="3:12" ht="16.5" customHeight="1" x14ac:dyDescent="0.35">
      <c r="C85" s="40"/>
      <c r="D85" s="74"/>
      <c r="E85" s="58"/>
      <c r="F85" s="60" t="s">
        <v>17</v>
      </c>
      <c r="G85" s="89"/>
      <c r="H85" s="89"/>
      <c r="I85" s="89"/>
      <c r="J85" s="89"/>
      <c r="K85" s="71">
        <f>G48</f>
        <v>0</v>
      </c>
    </row>
    <row r="86" spans="3:12" ht="16.5" customHeight="1" thickBot="1" x14ac:dyDescent="0.4">
      <c r="C86" s="39"/>
      <c r="D86" s="76"/>
      <c r="E86" s="77"/>
      <c r="F86" s="78" t="s">
        <v>18</v>
      </c>
      <c r="G86" s="90"/>
      <c r="H86" s="90"/>
      <c r="I86" s="90"/>
      <c r="J86" s="90"/>
      <c r="K86" s="79">
        <f>G49</f>
        <v>0</v>
      </c>
    </row>
    <row r="87" spans="3:12" ht="24" thickBot="1" x14ac:dyDescent="0.6">
      <c r="C87" s="15"/>
      <c r="D87" s="15"/>
      <c r="E87" s="16"/>
      <c r="G87" s="14"/>
      <c r="H87" s="14"/>
      <c r="I87" s="14"/>
      <c r="J87" s="14"/>
    </row>
    <row r="88" spans="3:12" ht="24" thickBot="1" x14ac:dyDescent="0.6">
      <c r="G88" s="17"/>
      <c r="H88" s="17"/>
      <c r="I88" s="91" t="s">
        <v>21</v>
      </c>
      <c r="J88" s="200">
        <f>SUM(K79:K87)</f>
        <v>0</v>
      </c>
      <c r="K88" s="201"/>
    </row>
    <row r="89" spans="3:12" x14ac:dyDescent="0.35">
      <c r="L89" s="42"/>
    </row>
    <row r="90" spans="3:12" ht="15" x14ac:dyDescent="0.35">
      <c r="E90" s="88" t="s">
        <v>76</v>
      </c>
      <c r="L90" s="42"/>
    </row>
    <row r="91" spans="3:12" ht="15" x14ac:dyDescent="0.35">
      <c r="E91" s="88" t="s">
        <v>77</v>
      </c>
      <c r="F91" s="42"/>
      <c r="G91" s="42"/>
      <c r="H91" s="42"/>
      <c r="I91" s="42"/>
      <c r="J91" s="42"/>
      <c r="K91" s="42"/>
      <c r="L91" s="13"/>
    </row>
    <row r="92" spans="3:12" ht="15" x14ac:dyDescent="0.35">
      <c r="E92" s="87" t="s">
        <v>78</v>
      </c>
      <c r="F92" s="42"/>
      <c r="G92" s="42"/>
      <c r="H92" s="42"/>
      <c r="I92" s="42"/>
      <c r="J92" s="42"/>
      <c r="K92" s="42"/>
    </row>
    <row r="93" spans="3:12" x14ac:dyDescent="0.35">
      <c r="F93" s="13"/>
      <c r="G93" s="13"/>
      <c r="H93" s="13"/>
      <c r="I93" s="13"/>
      <c r="J93" s="13"/>
      <c r="K93" s="13"/>
    </row>
  </sheetData>
  <mergeCells count="10">
    <mergeCell ref="J88:K88"/>
    <mergeCell ref="C68:F68"/>
    <mergeCell ref="C69:F69"/>
    <mergeCell ref="C70:F70"/>
    <mergeCell ref="C71:F71"/>
    <mergeCell ref="C72:F72"/>
    <mergeCell ref="C73:F73"/>
    <mergeCell ref="C74:F74"/>
    <mergeCell ref="C75:F75"/>
    <mergeCell ref="C76:F76"/>
  </mergeCells>
  <phoneticPr fontId="2" type="noConversion"/>
  <conditionalFormatting sqref="A4:X32">
    <cfRule type="expression" dxfId="1" priority="2">
      <formula>$J4&gt;44470</formula>
    </cfRule>
  </conditionalFormatting>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EFBB5-E4FF-4852-AFF9-07D74819C3F8}">
  <sheetPr>
    <tabColor theme="4" tint="0.39997558519241921"/>
  </sheetPr>
  <dimension ref="A1:W84"/>
  <sheetViews>
    <sheetView showGridLines="0" zoomScale="90" zoomScaleNormal="90" workbookViewId="0">
      <pane ySplit="3" topLeftCell="A4" activePane="bottomLeft" state="frozen"/>
      <selection activeCell="C71" sqref="C71:F71"/>
      <selection pane="bottomLeft" activeCell="G3" sqref="G3"/>
    </sheetView>
  </sheetViews>
  <sheetFormatPr defaultColWidth="15.81640625" defaultRowHeight="14.5" x14ac:dyDescent="0.35"/>
  <cols>
    <col min="2" max="2" width="25.81640625" customWidth="1"/>
    <col min="3" max="3" width="21.7265625" bestFit="1" customWidth="1"/>
    <col min="4" max="4" width="8.1796875" bestFit="1" customWidth="1"/>
    <col min="5" max="22" width="20.81640625" customWidth="1"/>
    <col min="23" max="23" width="15.81640625" customWidth="1"/>
  </cols>
  <sheetData>
    <row r="1" spans="1:17" hidden="1" x14ac:dyDescent="0.35">
      <c r="N1" s="4">
        <f>H18</f>
        <v>44681</v>
      </c>
      <c r="O1" s="4">
        <v>46143</v>
      </c>
    </row>
    <row r="2" spans="1:17" s="36" customFormat="1" ht="26" x14ac:dyDescent="0.3">
      <c r="A2" s="10" t="s">
        <v>1</v>
      </c>
      <c r="B2" s="10" t="s">
        <v>2</v>
      </c>
      <c r="C2" s="10" t="s">
        <v>3</v>
      </c>
      <c r="D2" s="10" t="s">
        <v>4</v>
      </c>
      <c r="E2" s="10" t="s">
        <v>5</v>
      </c>
      <c r="F2" s="10" t="s">
        <v>6</v>
      </c>
      <c r="G2" s="10" t="s">
        <v>586</v>
      </c>
      <c r="H2" s="10" t="s">
        <v>12</v>
      </c>
      <c r="I2" s="10" t="s">
        <v>13</v>
      </c>
      <c r="J2" s="10" t="s">
        <v>14</v>
      </c>
      <c r="K2" s="10" t="s">
        <v>10</v>
      </c>
      <c r="L2" s="10" t="s">
        <v>11</v>
      </c>
      <c r="M2" s="139" t="s">
        <v>15</v>
      </c>
      <c r="N2" s="129" t="s">
        <v>562</v>
      </c>
      <c r="O2" s="129" t="s">
        <v>563</v>
      </c>
      <c r="P2" s="10" t="s">
        <v>41</v>
      </c>
      <c r="Q2" s="10" t="s">
        <v>42</v>
      </c>
    </row>
    <row r="3" spans="1:17" x14ac:dyDescent="0.35">
      <c r="A3" s="119"/>
      <c r="B3" s="128"/>
      <c r="C3" s="119"/>
      <c r="D3" s="119"/>
      <c r="E3" s="119"/>
      <c r="F3" s="119"/>
      <c r="G3" s="183" t="str">
        <f>IF(Ithaka[[#This Row],[Zw/w p/j]]=0,"",IF((Ithaka[[#This Row],[Zw/w p/j]]+Ithaka[[#This Row],[Kleur p/j]])&lt;SOTOG!$H$1,1,IF((Ithaka[[#This Row],[Zw/w p/j]]+Ithaka[[#This Row],[Kleur p/j]])&gt;SOTOG!$G$1,2,"")))</f>
        <v/>
      </c>
      <c r="H3" s="119"/>
      <c r="I3" s="122">
        <f>Ithaka[[#This Row],[Zw/w p/m]]*12</f>
        <v>0</v>
      </c>
      <c r="J3" s="122">
        <f>Ithaka[[#This Row],[kleur p/m]]*12</f>
        <v>0</v>
      </c>
      <c r="K3" s="127"/>
      <c r="L3" s="127"/>
      <c r="M3" s="130">
        <f>$O$1</f>
        <v>46143</v>
      </c>
      <c r="N3" s="130">
        <f>$O$1</f>
        <v>46143</v>
      </c>
      <c r="O3" s="130">
        <f t="shared" ref="O3" si="0">$O$1</f>
        <v>46143</v>
      </c>
      <c r="P3" s="128" t="str">
        <f>IF(Ithaka[[#This Row],[Model 1
(eis M1 t/m M28)]]="","",Ithaka[[#This Row],[Zw/w p/j]])</f>
        <v/>
      </c>
      <c r="Q3" s="128" t="str">
        <f>IF(Ithaka[[#This Row],[Model 1
(eis M1 t/m M28)]]="","",Ithaka[[#This Row],[Kleur p/j]])</f>
        <v/>
      </c>
    </row>
    <row r="4" spans="1:17" x14ac:dyDescent="0.35">
      <c r="A4" s="83" t="s">
        <v>306</v>
      </c>
      <c r="B4" s="1" t="s">
        <v>307</v>
      </c>
      <c r="C4" s="31" t="s">
        <v>323</v>
      </c>
      <c r="D4" t="s">
        <v>324</v>
      </c>
      <c r="E4" t="s">
        <v>325</v>
      </c>
      <c r="F4" t="s">
        <v>326</v>
      </c>
      <c r="G4" s="26">
        <f>IF(Ithaka[[#This Row],[Zw/w p/j]]=0,"",IF((Ithaka[[#This Row],[Zw/w p/j]]+Ithaka[[#This Row],[Kleur p/j]])&lt;SOTOG!$H$1,1,IF((Ithaka[[#This Row],[Zw/w p/j]]+Ithaka[[#This Row],[Kleur p/j]])&gt;SOTOG!$G$1,2,"")))</f>
        <v>1</v>
      </c>
      <c r="H4" s="112">
        <v>44742</v>
      </c>
      <c r="I4" s="1">
        <f>Ithaka[[#This Row],[Zw/w p/m]]*12</f>
        <v>113818</v>
      </c>
      <c r="J4" s="1">
        <f>Ithaka[[#This Row],[kleur p/m]]*12</f>
        <v>46098</v>
      </c>
      <c r="K4" s="116">
        <f>(200911-144002)/6</f>
        <v>9484.8333333333339</v>
      </c>
      <c r="L4" s="116">
        <f>(69063-46014)/6</f>
        <v>3841.5</v>
      </c>
      <c r="M4" s="1">
        <f>INT(_xlfn.DAYS($O$1,Ithaka[[#This Row],[Datum in gebruikname]])/30.41)</f>
        <v>46</v>
      </c>
      <c r="N4" s="1">
        <f>IF(Ithaka[[#This Row],[Model 1
(eis M1 t/m M28)]]="","",Ithaka[[#This Row],[Zw/w p/m]]*Ithaka[[#This Row],[Aantal maanden]])</f>
        <v>436302.33333333337</v>
      </c>
      <c r="O4" s="1">
        <f>IF(Ithaka[[#This Row],[Model 1
(eis M1 t/m M28)]]="","",Ithaka[[#This Row],[kleur p/m]]*Ithaka[[#This Row],[Aantal maanden]])</f>
        <v>176709</v>
      </c>
      <c r="P4" s="1">
        <f>IF(Ithaka[[#This Row],[Model 1
(eis M1 t/m M28)]]="","",Ithaka[[#This Row],[Zw/w p/j]])</f>
        <v>113818</v>
      </c>
      <c r="Q4" s="1">
        <f>IF(Ithaka[[#This Row],[Model 1
(eis M1 t/m M28)]]="","",Ithaka[[#This Row],[Kleur p/j]])</f>
        <v>46098</v>
      </c>
    </row>
    <row r="5" spans="1:17" x14ac:dyDescent="0.35">
      <c r="A5" s="83" t="s">
        <v>308</v>
      </c>
      <c r="B5" s="1" t="s">
        <v>309</v>
      </c>
      <c r="C5" t="s">
        <v>327</v>
      </c>
      <c r="D5" t="s">
        <v>328</v>
      </c>
      <c r="E5" t="s">
        <v>329</v>
      </c>
      <c r="F5" t="s">
        <v>330</v>
      </c>
      <c r="G5" s="26">
        <f>IF(Ithaka[[#This Row],[Zw/w p/j]]=0,"",IF((Ithaka[[#This Row],[Zw/w p/j]]+Ithaka[[#This Row],[Kleur p/j]])&lt;SOTOG!$H$1,1,IF((Ithaka[[#This Row],[Zw/w p/j]]+Ithaka[[#This Row],[Kleur p/j]])&gt;SOTOG!$G$1,2,"")))</f>
        <v>1</v>
      </c>
      <c r="H5" s="4">
        <v>45061</v>
      </c>
      <c r="I5" s="1">
        <f>Ithaka[[#This Row],[Zw/w p/m]]*12</f>
        <v>92392</v>
      </c>
      <c r="J5" s="1">
        <f>Ithaka[[#This Row],[kleur p/m]]*12</f>
        <v>10960</v>
      </c>
      <c r="K5" s="116">
        <f>23098/3</f>
        <v>7699.333333333333</v>
      </c>
      <c r="L5" s="116">
        <f>2740/3</f>
        <v>913.33333333333337</v>
      </c>
      <c r="M5" s="1">
        <f>INT(_xlfn.DAYS($O$1,Ithaka[[#This Row],[Datum in gebruikname]])/30.41)</f>
        <v>35</v>
      </c>
      <c r="N5" s="1">
        <f>IF(Ithaka[[#This Row],[Model 1
(eis M1 t/m M28)]]="","",Ithaka[[#This Row],[Zw/w p/m]]*Ithaka[[#This Row],[Aantal maanden]])</f>
        <v>269476.66666666663</v>
      </c>
      <c r="O5" s="1">
        <f>IF(Ithaka[[#This Row],[Model 1
(eis M1 t/m M28)]]="","",Ithaka[[#This Row],[kleur p/m]]*Ithaka[[#This Row],[Aantal maanden]])</f>
        <v>31966.666666666668</v>
      </c>
      <c r="P5" s="1">
        <f>IF(Ithaka[[#This Row],[Model 1
(eis M1 t/m M28)]]="","",Ithaka[[#This Row],[Zw/w p/j]])</f>
        <v>92392</v>
      </c>
      <c r="Q5" s="1">
        <f>IF(Ithaka[[#This Row],[Model 1
(eis M1 t/m M28)]]="","",Ithaka[[#This Row],[Kleur p/j]])</f>
        <v>10960</v>
      </c>
    </row>
    <row r="6" spans="1:17" x14ac:dyDescent="0.35">
      <c r="A6" s="83" t="s">
        <v>310</v>
      </c>
      <c r="B6" s="1" t="s">
        <v>311</v>
      </c>
      <c r="C6" t="s">
        <v>331</v>
      </c>
      <c r="D6" t="s">
        <v>332</v>
      </c>
      <c r="E6" t="s">
        <v>333</v>
      </c>
      <c r="F6" t="s">
        <v>334</v>
      </c>
      <c r="G6" s="26">
        <f>IF(Ithaka[[#This Row],[Zw/w p/j]]=0,"",IF((Ithaka[[#This Row],[Zw/w p/j]]+Ithaka[[#This Row],[Kleur p/j]])&lt;SOTOG!$H$1,1,IF((Ithaka[[#This Row],[Zw/w p/j]]+Ithaka[[#This Row],[Kleur p/j]])&gt;SOTOG!$G$1,2,"")))</f>
        <v>1</v>
      </c>
      <c r="H6" s="112">
        <v>44742</v>
      </c>
      <c r="I6" s="1">
        <f>Ithaka[[#This Row],[Zw/w p/m]]*12</f>
        <v>154934</v>
      </c>
      <c r="J6" s="1">
        <f>Ithaka[[#This Row],[kleur p/m]]*12</f>
        <v>29718</v>
      </c>
      <c r="K6" s="116">
        <f>(261101-183634)/6</f>
        <v>12911.166666666666</v>
      </c>
      <c r="L6" s="116">
        <f>(50808-35949)/6</f>
        <v>2476.5</v>
      </c>
      <c r="M6" s="1">
        <f>INT(_xlfn.DAYS($O$1,Ithaka[[#This Row],[Datum in gebruikname]])/30.41)</f>
        <v>46</v>
      </c>
      <c r="N6" s="1">
        <f>IF(Ithaka[[#This Row],[Model 1
(eis M1 t/m M28)]]="","",Ithaka[[#This Row],[Zw/w p/m]]*Ithaka[[#This Row],[Aantal maanden]])</f>
        <v>593913.66666666663</v>
      </c>
      <c r="O6" s="1">
        <f>IF(Ithaka[[#This Row],[Model 1
(eis M1 t/m M28)]]="","",Ithaka[[#This Row],[kleur p/m]]*Ithaka[[#This Row],[Aantal maanden]])</f>
        <v>113919</v>
      </c>
      <c r="P6" s="1">
        <f>IF(Ithaka[[#This Row],[Model 1
(eis M1 t/m M28)]]="","",Ithaka[[#This Row],[Zw/w p/j]])</f>
        <v>154934</v>
      </c>
      <c r="Q6" s="1">
        <f>IF(Ithaka[[#This Row],[Model 1
(eis M1 t/m M28)]]="","",Ithaka[[#This Row],[Kleur p/j]])</f>
        <v>29718</v>
      </c>
    </row>
    <row r="7" spans="1:17" x14ac:dyDescent="0.35">
      <c r="A7" s="83" t="s">
        <v>312</v>
      </c>
      <c r="B7" s="1" t="s">
        <v>544</v>
      </c>
      <c r="C7" t="s">
        <v>335</v>
      </c>
      <c r="D7" t="s">
        <v>336</v>
      </c>
      <c r="E7" t="s">
        <v>337</v>
      </c>
      <c r="F7" t="s">
        <v>338</v>
      </c>
      <c r="G7" s="26">
        <f>IF(Ithaka[[#This Row],[Zw/w p/j]]=0,"",IF((Ithaka[[#This Row],[Zw/w p/j]]+Ithaka[[#This Row],[Kleur p/j]])&lt;SOTOG!$H$1,1,IF((Ithaka[[#This Row],[Zw/w p/j]]+Ithaka[[#This Row],[Kleur p/j]])&gt;SOTOG!$G$1,2,"")))</f>
        <v>1</v>
      </c>
      <c r="H7" s="112">
        <v>44681</v>
      </c>
      <c r="I7" s="1">
        <f>Ithaka[[#This Row],[Zw/w p/m]]*12</f>
        <v>114644</v>
      </c>
      <c r="J7" s="1">
        <f>Ithaka[[#This Row],[kleur p/m]]*12</f>
        <v>26090</v>
      </c>
      <c r="K7" s="116">
        <f>((384845-327523)/6)</f>
        <v>9553.6666666666661</v>
      </c>
      <c r="L7" s="116">
        <f>((79297-66252)/6)</f>
        <v>2174.1666666666665</v>
      </c>
      <c r="M7" s="1">
        <f>INT(_xlfn.DAYS($O$1,Ithaka[[#This Row],[Datum in gebruikname]])/30.41)</f>
        <v>48</v>
      </c>
      <c r="N7" s="1">
        <f>IF(Ithaka[[#This Row],[Model 1
(eis M1 t/m M28)]]="","",Ithaka[[#This Row],[Zw/w p/m]]*Ithaka[[#This Row],[Aantal maanden]])</f>
        <v>458576</v>
      </c>
      <c r="O7" s="1">
        <f>IF(Ithaka[[#This Row],[Model 1
(eis M1 t/m M28)]]="","",Ithaka[[#This Row],[kleur p/m]]*Ithaka[[#This Row],[Aantal maanden]])</f>
        <v>104360</v>
      </c>
      <c r="P7" s="1">
        <f>IF(Ithaka[[#This Row],[Model 1
(eis M1 t/m M28)]]="","",Ithaka[[#This Row],[Zw/w p/j]])</f>
        <v>114644</v>
      </c>
      <c r="Q7" s="1">
        <f>IF(Ithaka[[#This Row],[Model 1
(eis M1 t/m M28)]]="","",Ithaka[[#This Row],[Kleur p/j]])</f>
        <v>26090</v>
      </c>
    </row>
    <row r="8" spans="1:17" x14ac:dyDescent="0.35">
      <c r="A8" s="158" t="s">
        <v>312</v>
      </c>
      <c r="B8" s="116" t="s">
        <v>544</v>
      </c>
      <c r="C8" s="165" t="s">
        <v>335</v>
      </c>
      <c r="D8" s="165" t="s">
        <v>336</v>
      </c>
      <c r="E8" s="165" t="s">
        <v>337</v>
      </c>
      <c r="F8" s="165" t="s">
        <v>338</v>
      </c>
      <c r="G8" s="166">
        <f>IF(Ithaka[[#This Row],[Zw/w p/j]]=0,"",IF((Ithaka[[#This Row],[Zw/w p/j]]+Ithaka[[#This Row],[Kleur p/j]])&lt;SOTOG!$H$1,1,IF((Ithaka[[#This Row],[Zw/w p/j]]+Ithaka[[#This Row],[Kleur p/j]])&gt;SOTOG!$G$1,2,"")))</f>
        <v>1</v>
      </c>
      <c r="H8" s="167">
        <v>44620</v>
      </c>
      <c r="I8" s="168">
        <f>Ithaka[[#This Row],[Zw/w p/m]]*12</f>
        <v>5274</v>
      </c>
      <c r="J8" s="168">
        <f>Ithaka[[#This Row],[kleur p/m]]*12</f>
        <v>552</v>
      </c>
      <c r="K8" s="168">
        <f>((23034-20397)/6)</f>
        <v>439.5</v>
      </c>
      <c r="L8" s="168">
        <f>((4747-4471)/6)</f>
        <v>46</v>
      </c>
      <c r="M8" s="168">
        <f>INT(_xlfn.DAYS($O$1,Ithaka[[#This Row],[Datum in gebruikname]])/30.41)</f>
        <v>50</v>
      </c>
      <c r="N8" s="168">
        <f>IF(Ithaka[[#This Row],[Model 1
(eis M1 t/m M28)]]="","",Ithaka[[#This Row],[Zw/w p/m]]*Ithaka[[#This Row],[Aantal maanden]])</f>
        <v>21975</v>
      </c>
      <c r="O8" s="168">
        <f>IF(Ithaka[[#This Row],[Model 1
(eis M1 t/m M28)]]="","",Ithaka[[#This Row],[kleur p/m]]*Ithaka[[#This Row],[Aantal maanden]])</f>
        <v>2300</v>
      </c>
      <c r="P8" s="168">
        <f>IF(Ithaka[[#This Row],[Model 1
(eis M1 t/m M28)]]="","",Ithaka[[#This Row],[Zw/w p/j]])</f>
        <v>5274</v>
      </c>
      <c r="Q8" s="168">
        <f>IF(Ithaka[[#This Row],[Model 1
(eis M1 t/m M28)]]="","",Ithaka[[#This Row],[Kleur p/j]])</f>
        <v>552</v>
      </c>
    </row>
    <row r="9" spans="1:17" x14ac:dyDescent="0.35">
      <c r="A9" s="158"/>
      <c r="B9" s="116" t="s">
        <v>544</v>
      </c>
      <c r="C9" s="6" t="s">
        <v>335</v>
      </c>
      <c r="D9" s="6" t="s">
        <v>336</v>
      </c>
      <c r="E9" s="6" t="s">
        <v>337</v>
      </c>
      <c r="F9" s="6" t="s">
        <v>338</v>
      </c>
      <c r="G9" s="159">
        <f>IF(Ithaka[[#This Row],[Zw/w p/j]]=0,"",IF((Ithaka[[#This Row],[Zw/w p/j]]+Ithaka[[#This Row],[Kleur p/j]])&lt;SOTOG!$H$1,1,IF((Ithaka[[#This Row],[Zw/w p/j]]+Ithaka[[#This Row],[Kleur p/j]])&gt;SOTOG!$G$1,2,"")))</f>
        <v>1</v>
      </c>
      <c r="H9" s="157">
        <v>44681</v>
      </c>
      <c r="I9" s="116">
        <f>Ithaka[[#This Row],[Zw/w p/m]]*12</f>
        <v>7210</v>
      </c>
      <c r="J9" s="116">
        <f>Ithaka[[#This Row],[kleur p/m]]*12</f>
        <v>2912</v>
      </c>
      <c r="K9" s="116">
        <f>((15208-11603)/6)</f>
        <v>600.83333333333337</v>
      </c>
      <c r="L9" s="116">
        <f>((6170-4714)/6)</f>
        <v>242.66666666666666</v>
      </c>
      <c r="M9" s="1">
        <f>INT(_xlfn.DAYS($O$1,Ithaka[[#This Row],[Datum in gebruikname]])/30.41)</f>
        <v>48</v>
      </c>
      <c r="N9" s="116">
        <f>IF(Ithaka[[#This Row],[Model 1
(eis M1 t/m M28)]]="","",Ithaka[[#This Row],[Zw/w p/m]]*Ithaka[[#This Row],[Aantal maanden]])</f>
        <v>28840</v>
      </c>
      <c r="O9" s="116">
        <f>IF(Ithaka[[#This Row],[Model 1
(eis M1 t/m M28)]]="","",Ithaka[[#This Row],[kleur p/m]]*Ithaka[[#This Row],[Aantal maanden]])</f>
        <v>11648</v>
      </c>
      <c r="P9" s="116">
        <f>IF(Ithaka[[#This Row],[Model 1
(eis M1 t/m M28)]]="","",Ithaka[[#This Row],[Zw/w p/j]])</f>
        <v>7210</v>
      </c>
      <c r="Q9" s="116">
        <f>IF(Ithaka[[#This Row],[Model 1
(eis M1 t/m M28)]]="","",Ithaka[[#This Row],[Kleur p/j]])</f>
        <v>2912</v>
      </c>
    </row>
    <row r="10" spans="1:17" x14ac:dyDescent="0.35">
      <c r="A10" s="83" t="s">
        <v>313</v>
      </c>
      <c r="B10" s="1" t="s">
        <v>314</v>
      </c>
      <c r="C10" t="s">
        <v>0</v>
      </c>
      <c r="D10" t="s">
        <v>339</v>
      </c>
      <c r="E10" t="s">
        <v>340</v>
      </c>
      <c r="F10" t="s">
        <v>341</v>
      </c>
      <c r="G10" s="26">
        <f>IF(Ithaka[[#This Row],[Zw/w p/j]]=0,"",IF((Ithaka[[#This Row],[Zw/w p/j]]+Ithaka[[#This Row],[Kleur p/j]])&lt;SOTOG!$H$1,1,IF((Ithaka[[#This Row],[Zw/w p/j]]+Ithaka[[#This Row],[Kleur p/j]])&gt;SOTOG!$G$1,2,"")))</f>
        <v>1</v>
      </c>
      <c r="H10" s="117">
        <v>45473.583333333299</v>
      </c>
      <c r="I10" s="1">
        <f>Ithaka[[#This Row],[Zw/w p/m]]*12</f>
        <v>142252</v>
      </c>
      <c r="J10" s="1">
        <f>Ithaka[[#This Row],[kleur p/m]]*12</f>
        <v>22046</v>
      </c>
      <c r="K10" s="116">
        <f>(544134-473008)/6</f>
        <v>11854.333333333334</v>
      </c>
      <c r="L10" s="116">
        <f>(89136-78113)/6</f>
        <v>1837.1666666666667</v>
      </c>
      <c r="M10" s="1">
        <f>INT(_xlfn.DAYS($O$1,Ithaka[[#This Row],[Datum in gebruikname]])/30.41)</f>
        <v>22</v>
      </c>
      <c r="N10" s="1">
        <f>IF(Ithaka[[#This Row],[Model 1
(eis M1 t/m M28)]]="","",Ithaka[[#This Row],[Zw/w p/m]]*Ithaka[[#This Row],[Aantal maanden]])</f>
        <v>260795.33333333334</v>
      </c>
      <c r="O10" s="1">
        <f>IF(Ithaka[[#This Row],[Model 1
(eis M1 t/m M28)]]="","",Ithaka[[#This Row],[kleur p/m]]*Ithaka[[#This Row],[Aantal maanden]])</f>
        <v>40417.666666666672</v>
      </c>
      <c r="P10" s="1">
        <f>IF(Ithaka[[#This Row],[Model 1
(eis M1 t/m M28)]]="","",Ithaka[[#This Row],[Zw/w p/j]])</f>
        <v>142252</v>
      </c>
      <c r="Q10" s="1">
        <f>IF(Ithaka[[#This Row],[Model 1
(eis M1 t/m M28)]]="","",Ithaka[[#This Row],[Kleur p/j]])</f>
        <v>22046</v>
      </c>
    </row>
    <row r="11" spans="1:17" x14ac:dyDescent="0.35">
      <c r="A11" s="158" t="s">
        <v>315</v>
      </c>
      <c r="B11" s="116" t="s">
        <v>547</v>
      </c>
      <c r="C11" s="6" t="s">
        <v>342</v>
      </c>
      <c r="D11" s="6" t="s">
        <v>343</v>
      </c>
      <c r="E11" s="6" t="s">
        <v>344</v>
      </c>
      <c r="F11" s="6" t="s">
        <v>345</v>
      </c>
      <c r="G11" s="159">
        <f>IF(Ithaka[[#This Row],[Zw/w p/j]]=0,"",IF((Ithaka[[#This Row],[Zw/w p/j]]+Ithaka[[#This Row],[Kleur p/j]])&lt;SOTOG!$H$1,1,IF((Ithaka[[#This Row],[Zw/w p/j]]+Ithaka[[#This Row],[Kleur p/j]])&gt;SOTOG!$G$1,2,"")))</f>
        <v>1</v>
      </c>
      <c r="H11" s="157">
        <v>44742</v>
      </c>
      <c r="I11" s="116">
        <f>Ithaka[[#This Row],[Zw/w p/m]]*12</f>
        <v>3466</v>
      </c>
      <c r="J11" s="116">
        <f>Ithaka[[#This Row],[kleur p/m]]*12</f>
        <v>0</v>
      </c>
      <c r="K11" s="116">
        <f>(6505-4772)/6</f>
        <v>288.83333333333331</v>
      </c>
      <c r="L11" s="116">
        <v>0</v>
      </c>
      <c r="M11" s="1">
        <f>INT(_xlfn.DAYS($O$1,Ithaka[[#This Row],[Datum in gebruikname]])/30.41)</f>
        <v>46</v>
      </c>
      <c r="N11" s="116">
        <f>IF(Ithaka[[#This Row],[Model 1
(eis M1 t/m M28)]]="","",Ithaka[[#This Row],[Zw/w p/m]]*Ithaka[[#This Row],[Aantal maanden]])</f>
        <v>13286.333333333332</v>
      </c>
      <c r="O11" s="116">
        <f>IF(Ithaka[[#This Row],[Model 1
(eis M1 t/m M28)]]="","",Ithaka[[#This Row],[kleur p/m]]*Ithaka[[#This Row],[Aantal maanden]])</f>
        <v>0</v>
      </c>
      <c r="P11" s="116">
        <f>IF(Ithaka[[#This Row],[Model 1
(eis M1 t/m M28)]]="","",Ithaka[[#This Row],[Zw/w p/j]])</f>
        <v>3466</v>
      </c>
      <c r="Q11" s="116">
        <f>IF(Ithaka[[#This Row],[Model 1
(eis M1 t/m M28)]]="","",Ithaka[[#This Row],[Kleur p/j]])</f>
        <v>0</v>
      </c>
    </row>
    <row r="12" spans="1:17" x14ac:dyDescent="0.35">
      <c r="A12" s="158" t="s">
        <v>315</v>
      </c>
      <c r="B12" s="116" t="s">
        <v>547</v>
      </c>
      <c r="C12" s="6" t="s">
        <v>342</v>
      </c>
      <c r="D12" s="6" t="s">
        <v>343</v>
      </c>
      <c r="E12" s="6" t="s">
        <v>344</v>
      </c>
      <c r="F12" s="6" t="s">
        <v>345</v>
      </c>
      <c r="G12" s="159">
        <f>IF(Ithaka[[#This Row],[Zw/w p/j]]=0,"",IF((Ithaka[[#This Row],[Zw/w p/j]]+Ithaka[[#This Row],[Kleur p/j]])&lt;SOTOG!$H$1,1,IF((Ithaka[[#This Row],[Zw/w p/j]]+Ithaka[[#This Row],[Kleur p/j]])&gt;SOTOG!$G$1,2,"")))</f>
        <v>1</v>
      </c>
      <c r="H12" s="157">
        <v>44742</v>
      </c>
      <c r="I12" s="116">
        <f>Ithaka[[#This Row],[Zw/w p/m]]*12</f>
        <v>108254</v>
      </c>
      <c r="J12" s="116">
        <f>Ithaka[[#This Row],[kleur p/m]]*12</f>
        <v>21724</v>
      </c>
      <c r="K12" s="116">
        <f>(187422-133295)/6</f>
        <v>9021.1666666666661</v>
      </c>
      <c r="L12" s="116">
        <f>(44315-33453)/6</f>
        <v>1810.3333333333333</v>
      </c>
      <c r="M12" s="1">
        <f>INT(_xlfn.DAYS($O$1,Ithaka[[#This Row],[Datum in gebruikname]])/30.41)</f>
        <v>46</v>
      </c>
      <c r="N12" s="116">
        <f>IF(Ithaka[[#This Row],[Model 1
(eis M1 t/m M28)]]="","",Ithaka[[#This Row],[Zw/w p/m]]*Ithaka[[#This Row],[Aantal maanden]])</f>
        <v>414973.66666666663</v>
      </c>
      <c r="O12" s="116">
        <f>IF(Ithaka[[#This Row],[Model 1
(eis M1 t/m M28)]]="","",Ithaka[[#This Row],[kleur p/m]]*Ithaka[[#This Row],[Aantal maanden]])</f>
        <v>83275.333333333328</v>
      </c>
      <c r="P12" s="116">
        <f>IF(Ithaka[[#This Row],[Model 1
(eis M1 t/m M28)]]="","",Ithaka[[#This Row],[Zw/w p/j]])</f>
        <v>108254</v>
      </c>
      <c r="Q12" s="116">
        <f>IF(Ithaka[[#This Row],[Model 1
(eis M1 t/m M28)]]="","",Ithaka[[#This Row],[Kleur p/j]])</f>
        <v>21724</v>
      </c>
    </row>
    <row r="13" spans="1:17" x14ac:dyDescent="0.35">
      <c r="A13" s="83" t="s">
        <v>316</v>
      </c>
      <c r="B13" s="1" t="s">
        <v>314</v>
      </c>
      <c r="C13" t="s">
        <v>346</v>
      </c>
      <c r="D13" t="s">
        <v>347</v>
      </c>
      <c r="E13" t="s">
        <v>337</v>
      </c>
      <c r="F13" t="s">
        <v>348</v>
      </c>
      <c r="G13" s="26">
        <f>IF(Ithaka[[#This Row],[Zw/w p/j]]=0,"",IF((Ithaka[[#This Row],[Zw/w p/j]]+Ithaka[[#This Row],[Kleur p/j]])&lt;SOTOG!$H$1,1,IF((Ithaka[[#This Row],[Zw/w p/j]]+Ithaka[[#This Row],[Kleur p/j]])&gt;SOTOG!$G$1,2,"")))</f>
        <v>1</v>
      </c>
      <c r="H13" s="112">
        <v>44681</v>
      </c>
      <c r="I13" s="1">
        <f>Ithaka[[#This Row],[Zw/w p/m]]*12</f>
        <v>9624</v>
      </c>
      <c r="J13" s="1">
        <f>Ithaka[[#This Row],[kleur p/m]]*12</f>
        <v>9356</v>
      </c>
      <c r="K13" s="116">
        <f>((37125-32313)/6)</f>
        <v>802</v>
      </c>
      <c r="L13" s="116">
        <f>((28378-23700)/6)</f>
        <v>779.66666666666663</v>
      </c>
      <c r="M13" s="1">
        <f>INT(_xlfn.DAYS($O$1,Ithaka[[#This Row],[Datum in gebruikname]])/30.41)</f>
        <v>48</v>
      </c>
      <c r="N13" s="1">
        <f>IF(Ithaka[[#This Row],[Model 1
(eis M1 t/m M28)]]="","",Ithaka[[#This Row],[Zw/w p/m]]*Ithaka[[#This Row],[Aantal maanden]])</f>
        <v>38496</v>
      </c>
      <c r="O13" s="1">
        <f>IF(Ithaka[[#This Row],[Model 1
(eis M1 t/m M28)]]="","",Ithaka[[#This Row],[kleur p/m]]*Ithaka[[#This Row],[Aantal maanden]])</f>
        <v>37424</v>
      </c>
      <c r="P13" s="1">
        <f>IF(Ithaka[[#This Row],[Model 1
(eis M1 t/m M28)]]="","",Ithaka[[#This Row],[Zw/w p/j]])</f>
        <v>9624</v>
      </c>
      <c r="Q13" s="1">
        <f>IF(Ithaka[[#This Row],[Model 1
(eis M1 t/m M28)]]="","",Ithaka[[#This Row],[Kleur p/j]])</f>
        <v>9356</v>
      </c>
    </row>
    <row r="14" spans="1:17" x14ac:dyDescent="0.35">
      <c r="A14" s="83" t="s">
        <v>316</v>
      </c>
      <c r="B14" s="1" t="s">
        <v>314</v>
      </c>
      <c r="C14" t="s">
        <v>346</v>
      </c>
      <c r="D14" t="s">
        <v>347</v>
      </c>
      <c r="E14" t="s">
        <v>337</v>
      </c>
      <c r="F14" t="s">
        <v>348</v>
      </c>
      <c r="G14" s="26">
        <f>IF(Ithaka[[#This Row],[Zw/w p/j]]=0,"",IF((Ithaka[[#This Row],[Zw/w p/j]]+Ithaka[[#This Row],[Kleur p/j]])&lt;SOTOG!$H$1,1,IF((Ithaka[[#This Row],[Zw/w p/j]]+Ithaka[[#This Row],[Kleur p/j]])&gt;SOTOG!$G$1,2,"")))</f>
        <v>1</v>
      </c>
      <c r="H14" s="112">
        <v>44681</v>
      </c>
      <c r="I14" s="1">
        <f>Ithaka[[#This Row],[Zw/w p/m]]*12</f>
        <v>95696</v>
      </c>
      <c r="J14" s="1">
        <f>Ithaka[[#This Row],[kleur p/m]]*12</f>
        <v>0</v>
      </c>
      <c r="K14" s="116">
        <f>(311280-263432)/6</f>
        <v>7974.666666666667</v>
      </c>
      <c r="L14" s="116">
        <v>0</v>
      </c>
      <c r="M14" s="1">
        <f>INT(_xlfn.DAYS($O$1,Ithaka[[#This Row],[Datum in gebruikname]])/30.41)</f>
        <v>48</v>
      </c>
      <c r="N14" s="1">
        <f>IF(Ithaka[[#This Row],[Model 1
(eis M1 t/m M28)]]="","",Ithaka[[#This Row],[Zw/w p/m]]*Ithaka[[#This Row],[Aantal maanden]])</f>
        <v>382784</v>
      </c>
      <c r="O14" s="1">
        <f>IF(Ithaka[[#This Row],[Model 1
(eis M1 t/m M28)]]="","",Ithaka[[#This Row],[kleur p/m]]*Ithaka[[#This Row],[Aantal maanden]])</f>
        <v>0</v>
      </c>
      <c r="P14" s="1">
        <f>IF(Ithaka[[#This Row],[Model 1
(eis M1 t/m M28)]]="","",Ithaka[[#This Row],[Zw/w p/j]])</f>
        <v>95696</v>
      </c>
      <c r="Q14" s="1">
        <f>IF(Ithaka[[#This Row],[Model 1
(eis M1 t/m M28)]]="","",Ithaka[[#This Row],[Kleur p/j]])</f>
        <v>0</v>
      </c>
    </row>
    <row r="15" spans="1:17" x14ac:dyDescent="0.35">
      <c r="A15" s="83" t="s">
        <v>317</v>
      </c>
      <c r="B15" s="1" t="s">
        <v>318</v>
      </c>
      <c r="C15" t="s">
        <v>349</v>
      </c>
      <c r="D15" t="s">
        <v>350</v>
      </c>
      <c r="E15" t="s">
        <v>351</v>
      </c>
      <c r="F15" t="s">
        <v>352</v>
      </c>
      <c r="G15" s="26">
        <f>IF(Ithaka[[#This Row],[Zw/w p/j]]=0,"",IF((Ithaka[[#This Row],[Zw/w p/j]]+Ithaka[[#This Row],[Kleur p/j]])&lt;SOTOG!$H$1,1,IF((Ithaka[[#This Row],[Zw/w p/j]]+Ithaka[[#This Row],[Kleur p/j]])&gt;SOTOG!$G$1,2,"")))</f>
        <v>1</v>
      </c>
      <c r="H15" s="117">
        <v>45473.583333333299</v>
      </c>
      <c r="I15" s="1">
        <f>Ithaka[[#This Row],[Zw/w p/m]]*12</f>
        <v>60000</v>
      </c>
      <c r="J15" s="1">
        <f>Ithaka[[#This Row],[kleur p/m]]*12</f>
        <v>12000</v>
      </c>
      <c r="K15" s="116">
        <v>5000</v>
      </c>
      <c r="L15" s="116">
        <v>1000</v>
      </c>
      <c r="M15" s="1">
        <f>INT(_xlfn.DAYS($O$1,Ithaka[[#This Row],[Datum in gebruikname]])/30.41)</f>
        <v>22</v>
      </c>
      <c r="N15" s="1">
        <f>IF(Ithaka[[#This Row],[Model 1
(eis M1 t/m M28)]]="","",Ithaka[[#This Row],[Zw/w p/m]]*Ithaka[[#This Row],[Aantal maanden]])</f>
        <v>110000</v>
      </c>
      <c r="O15" s="1">
        <f>IF(Ithaka[[#This Row],[Model 1
(eis M1 t/m M28)]]="","",Ithaka[[#This Row],[kleur p/m]]*Ithaka[[#This Row],[Aantal maanden]])</f>
        <v>22000</v>
      </c>
      <c r="P15" s="1">
        <f>IF(Ithaka[[#This Row],[Model 1
(eis M1 t/m M28)]]="","",Ithaka[[#This Row],[Zw/w p/j]])</f>
        <v>60000</v>
      </c>
      <c r="Q15" s="1">
        <f>IF(Ithaka[[#This Row],[Model 1
(eis M1 t/m M28)]]="","",Ithaka[[#This Row],[Kleur p/j]])</f>
        <v>12000</v>
      </c>
    </row>
    <row r="16" spans="1:17" x14ac:dyDescent="0.35">
      <c r="A16" s="83" t="s">
        <v>319</v>
      </c>
      <c r="B16" s="1" t="s">
        <v>545</v>
      </c>
      <c r="C16" t="s">
        <v>353</v>
      </c>
      <c r="D16" t="s">
        <v>354</v>
      </c>
      <c r="E16" t="s">
        <v>355</v>
      </c>
      <c r="F16" t="s">
        <v>356</v>
      </c>
      <c r="G16" s="26">
        <f>IF(Ithaka[[#This Row],[Zw/w p/j]]=0,"",IF((Ithaka[[#This Row],[Zw/w p/j]]+Ithaka[[#This Row],[Kleur p/j]])&lt;SOTOG!$H$1,1,IF((Ithaka[[#This Row],[Zw/w p/j]]+Ithaka[[#This Row],[Kleur p/j]])&gt;SOTOG!$G$1,2,"")))</f>
        <v>1</v>
      </c>
      <c r="H16" s="117">
        <v>45473</v>
      </c>
      <c r="I16" s="1">
        <v>51980</v>
      </c>
      <c r="J16" s="1">
        <v>11216</v>
      </c>
      <c r="K16" s="116">
        <v>4331.666666666667</v>
      </c>
      <c r="L16" s="116">
        <v>934.66666666666663</v>
      </c>
      <c r="M16" s="1">
        <f>INT(_xlfn.DAYS($O$1,Ithaka[[#This Row],[Datum in gebruikname]])/30.41)</f>
        <v>22</v>
      </c>
      <c r="N16" s="1">
        <f>IF(Ithaka[[#This Row],[Model 1
(eis M1 t/m M28)]]="","",Ithaka[[#This Row],[Zw/w p/m]]*Ithaka[[#This Row],[Aantal maanden]])</f>
        <v>95296.666666666672</v>
      </c>
      <c r="O16" s="1">
        <f>IF(Ithaka[[#This Row],[Model 1
(eis M1 t/m M28)]]="","",Ithaka[[#This Row],[kleur p/m]]*Ithaka[[#This Row],[Aantal maanden]])</f>
        <v>20562.666666666664</v>
      </c>
      <c r="P16" s="1">
        <f>IF(Ithaka[[#This Row],[Model 1
(eis M1 t/m M28)]]="","",Ithaka[[#This Row],[Zw/w p/j]])</f>
        <v>51980</v>
      </c>
      <c r="Q16" s="1">
        <f>IF(Ithaka[[#This Row],[Model 1
(eis M1 t/m M28)]]="","",Ithaka[[#This Row],[Kleur p/j]])</f>
        <v>11216</v>
      </c>
    </row>
    <row r="17" spans="1:23" x14ac:dyDescent="0.35">
      <c r="A17" s="83" t="s">
        <v>319</v>
      </c>
      <c r="B17" s="1" t="s">
        <v>545</v>
      </c>
      <c r="C17" t="s">
        <v>353</v>
      </c>
      <c r="D17" t="s">
        <v>354</v>
      </c>
      <c r="E17" t="s">
        <v>355</v>
      </c>
      <c r="F17" t="s">
        <v>356</v>
      </c>
      <c r="G17" s="26">
        <f>IF(Ithaka[[#This Row],[Zw/w p/j]]=0,"",IF((Ithaka[[#This Row],[Zw/w p/j]]+Ithaka[[#This Row],[Kleur p/j]])&lt;SOTOG!$H$1,1,IF((Ithaka[[#This Row],[Zw/w p/j]]+Ithaka[[#This Row],[Kleur p/j]])&gt;SOTOG!$G$1,2,"")))</f>
        <v>1</v>
      </c>
      <c r="H17" s="117">
        <v>45473</v>
      </c>
      <c r="I17" s="1">
        <f>Ithaka[[#This Row],[Zw/w p/m]]*12</f>
        <v>3000</v>
      </c>
      <c r="J17" s="1">
        <f>Ithaka[[#This Row],[kleur p/m]]*12</f>
        <v>0</v>
      </c>
      <c r="K17" s="116">
        <v>250</v>
      </c>
      <c r="L17" s="116">
        <v>0</v>
      </c>
      <c r="M17" s="1">
        <f>INT(_xlfn.DAYS($O$1,Ithaka[[#This Row],[Datum in gebruikname]])/30.41)</f>
        <v>22</v>
      </c>
      <c r="N17" s="1">
        <f>IF(Ithaka[[#This Row],[Model 1
(eis M1 t/m M28)]]="","",Ithaka[[#This Row],[Zw/w p/m]]*Ithaka[[#This Row],[Aantal maanden]])</f>
        <v>5500</v>
      </c>
      <c r="O17" s="1">
        <f>IF(Ithaka[[#This Row],[Model 1
(eis M1 t/m M28)]]="","",Ithaka[[#This Row],[kleur p/m]]*Ithaka[[#This Row],[Aantal maanden]])</f>
        <v>0</v>
      </c>
      <c r="P17" s="1">
        <f>IF(Ithaka[[#This Row],[Model 1
(eis M1 t/m M28)]]="","",Ithaka[[#This Row],[Zw/w p/j]])</f>
        <v>3000</v>
      </c>
      <c r="Q17" s="1">
        <f>IF(Ithaka[[#This Row],[Model 1
(eis M1 t/m M28)]]="","",Ithaka[[#This Row],[Kleur p/j]])</f>
        <v>0</v>
      </c>
    </row>
    <row r="18" spans="1:23" x14ac:dyDescent="0.35">
      <c r="A18" s="83"/>
      <c r="B18" s="1" t="s">
        <v>540</v>
      </c>
      <c r="C18" t="s">
        <v>541</v>
      </c>
      <c r="D18" t="s">
        <v>542</v>
      </c>
      <c r="E18" t="s">
        <v>337</v>
      </c>
      <c r="F18" t="s">
        <v>543</v>
      </c>
      <c r="G18" s="26">
        <f>IF(Ithaka[[#This Row],[Zw/w p/j]]=0,"",IF((Ithaka[[#This Row],[Zw/w p/j]]+Ithaka[[#This Row],[Kleur p/j]])&lt;SOTOG!$H$1,1,IF((Ithaka[[#This Row],[Zw/w p/j]]+Ithaka[[#This Row],[Kleur p/j]])&gt;SOTOG!$G$1,2,"")))</f>
        <v>1</v>
      </c>
      <c r="H18" s="112">
        <v>44681</v>
      </c>
      <c r="I18" s="1">
        <f>Ithaka[[#This Row],[Zw/w p/m]]*12</f>
        <v>21974</v>
      </c>
      <c r="J18" s="1">
        <f>Ithaka[[#This Row],[kleur p/m]]*12</f>
        <v>55819</v>
      </c>
      <c r="K18" s="116">
        <v>1831.1666666666667</v>
      </c>
      <c r="L18" s="116">
        <v>4651.583333333333</v>
      </c>
      <c r="M18" s="1">
        <f>INT(_xlfn.DAYS($O$1,Ithaka[[#This Row],[Datum in gebruikname]])/30.41)</f>
        <v>48</v>
      </c>
      <c r="N18" s="1">
        <f>IF(Ithaka[[#This Row],[Model 1
(eis M1 t/m M28)]]="","",Ithaka[[#This Row],[Zw/w p/m]]*Ithaka[[#This Row],[Aantal maanden]])</f>
        <v>87896</v>
      </c>
      <c r="O18" s="1">
        <f>IF(Ithaka[[#This Row],[Model 1
(eis M1 t/m M28)]]="","",Ithaka[[#This Row],[kleur p/m]]*Ithaka[[#This Row],[Aantal maanden]])</f>
        <v>223276</v>
      </c>
      <c r="P18" s="1">
        <f>IF(Ithaka[[#This Row],[Model 1
(eis M1 t/m M28)]]="","",Ithaka[[#This Row],[Zw/w p/j]])</f>
        <v>21974</v>
      </c>
      <c r="Q18" s="1">
        <f>IF(Ithaka[[#This Row],[Model 1
(eis M1 t/m M28)]]="","",Ithaka[[#This Row],[Kleur p/j]])</f>
        <v>55819</v>
      </c>
    </row>
    <row r="19" spans="1:23" x14ac:dyDescent="0.35">
      <c r="A19" s="83"/>
      <c r="B19" s="1" t="s">
        <v>540</v>
      </c>
      <c r="C19" t="s">
        <v>541</v>
      </c>
      <c r="D19" t="s">
        <v>542</v>
      </c>
      <c r="E19" t="s">
        <v>337</v>
      </c>
      <c r="F19" t="s">
        <v>543</v>
      </c>
      <c r="G19" s="26">
        <f>IF(Ithaka[[#This Row],[Zw/w p/j]]=0,"",IF((Ithaka[[#This Row],[Zw/w p/j]]+Ithaka[[#This Row],[Kleur p/j]])&lt;SOTOG!$H$1,1,IF((Ithaka[[#This Row],[Zw/w p/j]]+Ithaka[[#This Row],[Kleur p/j]])&gt;SOTOG!$G$1,2,"")))</f>
        <v>1</v>
      </c>
      <c r="H19" s="112">
        <v>44681</v>
      </c>
      <c r="I19" s="1">
        <f>Ithaka[[#This Row],[Zw/w p/m]]*12</f>
        <v>20948</v>
      </c>
      <c r="J19" s="1">
        <f>Ithaka[[#This Row],[kleur p/m]]*12</f>
        <v>0</v>
      </c>
      <c r="K19" s="116">
        <f>(11374-900)/6</f>
        <v>1745.6666666666667</v>
      </c>
      <c r="L19" s="116">
        <v>0</v>
      </c>
      <c r="M19" s="1">
        <f>INT(_xlfn.DAYS($O$1,Ithaka[[#This Row],[Datum in gebruikname]])/30.41)</f>
        <v>48</v>
      </c>
      <c r="N19" s="1">
        <f>IF(Ithaka[[#This Row],[Model 1
(eis M1 t/m M28)]]="","",Ithaka[[#This Row],[Zw/w p/m]]*Ithaka[[#This Row],[Aantal maanden]])</f>
        <v>83792</v>
      </c>
      <c r="O19" s="1">
        <f>IF(Ithaka[[#This Row],[Model 1
(eis M1 t/m M28)]]="","",Ithaka[[#This Row],[kleur p/m]]*Ithaka[[#This Row],[Aantal maanden]])</f>
        <v>0</v>
      </c>
      <c r="P19" s="1">
        <f>IF(Ithaka[[#This Row],[Model 1
(eis M1 t/m M28)]]="","",Ithaka[[#This Row],[Zw/w p/j]])</f>
        <v>20948</v>
      </c>
      <c r="Q19" s="1">
        <f>IF(Ithaka[[#This Row],[Model 1
(eis M1 t/m M28)]]="","",Ithaka[[#This Row],[Kleur p/j]])</f>
        <v>0</v>
      </c>
    </row>
    <row r="20" spans="1:23" x14ac:dyDescent="0.35">
      <c r="A20" s="83" t="s">
        <v>550</v>
      </c>
      <c r="B20" s="163" t="s">
        <v>314</v>
      </c>
      <c r="C20" s="83" t="s">
        <v>548</v>
      </c>
      <c r="D20" s="83" t="s">
        <v>549</v>
      </c>
      <c r="E20" s="83" t="s">
        <v>337</v>
      </c>
      <c r="F20" s="83"/>
      <c r="G20" s="26">
        <f>IF(Ithaka[[#This Row],[Zw/w p/j]]=0,"",IF((Ithaka[[#This Row],[Zw/w p/j]]+Ithaka[[#This Row],[Kleur p/j]])&lt;SOTOG!$H$1,1,IF((Ithaka[[#This Row],[Zw/w p/j]]+Ithaka[[#This Row],[Kleur p/j]])&gt;SOTOG!$G$1,2,"")))</f>
        <v>1</v>
      </c>
      <c r="H20" s="118">
        <v>45838</v>
      </c>
      <c r="I20" s="1">
        <f>Ithaka[[#This Row],[Zw/w p/m]]*12</f>
        <v>36799</v>
      </c>
      <c r="J20" s="1">
        <f>Ithaka[[#This Row],[kleur p/m]]*12</f>
        <v>9083</v>
      </c>
      <c r="K20" s="116">
        <v>3066.5833333333335</v>
      </c>
      <c r="L20" s="116">
        <v>756.91666666666663</v>
      </c>
      <c r="M20" s="1">
        <f>INT(_xlfn.DAYS($O$1,Ithaka[[#This Row],[Datum in gebruikname]])/30.41)</f>
        <v>10</v>
      </c>
      <c r="N20" s="1">
        <f>IF(Ithaka[[#This Row],[Model 1
(eis M1 t/m M28)]]="","",Ithaka[[#This Row],[Zw/w p/m]]*Ithaka[[#This Row],[Aantal maanden]])</f>
        <v>30665.833333333336</v>
      </c>
      <c r="O20" s="1">
        <f>IF(Ithaka[[#This Row],[Model 1
(eis M1 t/m M28)]]="","",Ithaka[[#This Row],[kleur p/m]]*Ithaka[[#This Row],[Aantal maanden]])</f>
        <v>7569.1666666666661</v>
      </c>
      <c r="P20" s="1">
        <f>IF(Ithaka[[#This Row],[Model 1
(eis M1 t/m M28)]]="","",Ithaka[[#This Row],[Zw/w p/j]])</f>
        <v>36799</v>
      </c>
      <c r="Q20" s="1">
        <f>IF(Ithaka[[#This Row],[Model 1
(eis M1 t/m M28)]]="","",Ithaka[[#This Row],[Kleur p/j]])</f>
        <v>9083</v>
      </c>
    </row>
    <row r="21" spans="1:23" x14ac:dyDescent="0.35">
      <c r="A21" s="83" t="s">
        <v>320</v>
      </c>
      <c r="B21" s="1" t="s">
        <v>546</v>
      </c>
      <c r="C21" t="s">
        <v>357</v>
      </c>
      <c r="D21" t="s">
        <v>358</v>
      </c>
      <c r="E21" t="s">
        <v>359</v>
      </c>
      <c r="F21" t="s">
        <v>360</v>
      </c>
      <c r="G21" s="26">
        <f>IF(Ithaka[[#This Row],[Zw/w p/j]]=0,"",IF((Ithaka[[#This Row],[Zw/w p/j]]+Ithaka[[#This Row],[Kleur p/j]])&lt;SOTOG!$H$1,1,IF((Ithaka[[#This Row],[Zw/w p/j]]+Ithaka[[#This Row],[Kleur p/j]])&gt;SOTOG!$G$1,2,"")))</f>
        <v>1</v>
      </c>
      <c r="H21" s="112">
        <v>44742</v>
      </c>
      <c r="I21" s="1">
        <f>Ithaka[[#This Row],[Zw/w p/m]]*12</f>
        <v>16258</v>
      </c>
      <c r="J21" s="1">
        <f>Ithaka[[#This Row],[kleur p/m]]*12</f>
        <v>7800</v>
      </c>
      <c r="K21" s="116">
        <f>(17199-9070)/6</f>
        <v>1354.8333333333333</v>
      </c>
      <c r="L21" s="116">
        <f>(10633-6733)/6</f>
        <v>650</v>
      </c>
      <c r="M21" s="1">
        <f>INT(_xlfn.DAYS($O$1,Ithaka[[#This Row],[Datum in gebruikname]])/30.41)</f>
        <v>46</v>
      </c>
      <c r="N21" s="1">
        <f>IF(Ithaka[[#This Row],[Model 1
(eis M1 t/m M28)]]="","",Ithaka[[#This Row],[Zw/w p/m]]*Ithaka[[#This Row],[Aantal maanden]])</f>
        <v>62322.333333333328</v>
      </c>
      <c r="O21" s="1">
        <f>IF(Ithaka[[#This Row],[Model 1
(eis M1 t/m M28)]]="","",Ithaka[[#This Row],[kleur p/m]]*Ithaka[[#This Row],[Aantal maanden]])</f>
        <v>29900</v>
      </c>
      <c r="P21" s="1">
        <f>IF(Ithaka[[#This Row],[Model 1
(eis M1 t/m M28)]]="","",Ithaka[[#This Row],[Zw/w p/j]])</f>
        <v>16258</v>
      </c>
      <c r="Q21" s="1">
        <f>IF(Ithaka[[#This Row],[Model 1
(eis M1 t/m M28)]]="","",Ithaka[[#This Row],[Kleur p/j]])</f>
        <v>7800</v>
      </c>
    </row>
    <row r="22" spans="1:23" x14ac:dyDescent="0.35">
      <c r="A22" s="131" t="s">
        <v>321</v>
      </c>
      <c r="B22" s="132" t="s">
        <v>322</v>
      </c>
      <c r="C22" s="6" t="s">
        <v>361</v>
      </c>
      <c r="D22" s="6" t="s">
        <v>362</v>
      </c>
      <c r="E22" s="6" t="s">
        <v>337</v>
      </c>
      <c r="F22" s="6" t="s">
        <v>363</v>
      </c>
      <c r="G22" s="156">
        <f>IF(Ithaka[[#This Row],[Zw/w p/j]]=0,"",IF((Ithaka[[#This Row],[Zw/w p/j]]+Ithaka[[#This Row],[Kleur p/j]])&lt;SOTOG!$H$1,1,IF((Ithaka[[#This Row],[Zw/w p/j]]+Ithaka[[#This Row],[Kleur p/j]])&gt;SOTOG!$G$1,2,"")))</f>
        <v>1</v>
      </c>
      <c r="H22" s="157">
        <v>44712</v>
      </c>
      <c r="I22" s="116">
        <f>Ithaka[[#This Row],[Zw/w p/m]]*12</f>
        <v>151496</v>
      </c>
      <c r="J22" s="116">
        <f>Ithaka[[#This Row],[kleur p/m]]*12</f>
        <v>0</v>
      </c>
      <c r="K22" s="116">
        <f>(335647-259899)/6</f>
        <v>12624.666666666666</v>
      </c>
      <c r="L22" s="116">
        <v>0</v>
      </c>
      <c r="M22" s="1">
        <f>INT(_xlfn.DAYS($O$1,Ithaka[[#This Row],[Datum in gebruikname]])/30.41)</f>
        <v>47</v>
      </c>
      <c r="N22" s="116">
        <f>IF(Ithaka[[#This Row],[Model 1
(eis M1 t/m M28)]]="","",Ithaka[[#This Row],[Zw/w p/m]]*Ithaka[[#This Row],[Aantal maanden]])</f>
        <v>593359.33333333326</v>
      </c>
      <c r="O22" s="116">
        <f>IF(Ithaka[[#This Row],[Model 1
(eis M1 t/m M28)]]="","",Ithaka[[#This Row],[kleur p/m]]*Ithaka[[#This Row],[Aantal maanden]])</f>
        <v>0</v>
      </c>
      <c r="P22" s="116">
        <f>IF(Ithaka[[#This Row],[Model 1
(eis M1 t/m M28)]]="","",Ithaka[[#This Row],[Zw/w p/j]])</f>
        <v>151496</v>
      </c>
      <c r="Q22" s="116">
        <f>IF(Ithaka[[#This Row],[Model 1
(eis M1 t/m M28)]]="","",Ithaka[[#This Row],[Kleur p/j]])</f>
        <v>0</v>
      </c>
    </row>
    <row r="23" spans="1:23" x14ac:dyDescent="0.35">
      <c r="A23" s="83" t="s">
        <v>321</v>
      </c>
      <c r="B23" s="1" t="s">
        <v>322</v>
      </c>
      <c r="C23" t="s">
        <v>361</v>
      </c>
      <c r="D23" t="s">
        <v>362</v>
      </c>
      <c r="E23" t="s">
        <v>337</v>
      </c>
      <c r="F23" t="s">
        <v>363</v>
      </c>
      <c r="G23" s="104">
        <f>IF(Ithaka[[#This Row],[Zw/w p/j]]=0,"",IF((Ithaka[[#This Row],[Zw/w p/j]]+Ithaka[[#This Row],[Kleur p/j]])&lt;SOTOG!$H$1,1,IF((Ithaka[[#This Row],[Zw/w p/j]]+Ithaka[[#This Row],[Kleur p/j]])&gt;SOTOG!$G$1,2,"")))</f>
        <v>1</v>
      </c>
      <c r="H23" s="117">
        <v>45473</v>
      </c>
      <c r="I23" s="116">
        <f>Ithaka[[#This Row],[Zw/w p/m]]*12</f>
        <v>14058</v>
      </c>
      <c r="J23" s="116">
        <f>Ithaka[[#This Row],[kleur p/m]]*12</f>
        <v>16308</v>
      </c>
      <c r="K23" s="116">
        <f>((87184-80155)/6)</f>
        <v>1171.5</v>
      </c>
      <c r="L23" s="116">
        <f>((41401-33247)/6)</f>
        <v>1359</v>
      </c>
      <c r="M23" s="1">
        <f>INT(_xlfn.DAYS($O$1,Ithaka[[#This Row],[Datum in gebruikname]])/30.41)</f>
        <v>22</v>
      </c>
      <c r="N23" s="1">
        <f>IF(Ithaka[[#This Row],[Model 1
(eis M1 t/m M28)]]="","",Ithaka[[#This Row],[Zw/w p/m]]*Ithaka[[#This Row],[Aantal maanden]])</f>
        <v>25773</v>
      </c>
      <c r="O23" s="1">
        <f>IF(Ithaka[[#This Row],[Model 1
(eis M1 t/m M28)]]="","",Ithaka[[#This Row],[kleur p/m]]*Ithaka[[#This Row],[Aantal maanden]])</f>
        <v>29898</v>
      </c>
      <c r="P23" s="1">
        <f>IF(Ithaka[[#This Row],[Model 1
(eis M1 t/m M28)]]="","",Ithaka[[#This Row],[Zw/w p/j]])</f>
        <v>14058</v>
      </c>
      <c r="Q23" s="1">
        <f>IF(Ithaka[[#This Row],[Model 1
(eis M1 t/m M28)]]="","",Ithaka[[#This Row],[Kleur p/j]])</f>
        <v>16308</v>
      </c>
    </row>
    <row r="24" spans="1:23" x14ac:dyDescent="0.35">
      <c r="A24" s="131" t="s">
        <v>321</v>
      </c>
      <c r="B24" s="132" t="s">
        <v>369</v>
      </c>
      <c r="C24" s="133" t="s">
        <v>361</v>
      </c>
      <c r="D24" s="133" t="s">
        <v>362</v>
      </c>
      <c r="E24" s="133" t="s">
        <v>337</v>
      </c>
      <c r="F24" s="133" t="s">
        <v>363</v>
      </c>
      <c r="G24" s="134">
        <f>IF(Ithaka[[#This Row],[Zw/w p/j]]=0,"",IF((Ithaka[[#This Row],[Zw/w p/j]]+Ithaka[[#This Row],[Kleur p/j]])&lt;SOTOG!$H$1,1,IF((Ithaka[[#This Row],[Zw/w p/j]]+Ithaka[[#This Row],[Kleur p/j]])&gt;SOTOG!$G$1,2,"")))</f>
        <v>1</v>
      </c>
      <c r="H24" s="117">
        <v>45473</v>
      </c>
      <c r="I24" s="132">
        <f>Ithaka[[#This Row],[Zw/w p/m]]*12</f>
        <v>16932</v>
      </c>
      <c r="J24" s="132">
        <f>Ithaka[[#This Row],[kleur p/m]]*12</f>
        <v>12954</v>
      </c>
      <c r="K24" s="132">
        <f>(63533-55067)/6</f>
        <v>1411</v>
      </c>
      <c r="L24" s="132">
        <f>(50577-44100)/6</f>
        <v>1079.5</v>
      </c>
      <c r="M24" s="1">
        <f>INT(_xlfn.DAYS($O$1,Ithaka[[#This Row],[Datum in gebruikname]])/30.41)</f>
        <v>22</v>
      </c>
      <c r="N24" s="132">
        <f>IF(Ithaka[[#This Row],[Model 1
(eis M1 t/m M28)]]="","",Ithaka[[#This Row],[Zw/w p/m]]*Ithaka[[#This Row],[Aantal maanden]])</f>
        <v>31042</v>
      </c>
      <c r="O24" s="132">
        <f>IF(Ithaka[[#This Row],[Model 1
(eis M1 t/m M28)]]="","",Ithaka[[#This Row],[kleur p/m]]*Ithaka[[#This Row],[Aantal maanden]])</f>
        <v>23749</v>
      </c>
      <c r="P24" s="132">
        <f>IF(Ithaka[[#This Row],[Model 1
(eis M1 t/m M28)]]="","",Ithaka[[#This Row],[Zw/w p/j]])</f>
        <v>16932</v>
      </c>
      <c r="Q24" s="132">
        <f>IF(Ithaka[[#This Row],[Model 1
(eis M1 t/m M28)]]="","",Ithaka[[#This Row],[Kleur p/j]])</f>
        <v>12954</v>
      </c>
    </row>
    <row r="25" spans="1:23" x14ac:dyDescent="0.35">
      <c r="A25" t="s">
        <v>7</v>
      </c>
      <c r="G25" s="104">
        <f>SUBTOTAL(109,Ithaka[Model 1
(eis M1 t/m M28)])</f>
        <v>21</v>
      </c>
      <c r="I25" s="3">
        <f>SUM(Ithaka[Zw/w p/j])</f>
        <v>1241009</v>
      </c>
      <c r="J25" s="3">
        <f>SUM(Ithaka[Kleur p/j])</f>
        <v>294636</v>
      </c>
      <c r="K25" s="3">
        <f>SUBTOTAL(109,Ithaka[Zw/w p/m])</f>
        <v>103417.41666666669</v>
      </c>
      <c r="L25" s="3">
        <f>SUBTOTAL(109,Ithaka[kleur p/m])</f>
        <v>24553</v>
      </c>
      <c r="M25" s="3">
        <f>SUM(Ithaka[Aantal maanden])-M3</f>
        <v>792</v>
      </c>
      <c r="N25" s="3">
        <f>SUM(Ithaka['# zw/w afdrukken M1])-N3</f>
        <v>4045066.166666667</v>
      </c>
      <c r="O25" s="3">
        <f>SUM(Ithaka['# kleur afdrukken M1])-O3</f>
        <v>958974.49999999988</v>
      </c>
      <c r="P25" s="3">
        <f>SUM(Ithaka[Aantal zw/w afdrukken per optiejaar M1])</f>
        <v>1241009</v>
      </c>
      <c r="Q25" s="3">
        <f>SUM(Ithaka[Aantal kleur afdrukken per optiejaar M1])</f>
        <v>294636</v>
      </c>
    </row>
    <row r="28" spans="1:23" s="84" customFormat="1" x14ac:dyDescent="0.35">
      <c r="A28"/>
      <c r="B28"/>
      <c r="C28"/>
      <c r="D28"/>
      <c r="E28"/>
      <c r="F28"/>
      <c r="G28"/>
      <c r="H28"/>
      <c r="I28"/>
      <c r="J28"/>
      <c r="K28"/>
      <c r="L28"/>
      <c r="M28"/>
      <c r="N28"/>
      <c r="O28"/>
      <c r="P28"/>
      <c r="Q28"/>
      <c r="R28"/>
      <c r="S28"/>
      <c r="T28"/>
      <c r="U28"/>
      <c r="V28"/>
      <c r="W28"/>
    </row>
    <row r="29" spans="1:23" s="84" customFormat="1" ht="16.5" customHeight="1" x14ac:dyDescent="0.35">
      <c r="A29"/>
      <c r="B29"/>
      <c r="C29"/>
      <c r="D29"/>
      <c r="E29"/>
      <c r="F29"/>
      <c r="G29"/>
      <c r="H29"/>
      <c r="I29"/>
      <c r="J29"/>
      <c r="K29"/>
      <c r="L29"/>
      <c r="M29"/>
      <c r="N29"/>
      <c r="O29"/>
      <c r="P29"/>
      <c r="Q29"/>
      <c r="R29"/>
      <c r="S29"/>
      <c r="T29"/>
      <c r="U29"/>
      <c r="V29"/>
      <c r="W29"/>
    </row>
    <row r="30" spans="1:23" ht="16.5" customHeight="1" x14ac:dyDescent="0.35">
      <c r="G30" s="3"/>
      <c r="H30" s="3"/>
      <c r="J30" s="3"/>
      <c r="K30" s="102" t="s">
        <v>38</v>
      </c>
      <c r="L30" s="102" t="s">
        <v>38</v>
      </c>
      <c r="M30" s="92" t="s">
        <v>38</v>
      </c>
      <c r="N30" s="92" t="s">
        <v>38</v>
      </c>
    </row>
    <row r="31" spans="1:23" ht="16.5" customHeight="1" x14ac:dyDescent="0.35">
      <c r="F31" s="24" t="s">
        <v>84</v>
      </c>
      <c r="G31" s="191">
        <f>O1</f>
        <v>46143</v>
      </c>
      <c r="H31" s="43" t="s">
        <v>30</v>
      </c>
      <c r="I31" s="43" t="s">
        <v>31</v>
      </c>
      <c r="K31" s="93">
        <f>O1</f>
        <v>46143</v>
      </c>
      <c r="L31" s="94" t="s">
        <v>54</v>
      </c>
      <c r="M31" s="126">
        <f>O1</f>
        <v>46143</v>
      </c>
      <c r="N31" s="95" t="s">
        <v>55</v>
      </c>
    </row>
    <row r="32" spans="1:23" ht="16.5" customHeight="1" x14ac:dyDescent="0.35">
      <c r="C32" s="33"/>
      <c r="D32" s="33"/>
      <c r="E32" s="33"/>
      <c r="F32" s="41" t="s">
        <v>47</v>
      </c>
      <c r="G32" s="46">
        <v>0</v>
      </c>
      <c r="H32" s="46">
        <v>0</v>
      </c>
      <c r="I32" s="47">
        <v>0</v>
      </c>
      <c r="K32" s="29">
        <f>MROUND(Ithaka[[#Totals],['# zw/w afdrukken M1]],1000)</f>
        <v>4045000</v>
      </c>
      <c r="L32" s="29">
        <f>MROUND(Ithaka[[#Totals],[Aantal zw/w afdrukken per optiejaar M1]],1000)</f>
        <v>1241000</v>
      </c>
      <c r="M32" s="29">
        <f>MROUND(Ithaka[[#Totals],['# kleur afdrukken M1]],1000)</f>
        <v>959000</v>
      </c>
      <c r="N32" s="29">
        <f>MROUND(Ithaka[[#Totals],[Aantal kleur afdrukken per optiejaar M1]],1000)</f>
        <v>295000</v>
      </c>
    </row>
    <row r="33" spans="1:23" ht="16.5" customHeight="1" x14ac:dyDescent="0.35">
      <c r="G33" s="6"/>
      <c r="H33" s="6"/>
      <c r="I33" s="6"/>
    </row>
    <row r="34" spans="1:23" ht="16.5" customHeight="1" x14ac:dyDescent="0.35">
      <c r="F34" s="24" t="s">
        <v>83</v>
      </c>
      <c r="G34" s="6"/>
      <c r="H34" s="6"/>
      <c r="I34" s="6"/>
      <c r="K34" s="100"/>
      <c r="L34" s="100"/>
      <c r="M34" s="100"/>
      <c r="N34" s="100"/>
    </row>
    <row r="35" spans="1:23" ht="16.5" customHeight="1" x14ac:dyDescent="0.35">
      <c r="D35" s="32"/>
      <c r="F35" s="23" t="s">
        <v>33</v>
      </c>
      <c r="G35" s="48">
        <v>0</v>
      </c>
      <c r="H35" s="48">
        <v>0</v>
      </c>
      <c r="I35" s="48">
        <v>0</v>
      </c>
    </row>
    <row r="36" spans="1:23" ht="16.5" customHeight="1" x14ac:dyDescent="0.35">
      <c r="D36" s="31"/>
      <c r="E36" s="31"/>
      <c r="F36" s="23" t="s">
        <v>16</v>
      </c>
      <c r="G36" s="48">
        <v>0</v>
      </c>
      <c r="H36" s="48">
        <v>0</v>
      </c>
      <c r="I36" s="48">
        <v>0</v>
      </c>
    </row>
    <row r="37" spans="1:23" ht="16.5" customHeight="1" x14ac:dyDescent="0.35">
      <c r="C37" s="23"/>
      <c r="D37" s="23"/>
      <c r="E37" s="23"/>
      <c r="F37" s="23"/>
      <c r="G37" s="6"/>
      <c r="H37" s="6"/>
      <c r="I37" s="6"/>
    </row>
    <row r="38" spans="1:23" ht="16.5" customHeight="1" x14ac:dyDescent="0.35">
      <c r="C38" s="23"/>
      <c r="D38" s="23"/>
      <c r="E38" s="23"/>
      <c r="F38" s="24" t="s">
        <v>82</v>
      </c>
      <c r="G38" s="6"/>
      <c r="H38" s="6"/>
      <c r="I38" s="6"/>
    </row>
    <row r="39" spans="1:23" ht="16.5" customHeight="1" x14ac:dyDescent="0.35">
      <c r="C39" s="23"/>
      <c r="D39" s="23"/>
      <c r="E39" s="23"/>
      <c r="F39" s="23" t="s">
        <v>591</v>
      </c>
      <c r="G39" s="49">
        <v>0</v>
      </c>
      <c r="H39" s="49">
        <v>0</v>
      </c>
      <c r="I39" s="49">
        <v>0</v>
      </c>
      <c r="L39" s="25"/>
    </row>
    <row r="40" spans="1:23" ht="16.5" customHeight="1" x14ac:dyDescent="0.35">
      <c r="C40" s="23"/>
      <c r="D40" s="23"/>
      <c r="E40" s="23"/>
      <c r="F40" s="23"/>
      <c r="G40" s="25"/>
      <c r="H40" s="25"/>
      <c r="I40" s="25"/>
      <c r="L40" s="25"/>
    </row>
    <row r="41" spans="1:23" ht="16.5" customHeight="1" x14ac:dyDescent="0.35">
      <c r="C41" s="23"/>
      <c r="D41" s="23"/>
      <c r="E41" s="23"/>
      <c r="F41" s="81" t="s">
        <v>79</v>
      </c>
      <c r="G41" s="25"/>
      <c r="H41" s="25"/>
      <c r="I41" s="25"/>
      <c r="L41" s="25"/>
    </row>
    <row r="42" spans="1:23" ht="16.5" customHeight="1" x14ac:dyDescent="0.35">
      <c r="C42" s="31"/>
      <c r="D42" s="31"/>
      <c r="E42" s="31"/>
      <c r="F42" s="160" t="s">
        <v>80</v>
      </c>
      <c r="G42" s="50">
        <v>0</v>
      </c>
      <c r="H42" s="11" t="s">
        <v>88</v>
      </c>
      <c r="I42" s="25"/>
    </row>
    <row r="43" spans="1:23" ht="16.5" customHeight="1" x14ac:dyDescent="0.35">
      <c r="C43" s="31"/>
      <c r="D43" s="31"/>
      <c r="E43" s="31"/>
      <c r="F43" s="160" t="s">
        <v>81</v>
      </c>
      <c r="G43" s="50">
        <v>0</v>
      </c>
      <c r="H43" s="11" t="s">
        <v>88</v>
      </c>
      <c r="I43" s="25"/>
      <c r="W43" s="84"/>
    </row>
    <row r="44" spans="1:23" ht="16.5" customHeight="1" x14ac:dyDescent="0.35">
      <c r="A44" s="84"/>
      <c r="B44" s="84"/>
      <c r="C44" s="99"/>
      <c r="D44" s="99"/>
      <c r="E44" s="99"/>
      <c r="F44" s="99"/>
      <c r="G44" s="85"/>
      <c r="H44" s="11"/>
      <c r="I44" s="25"/>
      <c r="J44" s="84"/>
      <c r="K44" s="84"/>
      <c r="L44" s="84"/>
      <c r="M44" s="84"/>
      <c r="N44" s="84"/>
      <c r="O44" s="84"/>
      <c r="P44" s="84"/>
      <c r="Q44" s="84"/>
      <c r="R44" s="84"/>
      <c r="S44" s="84"/>
      <c r="T44" s="84"/>
      <c r="U44" s="84"/>
      <c r="V44" s="84"/>
      <c r="W44" s="84"/>
    </row>
    <row r="45" spans="1:23" ht="16.5" customHeight="1" x14ac:dyDescent="0.35">
      <c r="A45" s="84"/>
      <c r="B45" s="84"/>
      <c r="C45" s="99"/>
      <c r="D45" s="99"/>
      <c r="E45" s="99"/>
      <c r="F45" s="81" t="s">
        <v>619</v>
      </c>
      <c r="G45" s="43" t="s">
        <v>56</v>
      </c>
      <c r="H45" s="43" t="s">
        <v>57</v>
      </c>
      <c r="I45" s="43" t="s">
        <v>58</v>
      </c>
      <c r="J45" s="43" t="s">
        <v>59</v>
      </c>
      <c r="K45" s="43" t="s">
        <v>60</v>
      </c>
      <c r="L45" s="43" t="s">
        <v>61</v>
      </c>
      <c r="M45" s="43" t="s">
        <v>62</v>
      </c>
      <c r="N45" s="43" t="s">
        <v>63</v>
      </c>
      <c r="O45" s="84"/>
      <c r="P45" s="84"/>
      <c r="Q45" s="84"/>
      <c r="R45" s="84"/>
      <c r="S45" s="84"/>
      <c r="T45" s="84"/>
      <c r="U45" s="84"/>
      <c r="V45" s="84"/>
    </row>
    <row r="46" spans="1:23" ht="16.5" customHeight="1" x14ac:dyDescent="0.35">
      <c r="C46" s="41"/>
      <c r="D46" s="41"/>
      <c r="E46" s="41"/>
      <c r="F46" s="41" t="s">
        <v>588</v>
      </c>
      <c r="G46" s="202"/>
      <c r="H46" s="202"/>
      <c r="I46" s="202"/>
      <c r="J46" s="202"/>
      <c r="K46" s="202"/>
      <c r="L46" s="202"/>
      <c r="M46" s="202"/>
      <c r="N46" s="202"/>
    </row>
    <row r="47" spans="1:23" ht="16.5" customHeight="1" x14ac:dyDescent="0.35">
      <c r="C47" s="41"/>
      <c r="D47" s="41"/>
      <c r="E47" s="41"/>
      <c r="F47" s="41" t="s">
        <v>587</v>
      </c>
      <c r="G47" s="202"/>
      <c r="H47" s="202"/>
      <c r="I47" s="202"/>
      <c r="J47" s="202"/>
      <c r="K47" s="202"/>
      <c r="L47" s="202"/>
      <c r="M47" s="202"/>
      <c r="N47" s="202"/>
    </row>
    <row r="48" spans="1:23" ht="16.5" customHeight="1" x14ac:dyDescent="0.35">
      <c r="C48" s="41"/>
      <c r="D48" s="41"/>
      <c r="E48" s="41"/>
      <c r="F48" s="41" t="s">
        <v>35</v>
      </c>
      <c r="G48" s="202"/>
      <c r="H48" s="202"/>
      <c r="I48" s="202"/>
      <c r="J48" s="202"/>
      <c r="K48" s="202"/>
      <c r="L48" s="202"/>
      <c r="M48" s="202"/>
      <c r="N48" s="202"/>
    </row>
    <row r="49" spans="3:14" ht="16.5" customHeight="1" x14ac:dyDescent="0.35">
      <c r="C49" s="41"/>
      <c r="D49" s="41"/>
      <c r="E49" s="41"/>
      <c r="F49" s="41" t="s">
        <v>589</v>
      </c>
      <c r="G49" s="202"/>
      <c r="H49" s="202"/>
      <c r="I49" s="202"/>
      <c r="J49" s="202"/>
      <c r="K49" s="202"/>
      <c r="L49" s="202"/>
      <c r="M49" s="202"/>
      <c r="N49" s="202"/>
    </row>
    <row r="50" spans="3:14" ht="16.5" customHeight="1" x14ac:dyDescent="0.35">
      <c r="C50" s="41"/>
      <c r="D50" s="41"/>
      <c r="E50" s="41"/>
      <c r="F50" s="41" t="s">
        <v>36</v>
      </c>
      <c r="G50" s="202"/>
      <c r="H50" s="202"/>
      <c r="I50" s="202"/>
      <c r="J50" s="202"/>
      <c r="K50" s="202"/>
      <c r="L50" s="202"/>
      <c r="M50" s="202"/>
      <c r="N50" s="202"/>
    </row>
    <row r="51" spans="3:14" ht="16.5" customHeight="1" x14ac:dyDescent="0.35">
      <c r="C51" s="41"/>
      <c r="D51" s="41"/>
      <c r="E51" s="41"/>
      <c r="F51" s="41" t="s">
        <v>590</v>
      </c>
      <c r="G51" s="202"/>
      <c r="H51" s="202"/>
      <c r="I51" s="202"/>
      <c r="J51" s="202"/>
      <c r="K51" s="202"/>
      <c r="L51" s="202"/>
      <c r="M51" s="202"/>
      <c r="N51" s="202"/>
    </row>
    <row r="52" spans="3:14" ht="16.5" customHeight="1" x14ac:dyDescent="0.35">
      <c r="C52" s="41"/>
      <c r="D52" s="41"/>
      <c r="E52" s="41"/>
      <c r="F52" s="41" t="s">
        <v>37</v>
      </c>
      <c r="G52" s="202"/>
      <c r="H52" s="202"/>
      <c r="I52" s="202"/>
      <c r="J52" s="202"/>
      <c r="K52" s="202"/>
      <c r="L52" s="202"/>
      <c r="M52" s="202"/>
      <c r="N52" s="202"/>
    </row>
    <row r="53" spans="3:14" ht="16.5" customHeight="1" x14ac:dyDescent="0.35">
      <c r="C53" s="23"/>
      <c r="D53" s="23"/>
      <c r="E53" s="23"/>
      <c r="F53" s="24" t="s">
        <v>65</v>
      </c>
      <c r="G53" s="203">
        <v>0</v>
      </c>
      <c r="H53" s="203">
        <v>0</v>
      </c>
      <c r="I53" s="203">
        <v>0</v>
      </c>
      <c r="J53" s="203">
        <v>0</v>
      </c>
      <c r="K53" s="203">
        <v>0</v>
      </c>
      <c r="L53" s="203">
        <v>0</v>
      </c>
      <c r="M53" s="203">
        <v>0</v>
      </c>
      <c r="N53" s="203">
        <v>0</v>
      </c>
    </row>
    <row r="54" spans="3:14" ht="16.5" customHeight="1" x14ac:dyDescent="0.35">
      <c r="C54" s="23"/>
      <c r="D54" s="23"/>
      <c r="E54" s="23"/>
      <c r="F54" s="24" t="s">
        <v>64</v>
      </c>
      <c r="G54" s="203">
        <v>0</v>
      </c>
      <c r="H54" s="203">
        <v>0</v>
      </c>
      <c r="I54" s="203">
        <v>0</v>
      </c>
      <c r="J54" s="203">
        <v>0</v>
      </c>
      <c r="K54" s="203">
        <v>0</v>
      </c>
      <c r="L54" s="203">
        <v>0</v>
      </c>
      <c r="M54" s="203">
        <v>0</v>
      </c>
      <c r="N54" s="203">
        <v>0</v>
      </c>
    </row>
    <row r="55" spans="3:14" ht="16.5" customHeight="1" x14ac:dyDescent="0.35">
      <c r="C55" s="23"/>
      <c r="D55" s="23"/>
      <c r="E55" s="23"/>
      <c r="F55" s="23"/>
      <c r="G55" s="25"/>
      <c r="H55" s="25"/>
      <c r="I55" s="25"/>
    </row>
    <row r="56" spans="3:14" ht="16.5" customHeight="1" x14ac:dyDescent="0.35">
      <c r="C56" s="184"/>
      <c r="D56" s="184"/>
      <c r="E56" s="184"/>
      <c r="F56" s="24" t="s">
        <v>611</v>
      </c>
      <c r="G56" s="85"/>
      <c r="H56" s="25"/>
      <c r="I56" s="25"/>
    </row>
    <row r="57" spans="3:14" ht="16.5" customHeight="1" x14ac:dyDescent="0.35">
      <c r="C57" s="184"/>
      <c r="D57" s="184"/>
      <c r="E57" s="184"/>
      <c r="F57" s="41" t="s">
        <v>612</v>
      </c>
      <c r="G57" s="202">
        <v>0</v>
      </c>
      <c r="H57" s="25"/>
      <c r="I57" s="25"/>
    </row>
    <row r="58" spans="3:14" ht="16.5" customHeight="1" x14ac:dyDescent="0.35">
      <c r="C58" s="184"/>
      <c r="D58" s="184"/>
      <c r="E58" s="184"/>
      <c r="F58" s="41" t="s">
        <v>613</v>
      </c>
      <c r="G58" s="202">
        <v>0</v>
      </c>
      <c r="H58" s="25"/>
      <c r="I58" s="25"/>
    </row>
    <row r="59" spans="3:14" ht="16.5" customHeight="1" x14ac:dyDescent="0.35">
      <c r="C59" s="184"/>
      <c r="D59" s="184"/>
      <c r="E59" s="184"/>
      <c r="F59" s="184"/>
      <c r="G59" s="25"/>
      <c r="H59" s="25"/>
      <c r="I59" s="25"/>
    </row>
    <row r="60" spans="3:14" ht="16.5" customHeight="1" x14ac:dyDescent="0.35">
      <c r="C60" s="23"/>
      <c r="D60" s="23"/>
      <c r="E60" s="23"/>
      <c r="F60" s="23"/>
      <c r="G60" s="44" t="s">
        <v>32</v>
      </c>
      <c r="H60" s="43" t="s">
        <v>30</v>
      </c>
      <c r="I60" s="43" t="s">
        <v>31</v>
      </c>
    </row>
    <row r="61" spans="3:14" ht="16.5" customHeight="1" x14ac:dyDescent="0.35">
      <c r="C61" s="199" t="s">
        <v>85</v>
      </c>
      <c r="D61" s="199"/>
      <c r="E61" s="199"/>
      <c r="F61" s="199"/>
      <c r="G61" s="63">
        <v>0</v>
      </c>
      <c r="J61" s="12" t="s">
        <v>19</v>
      </c>
    </row>
    <row r="62" spans="3:14" ht="16.5" customHeight="1" x14ac:dyDescent="0.35">
      <c r="C62" s="199" t="s">
        <v>66</v>
      </c>
      <c r="D62" s="199"/>
      <c r="E62" s="199"/>
      <c r="F62" s="199"/>
      <c r="G62" s="64">
        <v>0</v>
      </c>
      <c r="H62" s="64">
        <v>0</v>
      </c>
      <c r="I62" s="64">
        <v>0</v>
      </c>
      <c r="J62" s="12" t="s">
        <v>19</v>
      </c>
    </row>
    <row r="63" spans="3:14" ht="16.5" customHeight="1" x14ac:dyDescent="0.35">
      <c r="C63" s="199" t="s">
        <v>67</v>
      </c>
      <c r="D63" s="199"/>
      <c r="E63" s="199"/>
      <c r="F63" s="199"/>
      <c r="G63" s="64">
        <v>0</v>
      </c>
      <c r="H63" s="64">
        <v>0</v>
      </c>
      <c r="I63" s="64">
        <v>0</v>
      </c>
      <c r="J63" s="12" t="s">
        <v>19</v>
      </c>
    </row>
    <row r="64" spans="3:14" ht="16.5" customHeight="1" x14ac:dyDescent="0.35">
      <c r="C64" s="199" t="s">
        <v>68</v>
      </c>
      <c r="D64" s="199"/>
      <c r="E64" s="199"/>
      <c r="F64" s="199"/>
      <c r="G64" s="64">
        <v>0</v>
      </c>
      <c r="H64" s="64">
        <v>0</v>
      </c>
      <c r="I64" s="64">
        <v>0</v>
      </c>
      <c r="J64" s="12" t="s">
        <v>19</v>
      </c>
    </row>
    <row r="65" spans="3:11" ht="16.5" customHeight="1" x14ac:dyDescent="0.35">
      <c r="C65" s="199" t="s">
        <v>69</v>
      </c>
      <c r="D65" s="199"/>
      <c r="E65" s="199"/>
      <c r="F65" s="199"/>
      <c r="G65" s="64">
        <v>0</v>
      </c>
      <c r="H65" s="64">
        <v>0</v>
      </c>
      <c r="I65" s="64">
        <v>0</v>
      </c>
      <c r="J65" s="12" t="s">
        <v>19</v>
      </c>
    </row>
    <row r="66" spans="3:11" ht="16.5" customHeight="1" x14ac:dyDescent="0.35">
      <c r="C66" s="199" t="s">
        <v>72</v>
      </c>
      <c r="D66" s="199"/>
      <c r="E66" s="199" t="s">
        <v>20</v>
      </c>
      <c r="F66" s="199"/>
      <c r="G66" s="64">
        <v>0</v>
      </c>
      <c r="H66" s="64">
        <v>0</v>
      </c>
      <c r="I66" s="64">
        <v>0</v>
      </c>
      <c r="J66" s="12" t="s">
        <v>19</v>
      </c>
    </row>
    <row r="67" spans="3:11" ht="16.5" customHeight="1" x14ac:dyDescent="0.35">
      <c r="C67" s="199" t="s">
        <v>73</v>
      </c>
      <c r="D67" s="199"/>
      <c r="E67" s="199" t="s">
        <v>20</v>
      </c>
      <c r="F67" s="199"/>
      <c r="G67" s="64">
        <v>0</v>
      </c>
      <c r="H67" s="64">
        <v>0</v>
      </c>
      <c r="I67" s="64">
        <v>0</v>
      </c>
      <c r="J67" s="12" t="s">
        <v>19</v>
      </c>
    </row>
    <row r="68" spans="3:11" ht="16.5" customHeight="1" x14ac:dyDescent="0.35">
      <c r="C68" s="199" t="s">
        <v>70</v>
      </c>
      <c r="D68" s="199"/>
      <c r="E68" s="199" t="s">
        <v>20</v>
      </c>
      <c r="F68" s="199"/>
      <c r="G68" s="64">
        <v>0</v>
      </c>
      <c r="H68" s="64">
        <v>0</v>
      </c>
      <c r="I68" s="64">
        <v>0</v>
      </c>
      <c r="J68" s="12" t="s">
        <v>19</v>
      </c>
    </row>
    <row r="69" spans="3:11" ht="16.5" customHeight="1" x14ac:dyDescent="0.35">
      <c r="C69" s="199" t="s">
        <v>71</v>
      </c>
      <c r="D69" s="199"/>
      <c r="E69" s="199" t="s">
        <v>20</v>
      </c>
      <c r="F69" s="199"/>
      <c r="G69" s="64">
        <v>0</v>
      </c>
      <c r="H69" s="64">
        <v>0</v>
      </c>
      <c r="I69" s="64">
        <v>0</v>
      </c>
      <c r="J69" s="12" t="s">
        <v>19</v>
      </c>
    </row>
    <row r="70" spans="3:11" ht="16.5" customHeight="1" thickBot="1" x14ac:dyDescent="0.4">
      <c r="C70" s="23"/>
      <c r="D70" s="23"/>
      <c r="E70" s="23"/>
      <c r="F70" s="23"/>
      <c r="G70" s="28"/>
      <c r="H70" s="28"/>
      <c r="I70" s="28"/>
      <c r="J70" s="12"/>
    </row>
    <row r="71" spans="3:11" ht="16.5" customHeight="1" x14ac:dyDescent="0.35">
      <c r="D71" s="65"/>
      <c r="E71" s="66"/>
      <c r="F71" s="194" t="s">
        <v>53</v>
      </c>
      <c r="G71" s="192">
        <f>O1</f>
        <v>46143</v>
      </c>
      <c r="H71" s="68" t="s">
        <v>30</v>
      </c>
      <c r="I71" s="68" t="s">
        <v>31</v>
      </c>
      <c r="J71" s="69" t="s">
        <v>52</v>
      </c>
    </row>
    <row r="72" spans="3:11" ht="16.5" customHeight="1" x14ac:dyDescent="0.35">
      <c r="C72" s="31"/>
      <c r="D72" s="70"/>
      <c r="E72" s="52"/>
      <c r="F72" s="53" t="s">
        <v>49</v>
      </c>
      <c r="G72" s="54">
        <f>G32*Ithaka[[#Totals],[Aantal maanden]]</f>
        <v>0</v>
      </c>
      <c r="H72" s="54">
        <f>H32*Ithaka[[#Totals],[Model 1
(eis M1 t/m M28)]]*12</f>
        <v>0</v>
      </c>
      <c r="I72" s="54">
        <f>I32*Ithaka[[#Totals],[Model 1
(eis M1 t/m M28)]]*12</f>
        <v>0</v>
      </c>
      <c r="J72" s="71">
        <f>SUM(G72:I72)</f>
        <v>0</v>
      </c>
    </row>
    <row r="73" spans="3:11" ht="16.5" customHeight="1" x14ac:dyDescent="0.35">
      <c r="C73" s="31"/>
      <c r="D73" s="70"/>
      <c r="E73" s="52"/>
      <c r="F73" s="53" t="s">
        <v>50</v>
      </c>
      <c r="G73" s="54">
        <f>G35*K32</f>
        <v>0</v>
      </c>
      <c r="H73" s="54">
        <f>H35*L32</f>
        <v>0</v>
      </c>
      <c r="I73" s="54">
        <f>I35*L32</f>
        <v>0</v>
      </c>
      <c r="J73" s="71">
        <f>SUM(G73:I73)</f>
        <v>0</v>
      </c>
    </row>
    <row r="74" spans="3:11" ht="16.5" customHeight="1" x14ac:dyDescent="0.35">
      <c r="C74" s="31"/>
      <c r="D74" s="72"/>
      <c r="E74" s="55"/>
      <c r="F74" s="56" t="s">
        <v>51</v>
      </c>
      <c r="G74" s="57">
        <f>G36*M32</f>
        <v>0</v>
      </c>
      <c r="H74" s="57">
        <f>H36*N32</f>
        <v>0</v>
      </c>
      <c r="I74" s="57">
        <f>I36*N32</f>
        <v>0</v>
      </c>
      <c r="J74" s="73">
        <f>SUM(G74:I74)</f>
        <v>0</v>
      </c>
    </row>
    <row r="75" spans="3:11" ht="16.5" customHeight="1" x14ac:dyDescent="0.35">
      <c r="C75" s="40"/>
      <c r="D75" s="74"/>
      <c r="E75" s="58"/>
      <c r="F75" s="53" t="s">
        <v>29</v>
      </c>
      <c r="G75" s="54">
        <f>G39*(Ithaka[[#Totals],[Model 1
(eis M1 t/m M28)]])*48</f>
        <v>0</v>
      </c>
      <c r="H75" s="54">
        <f>H39*(Ithaka[[#Totals],[Model 1
(eis M1 t/m M28)]])*12</f>
        <v>0</v>
      </c>
      <c r="I75" s="54">
        <f>I39*(Ithaka[[#Totals],[Model 1
(eis M1 t/m M28)]])*12</f>
        <v>0</v>
      </c>
      <c r="J75" s="71">
        <f>SUM(G75:I75)</f>
        <v>0</v>
      </c>
      <c r="K75" s="38"/>
    </row>
    <row r="76" spans="3:11" ht="16.5" customHeight="1" x14ac:dyDescent="0.35">
      <c r="C76" s="40"/>
      <c r="D76" s="74"/>
      <c r="E76" s="58"/>
      <c r="F76" s="60" t="s">
        <v>17</v>
      </c>
      <c r="G76" s="89"/>
      <c r="H76" s="89"/>
      <c r="I76" s="89"/>
      <c r="J76" s="71">
        <f>G42</f>
        <v>0</v>
      </c>
      <c r="K76" s="38"/>
    </row>
    <row r="77" spans="3:11" ht="16.5" customHeight="1" thickBot="1" x14ac:dyDescent="0.4">
      <c r="C77" s="39"/>
      <c r="D77" s="76"/>
      <c r="E77" s="77"/>
      <c r="F77" s="78" t="s">
        <v>18</v>
      </c>
      <c r="G77" s="90"/>
      <c r="H77" s="90"/>
      <c r="I77" s="90"/>
      <c r="J77" s="79">
        <f>G43</f>
        <v>0</v>
      </c>
    </row>
    <row r="78" spans="3:11" ht="24" thickBot="1" x14ac:dyDescent="0.6">
      <c r="C78" s="15"/>
      <c r="D78" s="15"/>
      <c r="E78" s="16"/>
      <c r="G78" s="14"/>
      <c r="H78" s="14"/>
      <c r="I78" s="14"/>
    </row>
    <row r="79" spans="3:11" ht="24" thickBot="1" x14ac:dyDescent="0.6">
      <c r="G79" s="17"/>
      <c r="H79" s="91" t="s">
        <v>21</v>
      </c>
      <c r="I79" s="200">
        <f>SUM(J72:J78)</f>
        <v>0</v>
      </c>
      <c r="J79" s="201"/>
    </row>
    <row r="81" spans="5:11" ht="15" x14ac:dyDescent="0.35">
      <c r="E81" s="88" t="s">
        <v>76</v>
      </c>
      <c r="K81" s="42"/>
    </row>
    <row r="82" spans="5:11" ht="15" x14ac:dyDescent="0.35">
      <c r="E82" s="88" t="s">
        <v>77</v>
      </c>
      <c r="F82" s="42"/>
      <c r="G82" s="42"/>
      <c r="H82" s="42"/>
      <c r="I82" s="42"/>
      <c r="J82" s="42"/>
      <c r="K82" s="42"/>
    </row>
    <row r="83" spans="5:11" ht="15" x14ac:dyDescent="0.35">
      <c r="E83" s="87" t="s">
        <v>78</v>
      </c>
      <c r="F83" s="42"/>
      <c r="G83" s="42"/>
      <c r="H83" s="42"/>
      <c r="I83" s="42"/>
      <c r="J83" s="42"/>
      <c r="K83" s="13"/>
    </row>
    <row r="84" spans="5:11" x14ac:dyDescent="0.35">
      <c r="F84" s="13"/>
      <c r="G84" s="13"/>
      <c r="H84" s="13"/>
      <c r="I84" s="13"/>
      <c r="J84" s="13"/>
    </row>
  </sheetData>
  <mergeCells count="10">
    <mergeCell ref="I79:J79"/>
    <mergeCell ref="C61:F61"/>
    <mergeCell ref="C62:F62"/>
    <mergeCell ref="C63:F63"/>
    <mergeCell ref="C64:F64"/>
    <mergeCell ref="C65:F65"/>
    <mergeCell ref="C66:F66"/>
    <mergeCell ref="C67:F67"/>
    <mergeCell ref="C68:F68"/>
    <mergeCell ref="C69:F69"/>
  </mergeCells>
  <conditionalFormatting sqref="A4:Q24">
    <cfRule type="expression" dxfId="0" priority="5">
      <formula>$H4&gt;$N$1</formula>
    </cfRule>
  </conditionalFormatting>
  <pageMargins left="0.7" right="0.7" top="0.75" bottom="0.75" header="0.3" footer="0.3"/>
  <pageSetup paperSize="9"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8DD5F-7FFA-4BB6-B243-F5E7D50AAFA4}">
  <sheetPr>
    <tabColor theme="5" tint="-0.249977111117893"/>
  </sheetPr>
  <dimension ref="A1:V79"/>
  <sheetViews>
    <sheetView showGridLines="0" zoomScale="90" zoomScaleNormal="90" workbookViewId="0">
      <pane ySplit="3" topLeftCell="A4" activePane="bottomLeft" state="frozen"/>
      <selection activeCell="C71" sqref="C71:F71"/>
      <selection pane="bottomLeft" activeCell="G3" sqref="G3"/>
    </sheetView>
  </sheetViews>
  <sheetFormatPr defaultRowHeight="14.5" x14ac:dyDescent="0.35"/>
  <cols>
    <col min="1" max="1" width="15.81640625" customWidth="1"/>
    <col min="2" max="3" width="25.81640625" customWidth="1"/>
    <col min="4" max="22" width="20.81640625" customWidth="1"/>
  </cols>
  <sheetData>
    <row r="1" spans="1:22" hidden="1" x14ac:dyDescent="0.35">
      <c r="A1" s="26"/>
      <c r="B1" s="26"/>
      <c r="C1" s="26"/>
      <c r="D1" s="26"/>
      <c r="E1" s="26"/>
      <c r="F1" s="26"/>
      <c r="G1" s="26"/>
      <c r="H1" s="26"/>
      <c r="I1" s="26"/>
      <c r="J1" s="26"/>
      <c r="K1" s="26"/>
      <c r="L1" s="26"/>
      <c r="M1" s="26"/>
      <c r="N1" s="26"/>
      <c r="O1" s="148">
        <v>45931</v>
      </c>
      <c r="P1" s="26"/>
      <c r="Q1" s="26"/>
      <c r="R1" s="26"/>
      <c r="S1" s="26"/>
      <c r="T1" s="26"/>
      <c r="U1" s="26"/>
      <c r="V1" s="26"/>
    </row>
    <row r="2" spans="1:22" s="36" customFormat="1" ht="26" x14ac:dyDescent="0.3">
      <c r="A2" s="147" t="s">
        <v>1</v>
      </c>
      <c r="B2" s="147" t="s">
        <v>2</v>
      </c>
      <c r="C2" s="147" t="s">
        <v>3</v>
      </c>
      <c r="D2" s="147" t="s">
        <v>4</v>
      </c>
      <c r="E2" s="147" t="s">
        <v>5</v>
      </c>
      <c r="F2" s="147" t="s">
        <v>6</v>
      </c>
      <c r="G2" s="146" t="s">
        <v>39</v>
      </c>
      <c r="H2" s="146" t="s">
        <v>40</v>
      </c>
      <c r="I2" s="146" t="s">
        <v>12</v>
      </c>
      <c r="J2" s="151" t="s">
        <v>13</v>
      </c>
      <c r="K2" s="151" t="s">
        <v>14</v>
      </c>
      <c r="L2" s="151" t="s">
        <v>10</v>
      </c>
      <c r="M2" s="151" t="s">
        <v>11</v>
      </c>
      <c r="N2" s="146" t="s">
        <v>15</v>
      </c>
      <c r="O2" s="149" t="s">
        <v>562</v>
      </c>
      <c r="P2" s="150" t="s">
        <v>563</v>
      </c>
      <c r="Q2" s="149" t="s">
        <v>564</v>
      </c>
      <c r="R2" s="150" t="s">
        <v>565</v>
      </c>
      <c r="S2" s="146" t="s">
        <v>41</v>
      </c>
      <c r="T2" s="146" t="s">
        <v>42</v>
      </c>
      <c r="U2" s="146" t="s">
        <v>43</v>
      </c>
      <c r="V2" s="146" t="s">
        <v>44</v>
      </c>
    </row>
    <row r="3" spans="1:22" x14ac:dyDescent="0.35">
      <c r="A3" s="141"/>
      <c r="B3" s="142"/>
      <c r="C3" s="141"/>
      <c r="D3" s="141"/>
      <c r="E3" s="141"/>
      <c r="F3" s="141"/>
      <c r="G3" s="183"/>
      <c r="H3" s="183"/>
      <c r="I3" s="143"/>
      <c r="J3" s="144"/>
      <c r="K3" s="144"/>
      <c r="L3" s="142"/>
      <c r="M3" s="142"/>
      <c r="N3" s="145">
        <f>$O$1</f>
        <v>45931</v>
      </c>
      <c r="O3" s="145">
        <f>$O$1</f>
        <v>45931</v>
      </c>
      <c r="P3" s="145">
        <f>$O$1</f>
        <v>45931</v>
      </c>
      <c r="Q3" s="145">
        <f>$O$1</f>
        <v>45931</v>
      </c>
      <c r="R3" s="145">
        <f>$O$1</f>
        <v>45931</v>
      </c>
      <c r="S3" s="142"/>
      <c r="T3" s="142"/>
      <c r="U3" s="142"/>
      <c r="V3" s="142"/>
    </row>
    <row r="4" spans="1:22" x14ac:dyDescent="0.35">
      <c r="A4" t="s">
        <v>364</v>
      </c>
      <c r="B4" s="8" t="s">
        <v>365</v>
      </c>
      <c r="C4" t="s">
        <v>393</v>
      </c>
      <c r="D4" t="s">
        <v>394</v>
      </c>
      <c r="E4" t="s">
        <v>146</v>
      </c>
      <c r="F4" t="s">
        <v>395</v>
      </c>
      <c r="G4" s="26">
        <f>IF(SCO_T[[#This Row],[Zw/w p/j]]=0,"",IF((SCO_T[[#This Row],[Zw/w p/j]]+SCO_T[[#This Row],[Kleur p/j]])&lt;SOTOG!$H$1,1,IF((SCO_T[[#This Row],[Zw/w p/j]]+SCO_T[[#This Row],[Kleur p/j]])&gt;SOTOG!$G$1,2,"")))</f>
        <v>1</v>
      </c>
      <c r="H4" s="26" t="str">
        <f>IF(AND(SCO_T[[#This Row],[Zw/w p/j]]+SCO_T[[#This Row],[Kleur p/j]]&gt;=SOTOG!$H$1,SCO_T[[#This Row],[Zw/w p/j]]+SCO_T[[#This Row],[Kleur p/j]]&lt;SOTOG!$G$1),1,"")</f>
        <v/>
      </c>
      <c r="I4" s="4">
        <v>44470</v>
      </c>
      <c r="J4" s="1">
        <f>SCO_T[[#This Row],[Zw/w p/m]]*12</f>
        <v>49350</v>
      </c>
      <c r="K4" s="1">
        <f>SCO_T[[#This Row],[kleur p/m]]*12</f>
        <v>3165</v>
      </c>
      <c r="L4" s="154">
        <f>((877*2)+47596)/12</f>
        <v>4112.5</v>
      </c>
      <c r="M4" s="154">
        <f>((159*2)+2847)/12</f>
        <v>263.75</v>
      </c>
      <c r="N4" s="2">
        <f>INT(_xlfn.DAYS($O$1,SCO_T[[#This Row],[Datum in gebruikname]])/30.41)</f>
        <v>48</v>
      </c>
      <c r="O4" s="2">
        <f>IF(SCO_T[[#This Row],[Model 1
(eis M1 t/m M27)]]="","",SCO_T[[#This Row],[Zw/w p/m]]*SCO_T[[#This Row],[Aantal maanden]])</f>
        <v>197400</v>
      </c>
      <c r="P4" s="2">
        <f>IF(SCO_T[[#This Row],[Model 1
(eis M1 t/m M27)]]="","",SCO_T[[#This Row],[kleur p/m]]*SCO_T[[#This Row],[Aantal maanden]])</f>
        <v>12660</v>
      </c>
      <c r="Q4" s="2" t="str">
        <f>IF(SCO_T[[#This Row],[Model 2
(eis M1 t/m M27)]]="","",SCO_T[[#This Row],[Zw/w p/m]]*SCO_T[[#This Row],[Aantal maanden]])</f>
        <v/>
      </c>
      <c r="R4" s="2" t="str">
        <f>IF(SCO_T[[#This Row],[Model 2
(eis M1 t/m M27)]]="","",SCO_T[[#This Row],[kleur p/m]]*SCO_T[[#This Row],[Aantal maanden]])</f>
        <v/>
      </c>
      <c r="S4" s="8">
        <f>IF(SCO_T[[#This Row],[Model 1
(eis M1 t/m M27)]]="","",SCO_T[[#This Row],[Zw/w p/j]])</f>
        <v>49350</v>
      </c>
      <c r="T4" s="8">
        <f>IF(SCO_T[[#This Row],[Model 1
(eis M1 t/m M27)]]="","",SCO_T[[#This Row],[Kleur p/j]])</f>
        <v>3165</v>
      </c>
      <c r="U4" s="8" t="str">
        <f>IF(SCO_T[[#This Row],[Model 2
(eis M1 t/m M27)]]="","",SCO_T[[#This Row],[Zw/w p/j]])</f>
        <v/>
      </c>
      <c r="V4" s="8" t="str">
        <f>IF(SCO_T[[#This Row],[Model 2
(eis M1 t/m M27)]]="","",SCO_T[[#This Row],[Kleur p/j]])</f>
        <v/>
      </c>
    </row>
    <row r="5" spans="1:22" x14ac:dyDescent="0.35">
      <c r="A5" t="s">
        <v>366</v>
      </c>
      <c r="B5" s="8" t="s">
        <v>367</v>
      </c>
      <c r="C5" t="s">
        <v>396</v>
      </c>
      <c r="D5" t="s">
        <v>397</v>
      </c>
      <c r="E5" t="s">
        <v>398</v>
      </c>
      <c r="F5" t="s">
        <v>399</v>
      </c>
      <c r="G5" s="26">
        <f>IF(SCO_T[[#This Row],[Zw/w p/j]]=0,"",IF((SCO_T[[#This Row],[Zw/w p/j]]+SCO_T[[#This Row],[Kleur p/j]])&lt;SOTOG!$H$1,1,IF((SCO_T[[#This Row],[Zw/w p/j]]+SCO_T[[#This Row],[Kleur p/j]])&gt;SOTOG!$G$1,2,"")))</f>
        <v>1</v>
      </c>
      <c r="H5" s="26" t="str">
        <f>IF(AND(SCO_T[[#This Row],[Zw/w p/j]]+SCO_T[[#This Row],[Kleur p/j]]&gt;=SOTOG!$H$1,SCO_T[[#This Row],[Zw/w p/j]]+SCO_T[[#This Row],[Kleur p/j]]&lt;SOTOG!$G$1),1,"")</f>
        <v/>
      </c>
      <c r="I5" s="4">
        <v>44470</v>
      </c>
      <c r="J5" s="1">
        <f>SCO_T[[#This Row],[Zw/w p/m]]*12</f>
        <v>135851</v>
      </c>
      <c r="K5" s="1">
        <f>SCO_T[[#This Row],[kleur p/m]]*12</f>
        <v>26456</v>
      </c>
      <c r="L5" s="154">
        <f>((2329*2)+131193)/12</f>
        <v>11320.916666666666</v>
      </c>
      <c r="M5" s="154">
        <f>((964*2)+24528)/12</f>
        <v>2204.6666666666665</v>
      </c>
      <c r="N5" s="2">
        <f>INT(_xlfn.DAYS($O$1,SCO_T[[#This Row],[Datum in gebruikname]])/30.41)</f>
        <v>48</v>
      </c>
      <c r="O5" s="2">
        <f>IF(SCO_T[[#This Row],[Model 1
(eis M1 t/m M27)]]="","",SCO_T[[#This Row],[Zw/w p/m]]*SCO_T[[#This Row],[Aantal maanden]])</f>
        <v>543404</v>
      </c>
      <c r="P5" s="2">
        <f>IF(SCO_T[[#This Row],[Model 1
(eis M1 t/m M27)]]="","",SCO_T[[#This Row],[kleur p/m]]*SCO_T[[#This Row],[Aantal maanden]])</f>
        <v>105824</v>
      </c>
      <c r="Q5" s="2" t="str">
        <f>IF(SCO_T[[#This Row],[Model 2
(eis M1 t/m M27)]]="","",SCO_T[[#This Row],[Zw/w p/m]]*SCO_T[[#This Row],[Aantal maanden]])</f>
        <v/>
      </c>
      <c r="R5" s="2" t="str">
        <f>IF(SCO_T[[#This Row],[Model 2
(eis M1 t/m M27)]]="","",SCO_T[[#This Row],[kleur p/m]]*SCO_T[[#This Row],[Aantal maanden]])</f>
        <v/>
      </c>
      <c r="S5" s="8">
        <f>IF(SCO_T[[#This Row],[Model 1
(eis M1 t/m M27)]]="","",SCO_T[[#This Row],[Zw/w p/j]])</f>
        <v>135851</v>
      </c>
      <c r="T5" s="8">
        <f>IF(SCO_T[[#This Row],[Model 1
(eis M1 t/m M27)]]="","",SCO_T[[#This Row],[Kleur p/j]])</f>
        <v>26456</v>
      </c>
      <c r="U5" s="8" t="str">
        <f>IF(SCO_T[[#This Row],[Model 2
(eis M1 t/m M27)]]="","",SCO_T[[#This Row],[Zw/w p/j]])</f>
        <v/>
      </c>
      <c r="V5" s="8" t="str">
        <f>IF(SCO_T[[#This Row],[Model 2
(eis M1 t/m M27)]]="","",SCO_T[[#This Row],[Kleur p/j]])</f>
        <v/>
      </c>
    </row>
    <row r="6" spans="1:22" x14ac:dyDescent="0.35">
      <c r="A6" t="s">
        <v>368</v>
      </c>
      <c r="B6" s="8" t="s">
        <v>369</v>
      </c>
      <c r="C6" t="s">
        <v>400</v>
      </c>
      <c r="D6" t="s">
        <v>401</v>
      </c>
      <c r="E6" t="s">
        <v>402</v>
      </c>
      <c r="F6" t="s">
        <v>403</v>
      </c>
      <c r="G6" s="26">
        <f>IF(SCO_T[[#This Row],[Zw/w p/j]]=0,"",IF((SCO_T[[#This Row],[Zw/w p/j]]+SCO_T[[#This Row],[Kleur p/j]])&lt;SOTOG!$H$1,1,IF((SCO_T[[#This Row],[Zw/w p/j]]+SCO_T[[#This Row],[Kleur p/j]])&gt;SOTOG!$G$1,2,"")))</f>
        <v>1</v>
      </c>
      <c r="H6" s="26" t="str">
        <f>IF(AND(SCO_T[[#This Row],[Zw/w p/j]]+SCO_T[[#This Row],[Kleur p/j]]&gt;=SOTOG!$H$1,SCO_T[[#This Row],[Zw/w p/j]]+SCO_T[[#This Row],[Kleur p/j]]&lt;SOTOG!$G$1),1,"")</f>
        <v/>
      </c>
      <c r="I6" s="4">
        <v>44470</v>
      </c>
      <c r="J6" s="1">
        <f>SCO_T[[#This Row],[Zw/w p/m]]*12</f>
        <v>4809</v>
      </c>
      <c r="K6" s="1">
        <f>SCO_T[[#This Row],[kleur p/m]]*12</f>
        <v>8029</v>
      </c>
      <c r="L6" s="154">
        <f>((177*2)+4455)/12</f>
        <v>400.75</v>
      </c>
      <c r="M6" s="154">
        <f>((3*2)+8023)/12</f>
        <v>669.08333333333337</v>
      </c>
      <c r="N6" s="2">
        <f>INT(_xlfn.DAYS($O$1,SCO_T[[#This Row],[Datum in gebruikname]])/30.41)</f>
        <v>48</v>
      </c>
      <c r="O6" s="2">
        <f>IF(SCO_T[[#This Row],[Model 1
(eis M1 t/m M27)]]="","",SCO_T[[#This Row],[Zw/w p/m]]*SCO_T[[#This Row],[Aantal maanden]])</f>
        <v>19236</v>
      </c>
      <c r="P6" s="2">
        <f>IF(SCO_T[[#This Row],[Model 1
(eis M1 t/m M27)]]="","",SCO_T[[#This Row],[kleur p/m]]*SCO_T[[#This Row],[Aantal maanden]])</f>
        <v>32116</v>
      </c>
      <c r="Q6" s="2" t="str">
        <f>IF(SCO_T[[#This Row],[Model 2
(eis M1 t/m M27)]]="","",SCO_T[[#This Row],[Zw/w p/m]]*SCO_T[[#This Row],[Aantal maanden]])</f>
        <v/>
      </c>
      <c r="R6" s="2" t="str">
        <f>IF(SCO_T[[#This Row],[Model 2
(eis M1 t/m M27)]]="","",SCO_T[[#This Row],[kleur p/m]]*SCO_T[[#This Row],[Aantal maanden]])</f>
        <v/>
      </c>
      <c r="S6" s="8">
        <f>IF(SCO_T[[#This Row],[Model 1
(eis M1 t/m M27)]]="","",SCO_T[[#This Row],[Zw/w p/j]])</f>
        <v>4809</v>
      </c>
      <c r="T6" s="8">
        <f>IF(SCO_T[[#This Row],[Model 1
(eis M1 t/m M27)]]="","",SCO_T[[#This Row],[Kleur p/j]])</f>
        <v>8029</v>
      </c>
      <c r="U6" s="8" t="str">
        <f>IF(SCO_T[[#This Row],[Model 2
(eis M1 t/m M27)]]="","",SCO_T[[#This Row],[Zw/w p/j]])</f>
        <v/>
      </c>
      <c r="V6" s="8" t="str">
        <f>IF(SCO_T[[#This Row],[Model 2
(eis M1 t/m M27)]]="","",SCO_T[[#This Row],[Kleur p/j]])</f>
        <v/>
      </c>
    </row>
    <row r="7" spans="1:22" x14ac:dyDescent="0.35">
      <c r="A7" t="s">
        <v>370</v>
      </c>
      <c r="B7" s="164" t="s">
        <v>371</v>
      </c>
      <c r="C7" t="s">
        <v>404</v>
      </c>
      <c r="D7" t="s">
        <v>401</v>
      </c>
      <c r="E7" t="s">
        <v>402</v>
      </c>
      <c r="F7" t="s">
        <v>405</v>
      </c>
      <c r="G7" s="26" t="str">
        <f>IF(SCO_T[[#This Row],[Zw/w p/j]]=0,"",IF((SCO_T[[#This Row],[Zw/w p/j]]+SCO_T[[#This Row],[Kleur p/j]])&lt;SOTOG!$H$1,1,IF((SCO_T[[#This Row],[Zw/w p/j]]+SCO_T[[#This Row],[Kleur p/j]])&gt;SOTOG!$G$1,2,"")))</f>
        <v/>
      </c>
      <c r="H7" s="26">
        <f>IF(AND(SCO_T[[#This Row],[Zw/w p/j]]+SCO_T[[#This Row],[Kleur p/j]]&gt;=SOTOG!$H$1,SCO_T[[#This Row],[Zw/w p/j]]+SCO_T[[#This Row],[Kleur p/j]]&lt;SOTOG!$G$1),1,"")</f>
        <v>1</v>
      </c>
      <c r="I7" s="4">
        <v>44470</v>
      </c>
      <c r="J7" s="1">
        <f>SCO_T[[#This Row],[Zw/w p/m]]*12</f>
        <v>275933</v>
      </c>
      <c r="K7" s="1">
        <f>SCO_T[[#This Row],[kleur p/m]]*12</f>
        <v>38732</v>
      </c>
      <c r="L7" s="154">
        <f>((5661*2)+264611)/12</f>
        <v>22994.416666666668</v>
      </c>
      <c r="M7" s="154">
        <f>((1013*2)+36706)/12</f>
        <v>3227.6666666666665</v>
      </c>
      <c r="N7" s="2">
        <f>INT(_xlfn.DAYS($O$1,SCO_T[[#This Row],[Datum in gebruikname]])/30.41)</f>
        <v>48</v>
      </c>
      <c r="O7" s="2" t="str">
        <f>IF(SCO_T[[#This Row],[Model 1
(eis M1 t/m M27)]]="","",SCO_T[[#This Row],[Zw/w p/m]]*SCO_T[[#This Row],[Aantal maanden]])</f>
        <v/>
      </c>
      <c r="P7" s="2" t="str">
        <f>IF(SCO_T[[#This Row],[Model 1
(eis M1 t/m M27)]]="","",SCO_T[[#This Row],[kleur p/m]]*SCO_T[[#This Row],[Aantal maanden]])</f>
        <v/>
      </c>
      <c r="Q7" s="2">
        <f>IF(SCO_T[[#This Row],[Model 2
(eis M1 t/m M27)]]="","",SCO_T[[#This Row],[Zw/w p/m]]*SCO_T[[#This Row],[Aantal maanden]])</f>
        <v>1103732</v>
      </c>
      <c r="R7" s="2">
        <f>IF(SCO_T[[#This Row],[Model 2
(eis M1 t/m M27)]]="","",SCO_T[[#This Row],[kleur p/m]]*SCO_T[[#This Row],[Aantal maanden]])</f>
        <v>154928</v>
      </c>
      <c r="S7" s="8" t="str">
        <f>IF(SCO_T[[#This Row],[Model 1
(eis M1 t/m M27)]]="","",SCO_T[[#This Row],[Zw/w p/j]])</f>
        <v/>
      </c>
      <c r="T7" s="8" t="str">
        <f>IF(SCO_T[[#This Row],[Model 1
(eis M1 t/m M27)]]="","",SCO_T[[#This Row],[Kleur p/j]])</f>
        <v/>
      </c>
      <c r="U7" s="8">
        <f>IF(SCO_T[[#This Row],[Model 2
(eis M1 t/m M27)]]="","",SCO_T[[#This Row],[Zw/w p/j]])</f>
        <v>275933</v>
      </c>
      <c r="V7" s="8">
        <f>IF(SCO_T[[#This Row],[Model 2
(eis M1 t/m M27)]]="","",SCO_T[[#This Row],[Kleur p/j]])</f>
        <v>38732</v>
      </c>
    </row>
    <row r="8" spans="1:22" x14ac:dyDescent="0.35">
      <c r="A8" t="s">
        <v>372</v>
      </c>
      <c r="B8" s="8" t="s">
        <v>373</v>
      </c>
      <c r="C8" t="s">
        <v>406</v>
      </c>
      <c r="D8" t="s">
        <v>407</v>
      </c>
      <c r="E8" t="s">
        <v>402</v>
      </c>
      <c r="F8" t="s">
        <v>408</v>
      </c>
      <c r="G8" s="26">
        <f>IF(SCO_T[[#This Row],[Zw/w p/j]]=0,"",IF((SCO_T[[#This Row],[Zw/w p/j]]+SCO_T[[#This Row],[Kleur p/j]])&lt;SOTOG!$H$1,1,IF((SCO_T[[#This Row],[Zw/w p/j]]+SCO_T[[#This Row],[Kleur p/j]])&gt;SOTOG!$G$1,2,"")))</f>
        <v>1</v>
      </c>
      <c r="H8" s="26" t="str">
        <f>IF(AND(SCO_T[[#This Row],[Zw/w p/j]]+SCO_T[[#This Row],[Kleur p/j]]&gt;=SOTOG!$H$1,SCO_T[[#This Row],[Zw/w p/j]]+SCO_T[[#This Row],[Kleur p/j]]&lt;SOTOG!$G$1),1,"")</f>
        <v/>
      </c>
      <c r="I8" s="4">
        <v>44470</v>
      </c>
      <c r="J8" s="1">
        <f>SCO_T[[#This Row],[Zw/w p/m]]*12</f>
        <v>45405</v>
      </c>
      <c r="K8" s="1">
        <f>SCO_T[[#This Row],[kleur p/m]]*12</f>
        <v>8206</v>
      </c>
      <c r="L8" s="154">
        <f>((742*2)+43921)/12</f>
        <v>3783.75</v>
      </c>
      <c r="M8" s="154">
        <f>((23*2)+8160)/12</f>
        <v>683.83333333333337</v>
      </c>
      <c r="N8" s="2">
        <f>INT(_xlfn.DAYS($O$1,SCO_T[[#This Row],[Datum in gebruikname]])/30.41)</f>
        <v>48</v>
      </c>
      <c r="O8" s="2">
        <f>IF(SCO_T[[#This Row],[Model 1
(eis M1 t/m M27)]]="","",SCO_T[[#This Row],[Zw/w p/m]]*SCO_T[[#This Row],[Aantal maanden]])</f>
        <v>181620</v>
      </c>
      <c r="P8" s="2">
        <f>IF(SCO_T[[#This Row],[Model 1
(eis M1 t/m M27)]]="","",SCO_T[[#This Row],[kleur p/m]]*SCO_T[[#This Row],[Aantal maanden]])</f>
        <v>32824</v>
      </c>
      <c r="Q8" s="2" t="str">
        <f>IF(SCO_T[[#This Row],[Model 2
(eis M1 t/m M27)]]="","",SCO_T[[#This Row],[Zw/w p/m]]*SCO_T[[#This Row],[Aantal maanden]])</f>
        <v/>
      </c>
      <c r="R8" s="2" t="str">
        <f>IF(SCO_T[[#This Row],[Model 2
(eis M1 t/m M27)]]="","",SCO_T[[#This Row],[kleur p/m]]*SCO_T[[#This Row],[Aantal maanden]])</f>
        <v/>
      </c>
      <c r="S8" s="8">
        <f>IF(SCO_T[[#This Row],[Model 1
(eis M1 t/m M27)]]="","",SCO_T[[#This Row],[Zw/w p/j]])</f>
        <v>45405</v>
      </c>
      <c r="T8" s="8">
        <f>IF(SCO_T[[#This Row],[Model 1
(eis M1 t/m M27)]]="","",SCO_T[[#This Row],[Kleur p/j]])</f>
        <v>8206</v>
      </c>
      <c r="U8" s="8" t="str">
        <f>IF(SCO_T[[#This Row],[Model 2
(eis M1 t/m M27)]]="","",SCO_T[[#This Row],[Zw/w p/j]])</f>
        <v/>
      </c>
      <c r="V8" s="8" t="str">
        <f>IF(SCO_T[[#This Row],[Model 2
(eis M1 t/m M27)]]="","",SCO_T[[#This Row],[Kleur p/j]])</f>
        <v/>
      </c>
    </row>
    <row r="9" spans="1:22" x14ac:dyDescent="0.35">
      <c r="A9" t="s">
        <v>374</v>
      </c>
      <c r="B9" s="8" t="s">
        <v>375</v>
      </c>
      <c r="C9" t="s">
        <v>409</v>
      </c>
      <c r="D9" t="s">
        <v>410</v>
      </c>
      <c r="E9" t="s">
        <v>402</v>
      </c>
      <c r="F9" t="s">
        <v>411</v>
      </c>
      <c r="G9" s="26">
        <f>IF(SCO_T[[#This Row],[Zw/w p/j]]=0,"",IF((SCO_T[[#This Row],[Zw/w p/j]]+SCO_T[[#This Row],[Kleur p/j]])&lt;SOTOG!$H$1,1,IF((SCO_T[[#This Row],[Zw/w p/j]]+SCO_T[[#This Row],[Kleur p/j]])&gt;SOTOG!$G$1,2,"")))</f>
        <v>1</v>
      </c>
      <c r="H9" s="26" t="str">
        <f>IF(AND(SCO_T[[#This Row],[Zw/w p/j]]+SCO_T[[#This Row],[Kleur p/j]]&gt;=SOTOG!$H$1,SCO_T[[#This Row],[Zw/w p/j]]+SCO_T[[#This Row],[Kleur p/j]]&lt;SOTOG!$G$1),1,"")</f>
        <v/>
      </c>
      <c r="I9" s="4">
        <v>44470</v>
      </c>
      <c r="J9" s="1">
        <f>SCO_T[[#This Row],[Zw/w p/m]]*12</f>
        <v>91233</v>
      </c>
      <c r="K9" s="1">
        <f>SCO_T[[#This Row],[kleur p/m]]*12</f>
        <v>12818</v>
      </c>
      <c r="L9" s="154">
        <f>((2073*2)+87087)/12</f>
        <v>7602.75</v>
      </c>
      <c r="M9" s="154">
        <f>((640*2)+11538)/12</f>
        <v>1068.1666666666667</v>
      </c>
      <c r="N9" s="2">
        <f>INT(_xlfn.DAYS($O$1,SCO_T[[#This Row],[Datum in gebruikname]])/30.41)</f>
        <v>48</v>
      </c>
      <c r="O9" s="2">
        <f>IF(SCO_T[[#This Row],[Model 1
(eis M1 t/m M27)]]="","",SCO_T[[#This Row],[Zw/w p/m]]*SCO_T[[#This Row],[Aantal maanden]])</f>
        <v>364932</v>
      </c>
      <c r="P9" s="2">
        <f>IF(SCO_T[[#This Row],[Model 1
(eis M1 t/m M27)]]="","",SCO_T[[#This Row],[kleur p/m]]*SCO_T[[#This Row],[Aantal maanden]])</f>
        <v>51272</v>
      </c>
      <c r="Q9" s="2" t="str">
        <f>IF(SCO_T[[#This Row],[Model 2
(eis M1 t/m M27)]]="","",SCO_T[[#This Row],[Zw/w p/m]]*SCO_T[[#This Row],[Aantal maanden]])</f>
        <v/>
      </c>
      <c r="R9" s="2" t="str">
        <f>IF(SCO_T[[#This Row],[Model 2
(eis M1 t/m M27)]]="","",SCO_T[[#This Row],[kleur p/m]]*SCO_T[[#This Row],[Aantal maanden]])</f>
        <v/>
      </c>
      <c r="S9" s="8">
        <f>IF(SCO_T[[#This Row],[Model 1
(eis M1 t/m M27)]]="","",SCO_T[[#This Row],[Zw/w p/j]])</f>
        <v>91233</v>
      </c>
      <c r="T9" s="8">
        <f>IF(SCO_T[[#This Row],[Model 1
(eis M1 t/m M27)]]="","",SCO_T[[#This Row],[Kleur p/j]])</f>
        <v>12818</v>
      </c>
      <c r="U9" s="8" t="str">
        <f>IF(SCO_T[[#This Row],[Model 2
(eis M1 t/m M27)]]="","",SCO_T[[#This Row],[Zw/w p/j]])</f>
        <v/>
      </c>
      <c r="V9" s="8" t="str">
        <f>IF(SCO_T[[#This Row],[Model 2
(eis M1 t/m M27)]]="","",SCO_T[[#This Row],[Kleur p/j]])</f>
        <v/>
      </c>
    </row>
    <row r="10" spans="1:22" x14ac:dyDescent="0.35">
      <c r="A10" t="s">
        <v>376</v>
      </c>
      <c r="B10" s="2" t="s">
        <v>377</v>
      </c>
      <c r="C10" t="s">
        <v>412</v>
      </c>
      <c r="D10" t="s">
        <v>413</v>
      </c>
      <c r="E10" t="s">
        <v>402</v>
      </c>
      <c r="F10" t="s">
        <v>414</v>
      </c>
      <c r="G10" s="26">
        <f>IF(SCO_T[[#This Row],[Zw/w p/j]]=0,"",IF((SCO_T[[#This Row],[Zw/w p/j]]+SCO_T[[#This Row],[Kleur p/j]])&lt;SOTOG!$H$1,1,IF((SCO_T[[#This Row],[Zw/w p/j]]+SCO_T[[#This Row],[Kleur p/j]])&gt;SOTOG!$G$1,2,"")))</f>
        <v>1</v>
      </c>
      <c r="H10" s="26" t="str">
        <f>IF(AND(SCO_T[[#This Row],[Zw/w p/j]]+SCO_T[[#This Row],[Kleur p/j]]&gt;=SOTOG!$H$1,SCO_T[[#This Row],[Zw/w p/j]]+SCO_T[[#This Row],[Kleur p/j]]&lt;SOTOG!$G$1),1,"")</f>
        <v/>
      </c>
      <c r="I10" s="4">
        <v>44470</v>
      </c>
      <c r="J10" s="1">
        <f>SCO_T[[#This Row],[Zw/w p/m]]*12</f>
        <v>41575</v>
      </c>
      <c r="K10" s="1">
        <f>SCO_T[[#This Row],[kleur p/m]]*12</f>
        <v>11769</v>
      </c>
      <c r="L10" s="154">
        <f>((742*2)+40091)/12</f>
        <v>3464.5833333333335</v>
      </c>
      <c r="M10" s="154">
        <f>((336*2)+11097)/12</f>
        <v>980.75</v>
      </c>
      <c r="N10" s="2">
        <f>INT(_xlfn.DAYS($O$1,SCO_T[[#This Row],[Datum in gebruikname]])/30.41)</f>
        <v>48</v>
      </c>
      <c r="O10" s="2">
        <f>IF(SCO_T[[#This Row],[Model 1
(eis M1 t/m M27)]]="","",SCO_T[[#This Row],[Zw/w p/m]]*SCO_T[[#This Row],[Aantal maanden]])</f>
        <v>166300</v>
      </c>
      <c r="P10" s="2">
        <f>IF(SCO_T[[#This Row],[Model 1
(eis M1 t/m M27)]]="","",SCO_T[[#This Row],[kleur p/m]]*SCO_T[[#This Row],[Aantal maanden]])</f>
        <v>47076</v>
      </c>
      <c r="Q10" s="2" t="str">
        <f>IF(SCO_T[[#This Row],[Model 2
(eis M1 t/m M27)]]="","",SCO_T[[#This Row],[Zw/w p/m]]*SCO_T[[#This Row],[Aantal maanden]])</f>
        <v/>
      </c>
      <c r="R10" s="2" t="str">
        <f>IF(SCO_T[[#This Row],[Model 2
(eis M1 t/m M27)]]="","",SCO_T[[#This Row],[kleur p/m]]*SCO_T[[#This Row],[Aantal maanden]])</f>
        <v/>
      </c>
      <c r="S10" s="2">
        <f>IF(SCO_T[[#This Row],[Model 1
(eis M1 t/m M27)]]="","",SCO_T[[#This Row],[Zw/w p/j]])</f>
        <v>41575</v>
      </c>
      <c r="T10" s="2">
        <f>IF(SCO_T[[#This Row],[Model 1
(eis M1 t/m M27)]]="","",SCO_T[[#This Row],[Kleur p/j]])</f>
        <v>11769</v>
      </c>
      <c r="U10" s="2" t="str">
        <f>IF(SCO_T[[#This Row],[Model 2
(eis M1 t/m M27)]]="","",SCO_T[[#This Row],[Zw/w p/j]])</f>
        <v/>
      </c>
      <c r="V10" s="2" t="str">
        <f>IF(SCO_T[[#This Row],[Model 2
(eis M1 t/m M27)]]="","",SCO_T[[#This Row],[Kleur p/j]])</f>
        <v/>
      </c>
    </row>
    <row r="11" spans="1:22" x14ac:dyDescent="0.35">
      <c r="A11" t="s">
        <v>378</v>
      </c>
      <c r="B11" s="2" t="s">
        <v>379</v>
      </c>
      <c r="C11" t="s">
        <v>415</v>
      </c>
      <c r="D11" t="s">
        <v>416</v>
      </c>
      <c r="E11" t="s">
        <v>402</v>
      </c>
      <c r="F11" t="s">
        <v>417</v>
      </c>
      <c r="G11" s="26">
        <f>IF(SCO_T[[#This Row],[Zw/w p/j]]=0,"",IF((SCO_T[[#This Row],[Zw/w p/j]]+SCO_T[[#This Row],[Kleur p/j]])&lt;SOTOG!$H$1,1,IF((SCO_T[[#This Row],[Zw/w p/j]]+SCO_T[[#This Row],[Kleur p/j]])&gt;SOTOG!$G$1,2,"")))</f>
        <v>1</v>
      </c>
      <c r="H11" s="26" t="str">
        <f>IF(AND(SCO_T[[#This Row],[Zw/w p/j]]+SCO_T[[#This Row],[Kleur p/j]]&gt;=SOTOG!$H$1,SCO_T[[#This Row],[Zw/w p/j]]+SCO_T[[#This Row],[Kleur p/j]]&lt;SOTOG!$G$1),1,"")</f>
        <v/>
      </c>
      <c r="I11" s="4">
        <v>44470</v>
      </c>
      <c r="J11" s="1">
        <f>SCO_T[[#This Row],[Zw/w p/m]]*12</f>
        <v>68853</v>
      </c>
      <c r="K11" s="1">
        <f>SCO_T[[#This Row],[kleur p/m]]*12</f>
        <v>7024</v>
      </c>
      <c r="L11" s="154">
        <f>((2461*2)+63931)/12</f>
        <v>5737.75</v>
      </c>
      <c r="M11" s="154">
        <f>((245*2)+6534)/12</f>
        <v>585.33333333333337</v>
      </c>
      <c r="N11" s="2">
        <f>INT(_xlfn.DAYS($O$1,SCO_T[[#This Row],[Datum in gebruikname]])/30.41)</f>
        <v>48</v>
      </c>
      <c r="O11" s="2">
        <f>IF(SCO_T[[#This Row],[Model 1
(eis M1 t/m M27)]]="","",SCO_T[[#This Row],[Zw/w p/m]]*SCO_T[[#This Row],[Aantal maanden]])</f>
        <v>275412</v>
      </c>
      <c r="P11" s="2">
        <f>IF(SCO_T[[#This Row],[Model 1
(eis M1 t/m M27)]]="","",SCO_T[[#This Row],[kleur p/m]]*SCO_T[[#This Row],[Aantal maanden]])</f>
        <v>28096</v>
      </c>
      <c r="Q11" s="2" t="str">
        <f>IF(SCO_T[[#This Row],[Model 2
(eis M1 t/m M27)]]="","",SCO_T[[#This Row],[Zw/w p/m]]*SCO_T[[#This Row],[Aantal maanden]])</f>
        <v/>
      </c>
      <c r="R11" s="2" t="str">
        <f>IF(SCO_T[[#This Row],[Model 2
(eis M1 t/m M27)]]="","",SCO_T[[#This Row],[kleur p/m]]*SCO_T[[#This Row],[Aantal maanden]])</f>
        <v/>
      </c>
      <c r="S11" s="2">
        <f>IF(SCO_T[[#This Row],[Model 1
(eis M1 t/m M27)]]="","",SCO_T[[#This Row],[Zw/w p/j]])</f>
        <v>68853</v>
      </c>
      <c r="T11" s="2">
        <f>IF(SCO_T[[#This Row],[Model 1
(eis M1 t/m M27)]]="","",SCO_T[[#This Row],[Kleur p/j]])</f>
        <v>7024</v>
      </c>
      <c r="U11" s="2" t="str">
        <f>IF(SCO_T[[#This Row],[Model 2
(eis M1 t/m M27)]]="","",SCO_T[[#This Row],[Zw/w p/j]])</f>
        <v/>
      </c>
      <c r="V11" s="2" t="str">
        <f>IF(SCO_T[[#This Row],[Model 2
(eis M1 t/m M27)]]="","",SCO_T[[#This Row],[Kleur p/j]])</f>
        <v/>
      </c>
    </row>
    <row r="12" spans="1:22" x14ac:dyDescent="0.35">
      <c r="A12" t="s">
        <v>380</v>
      </c>
      <c r="B12" s="2" t="s">
        <v>206</v>
      </c>
      <c r="C12" t="s">
        <v>418</v>
      </c>
      <c r="D12" t="s">
        <v>419</v>
      </c>
      <c r="E12" t="s">
        <v>402</v>
      </c>
      <c r="F12" t="s">
        <v>420</v>
      </c>
      <c r="G12" s="26">
        <f>IF(SCO_T[[#This Row],[Zw/w p/j]]=0,"",IF((SCO_T[[#This Row],[Zw/w p/j]]+SCO_T[[#This Row],[Kleur p/j]])&lt;SOTOG!$H$1,1,IF((SCO_T[[#This Row],[Zw/w p/j]]+SCO_T[[#This Row],[Kleur p/j]])&gt;SOTOG!$G$1,2,"")))</f>
        <v>1</v>
      </c>
      <c r="H12" s="26" t="str">
        <f>IF(AND(SCO_T[[#This Row],[Zw/w p/j]]+SCO_T[[#This Row],[Kleur p/j]]&gt;=SOTOG!$H$1,SCO_T[[#This Row],[Zw/w p/j]]+SCO_T[[#This Row],[Kleur p/j]]&lt;SOTOG!$G$1),1,"")</f>
        <v/>
      </c>
      <c r="I12" s="4">
        <v>44470</v>
      </c>
      <c r="J12" s="1">
        <f>SCO_T[[#This Row],[Zw/w p/m]]*12</f>
        <v>88708</v>
      </c>
      <c r="K12" s="1">
        <f>SCO_T[[#This Row],[kleur p/m]]*12</f>
        <v>24562</v>
      </c>
      <c r="L12" s="154">
        <f>((641*2)+87426)/12</f>
        <v>7392.333333333333</v>
      </c>
      <c r="M12" s="154">
        <f>((282*2)+23998)/12</f>
        <v>2046.8333333333333</v>
      </c>
      <c r="N12" s="2">
        <f>INT(_xlfn.DAYS($O$1,SCO_T[[#This Row],[Datum in gebruikname]])/30.41)</f>
        <v>48</v>
      </c>
      <c r="O12" s="2">
        <f>IF(SCO_T[[#This Row],[Model 1
(eis M1 t/m M27)]]="","",SCO_T[[#This Row],[Zw/w p/m]]*SCO_T[[#This Row],[Aantal maanden]])</f>
        <v>354832</v>
      </c>
      <c r="P12" s="2">
        <f>IF(SCO_T[[#This Row],[Model 1
(eis M1 t/m M27)]]="","",SCO_T[[#This Row],[kleur p/m]]*SCO_T[[#This Row],[Aantal maanden]])</f>
        <v>98248</v>
      </c>
      <c r="Q12" s="2" t="str">
        <f>IF(SCO_T[[#This Row],[Model 2
(eis M1 t/m M27)]]="","",SCO_T[[#This Row],[Zw/w p/m]]*SCO_T[[#This Row],[Aantal maanden]])</f>
        <v/>
      </c>
      <c r="R12" s="2" t="str">
        <f>IF(SCO_T[[#This Row],[Model 2
(eis M1 t/m M27)]]="","",SCO_T[[#This Row],[kleur p/m]]*SCO_T[[#This Row],[Aantal maanden]])</f>
        <v/>
      </c>
      <c r="S12" s="2">
        <f>IF(SCO_T[[#This Row],[Model 1
(eis M1 t/m M27)]]="","",SCO_T[[#This Row],[Zw/w p/j]])</f>
        <v>88708</v>
      </c>
      <c r="T12" s="2">
        <f>IF(SCO_T[[#This Row],[Model 1
(eis M1 t/m M27)]]="","",SCO_T[[#This Row],[Kleur p/j]])</f>
        <v>24562</v>
      </c>
      <c r="U12" s="2" t="str">
        <f>IF(SCO_T[[#This Row],[Model 2
(eis M1 t/m M27)]]="","",SCO_T[[#This Row],[Zw/w p/j]])</f>
        <v/>
      </c>
      <c r="V12" s="2" t="str">
        <f>IF(SCO_T[[#This Row],[Model 2
(eis M1 t/m M27)]]="","",SCO_T[[#This Row],[Kleur p/j]])</f>
        <v/>
      </c>
    </row>
    <row r="13" spans="1:22" x14ac:dyDescent="0.35">
      <c r="A13" t="s">
        <v>381</v>
      </c>
      <c r="B13" s="2" t="s">
        <v>382</v>
      </c>
      <c r="C13" t="s">
        <v>421</v>
      </c>
      <c r="D13" t="s">
        <v>422</v>
      </c>
      <c r="E13" t="s">
        <v>402</v>
      </c>
      <c r="F13" t="s">
        <v>423</v>
      </c>
      <c r="G13" s="26">
        <f>IF(SCO_T[[#This Row],[Zw/w p/j]]=0,"",IF((SCO_T[[#This Row],[Zw/w p/j]]+SCO_T[[#This Row],[Kleur p/j]])&lt;SOTOG!$H$1,1,IF((SCO_T[[#This Row],[Zw/w p/j]]+SCO_T[[#This Row],[Kleur p/j]])&gt;SOTOG!$G$1,2,"")))</f>
        <v>1</v>
      </c>
      <c r="H13" s="26" t="str">
        <f>IF(AND(SCO_T[[#This Row],[Zw/w p/j]]+SCO_T[[#This Row],[Kleur p/j]]&gt;=SOTOG!$H$1,SCO_T[[#This Row],[Zw/w p/j]]+SCO_T[[#This Row],[Kleur p/j]]&lt;SOTOG!$G$1),1,"")</f>
        <v/>
      </c>
      <c r="I13" s="4">
        <v>44470</v>
      </c>
      <c r="J13" s="1">
        <f>SCO_T[[#This Row],[Zw/w p/m]]*12</f>
        <v>111125</v>
      </c>
      <c r="K13" s="1">
        <f>SCO_T[[#This Row],[kleur p/m]]*12</f>
        <v>7010</v>
      </c>
      <c r="L13" s="154">
        <f>((2020*2)+107085)/12</f>
        <v>9260.4166666666661</v>
      </c>
      <c r="M13" s="154">
        <f>((184*2)+6642)/12</f>
        <v>584.16666666666663</v>
      </c>
      <c r="N13" s="2">
        <f>INT(_xlfn.DAYS($O$1,SCO_T[[#This Row],[Datum in gebruikname]])/30.41)</f>
        <v>48</v>
      </c>
      <c r="O13" s="2">
        <f>IF(SCO_T[[#This Row],[Model 1
(eis M1 t/m M27)]]="","",SCO_T[[#This Row],[Zw/w p/m]]*SCO_T[[#This Row],[Aantal maanden]])</f>
        <v>444500</v>
      </c>
      <c r="P13" s="2">
        <f>IF(SCO_T[[#This Row],[Model 1
(eis M1 t/m M27)]]="","",SCO_T[[#This Row],[kleur p/m]]*SCO_T[[#This Row],[Aantal maanden]])</f>
        <v>28040</v>
      </c>
      <c r="Q13" s="2" t="str">
        <f>IF(SCO_T[[#This Row],[Model 2
(eis M1 t/m M27)]]="","",SCO_T[[#This Row],[Zw/w p/m]]*SCO_T[[#This Row],[Aantal maanden]])</f>
        <v/>
      </c>
      <c r="R13" s="2" t="str">
        <f>IF(SCO_T[[#This Row],[Model 2
(eis M1 t/m M27)]]="","",SCO_T[[#This Row],[kleur p/m]]*SCO_T[[#This Row],[Aantal maanden]])</f>
        <v/>
      </c>
      <c r="S13" s="2">
        <f>IF(SCO_T[[#This Row],[Model 1
(eis M1 t/m M27)]]="","",SCO_T[[#This Row],[Zw/w p/j]])</f>
        <v>111125</v>
      </c>
      <c r="T13" s="2">
        <f>IF(SCO_T[[#This Row],[Model 1
(eis M1 t/m M27)]]="","",SCO_T[[#This Row],[Kleur p/j]])</f>
        <v>7010</v>
      </c>
      <c r="U13" s="2" t="str">
        <f>IF(SCO_T[[#This Row],[Model 2
(eis M1 t/m M27)]]="","",SCO_T[[#This Row],[Zw/w p/j]])</f>
        <v/>
      </c>
      <c r="V13" s="2" t="str">
        <f>IF(SCO_T[[#This Row],[Model 2
(eis M1 t/m M27)]]="","",SCO_T[[#This Row],[Kleur p/j]])</f>
        <v/>
      </c>
    </row>
    <row r="14" spans="1:22" x14ac:dyDescent="0.35">
      <c r="A14" t="s">
        <v>383</v>
      </c>
      <c r="B14" s="2" t="s">
        <v>384</v>
      </c>
      <c r="C14" t="s">
        <v>424</v>
      </c>
      <c r="D14" t="s">
        <v>425</v>
      </c>
      <c r="E14" t="s">
        <v>426</v>
      </c>
      <c r="F14" t="s">
        <v>427</v>
      </c>
      <c r="G14" s="26">
        <f>IF(SCO_T[[#This Row],[Zw/w p/j]]=0,"",IF((SCO_T[[#This Row],[Zw/w p/j]]+SCO_T[[#This Row],[Kleur p/j]])&lt;SOTOG!$H$1,1,IF((SCO_T[[#This Row],[Zw/w p/j]]+SCO_T[[#This Row],[Kleur p/j]])&gt;SOTOG!$G$1,2,"")))</f>
        <v>1</v>
      </c>
      <c r="H14" s="26" t="str">
        <f>IF(AND(SCO_T[[#This Row],[Zw/w p/j]]+SCO_T[[#This Row],[Kleur p/j]]&gt;=SOTOG!$H$1,SCO_T[[#This Row],[Zw/w p/j]]+SCO_T[[#This Row],[Kleur p/j]]&lt;SOTOG!$G$1),1,"")</f>
        <v/>
      </c>
      <c r="I14" s="4">
        <v>44470</v>
      </c>
      <c r="J14" s="1">
        <f>SCO_T[[#This Row],[Zw/w p/m]]*12</f>
        <v>171988</v>
      </c>
      <c r="K14" s="1">
        <f>SCO_T[[#This Row],[kleur p/m]]*12</f>
        <v>5232</v>
      </c>
      <c r="L14" s="154">
        <f>((1393*2)+169202)/12</f>
        <v>14332.333333333334</v>
      </c>
      <c r="M14" s="154">
        <f>((148*2)+4936)/12</f>
        <v>436</v>
      </c>
      <c r="N14" s="2">
        <f>INT(_xlfn.DAYS($O$1,SCO_T[[#This Row],[Datum in gebruikname]])/30.41)</f>
        <v>48</v>
      </c>
      <c r="O14" s="2">
        <f>IF(SCO_T[[#This Row],[Model 1
(eis M1 t/m M27)]]="","",SCO_T[[#This Row],[Zw/w p/m]]*SCO_T[[#This Row],[Aantal maanden]])</f>
        <v>687952</v>
      </c>
      <c r="P14" s="2">
        <f>IF(SCO_T[[#This Row],[Model 1
(eis M1 t/m M27)]]="","",SCO_T[[#This Row],[kleur p/m]]*SCO_T[[#This Row],[Aantal maanden]])</f>
        <v>20928</v>
      </c>
      <c r="Q14" s="2" t="str">
        <f>IF(SCO_T[[#This Row],[Model 2
(eis M1 t/m M27)]]="","",SCO_T[[#This Row],[Zw/w p/m]]*SCO_T[[#This Row],[Aantal maanden]])</f>
        <v/>
      </c>
      <c r="R14" s="2" t="str">
        <f>IF(SCO_T[[#This Row],[Model 2
(eis M1 t/m M27)]]="","",SCO_T[[#This Row],[kleur p/m]]*SCO_T[[#This Row],[Aantal maanden]])</f>
        <v/>
      </c>
      <c r="S14" s="2">
        <f>IF(SCO_T[[#This Row],[Model 1
(eis M1 t/m M27)]]="","",SCO_T[[#This Row],[Zw/w p/j]])</f>
        <v>171988</v>
      </c>
      <c r="T14" s="2">
        <f>IF(SCO_T[[#This Row],[Model 1
(eis M1 t/m M27)]]="","",SCO_T[[#This Row],[Kleur p/j]])</f>
        <v>5232</v>
      </c>
      <c r="U14" s="2" t="str">
        <f>IF(SCO_T[[#This Row],[Model 2
(eis M1 t/m M27)]]="","",SCO_T[[#This Row],[Zw/w p/j]])</f>
        <v/>
      </c>
      <c r="V14" s="2" t="str">
        <f>IF(SCO_T[[#This Row],[Model 2
(eis M1 t/m M27)]]="","",SCO_T[[#This Row],[Kleur p/j]])</f>
        <v/>
      </c>
    </row>
    <row r="15" spans="1:22" x14ac:dyDescent="0.35">
      <c r="A15" t="s">
        <v>385</v>
      </c>
      <c r="B15" s="2" t="s">
        <v>386</v>
      </c>
      <c r="C15" t="s">
        <v>428</v>
      </c>
      <c r="D15" t="s">
        <v>425</v>
      </c>
      <c r="E15" t="s">
        <v>426</v>
      </c>
      <c r="F15" t="s">
        <v>429</v>
      </c>
      <c r="G15" s="26">
        <f>IF(SCO_T[[#This Row],[Zw/w p/j]]=0,"",IF((SCO_T[[#This Row],[Zw/w p/j]]+SCO_T[[#This Row],[Kleur p/j]])&lt;SOTOG!$H$1,1,IF((SCO_T[[#This Row],[Zw/w p/j]]+SCO_T[[#This Row],[Kleur p/j]])&gt;SOTOG!$G$1,2,"")))</f>
        <v>1</v>
      </c>
      <c r="H15" s="26" t="str">
        <f>IF(AND(SCO_T[[#This Row],[Zw/w p/j]]+SCO_T[[#This Row],[Kleur p/j]]&gt;=SOTOG!$H$1,SCO_T[[#This Row],[Zw/w p/j]]+SCO_T[[#This Row],[Kleur p/j]]&lt;SOTOG!$G$1),1,"")</f>
        <v/>
      </c>
      <c r="I15" s="4">
        <v>44470</v>
      </c>
      <c r="J15" s="1">
        <f>SCO_T[[#This Row],[Zw/w p/m]]*12</f>
        <v>193508</v>
      </c>
      <c r="K15" s="1">
        <f>SCO_T[[#This Row],[kleur p/m]]*12</f>
        <v>6269</v>
      </c>
      <c r="L15" s="154">
        <f>((2362*2)+188784)/12</f>
        <v>16125.666666666666</v>
      </c>
      <c r="M15" s="154">
        <f>((233*2)+5803)/12</f>
        <v>522.41666666666663</v>
      </c>
      <c r="N15" s="2">
        <f>INT(_xlfn.DAYS($O$1,SCO_T[[#This Row],[Datum in gebruikname]])/30.41)</f>
        <v>48</v>
      </c>
      <c r="O15" s="2">
        <f>IF(SCO_T[[#This Row],[Model 1
(eis M1 t/m M27)]]="","",SCO_T[[#This Row],[Zw/w p/m]]*SCO_T[[#This Row],[Aantal maanden]])</f>
        <v>774032</v>
      </c>
      <c r="P15" s="2">
        <f>IF(SCO_T[[#This Row],[Model 1
(eis M1 t/m M27)]]="","",SCO_T[[#This Row],[kleur p/m]]*SCO_T[[#This Row],[Aantal maanden]])</f>
        <v>25076</v>
      </c>
      <c r="Q15" s="2" t="str">
        <f>IF(SCO_T[[#This Row],[Model 2
(eis M1 t/m M27)]]="","",SCO_T[[#This Row],[Zw/w p/m]]*SCO_T[[#This Row],[Aantal maanden]])</f>
        <v/>
      </c>
      <c r="R15" s="2" t="str">
        <f>IF(SCO_T[[#This Row],[Model 2
(eis M1 t/m M27)]]="","",SCO_T[[#This Row],[kleur p/m]]*SCO_T[[#This Row],[Aantal maanden]])</f>
        <v/>
      </c>
      <c r="S15" s="2">
        <f>IF(SCO_T[[#This Row],[Model 1
(eis M1 t/m M27)]]="","",SCO_T[[#This Row],[Zw/w p/j]])</f>
        <v>193508</v>
      </c>
      <c r="T15" s="2">
        <f>IF(SCO_T[[#This Row],[Model 1
(eis M1 t/m M27)]]="","",SCO_T[[#This Row],[Kleur p/j]])</f>
        <v>6269</v>
      </c>
      <c r="U15" s="2" t="str">
        <f>IF(SCO_T[[#This Row],[Model 2
(eis M1 t/m M27)]]="","",SCO_T[[#This Row],[Zw/w p/j]])</f>
        <v/>
      </c>
      <c r="V15" s="2" t="str">
        <f>IF(SCO_T[[#This Row],[Model 2
(eis M1 t/m M27)]]="","",SCO_T[[#This Row],[Kleur p/j]])</f>
        <v/>
      </c>
    </row>
    <row r="16" spans="1:22" x14ac:dyDescent="0.35">
      <c r="A16" t="s">
        <v>387</v>
      </c>
      <c r="B16" s="155" t="s">
        <v>388</v>
      </c>
      <c r="C16" t="s">
        <v>430</v>
      </c>
      <c r="D16" t="s">
        <v>431</v>
      </c>
      <c r="E16" t="s">
        <v>432</v>
      </c>
      <c r="F16" t="s">
        <v>433</v>
      </c>
      <c r="G16" s="26">
        <f>IF(SCO_T[[#This Row],[Zw/w p/j]]=0,"",IF((SCO_T[[#This Row],[Zw/w p/j]]+SCO_T[[#This Row],[Kleur p/j]])&lt;SOTOG!$H$1,1,IF((SCO_T[[#This Row],[Zw/w p/j]]+SCO_T[[#This Row],[Kleur p/j]])&gt;SOTOG!$G$1,2,"")))</f>
        <v>1</v>
      </c>
      <c r="H16" s="26" t="str">
        <f>IF(AND(SCO_T[[#This Row],[Zw/w p/j]]+SCO_T[[#This Row],[Kleur p/j]]&gt;=SOTOG!$H$1,SCO_T[[#This Row],[Zw/w p/j]]+SCO_T[[#This Row],[Kleur p/j]]&lt;SOTOG!$G$1),1,"")</f>
        <v/>
      </c>
      <c r="I16" s="4">
        <v>44470</v>
      </c>
      <c r="J16" s="1">
        <f>SCO_T[[#This Row],[Zw/w p/m]]*12</f>
        <v>107005</v>
      </c>
      <c r="K16" s="1">
        <f>SCO_T[[#This Row],[kleur p/m]]*12</f>
        <v>24080</v>
      </c>
      <c r="L16" s="154">
        <f>((1454*2)+104097)/12</f>
        <v>8917.0833333333339</v>
      </c>
      <c r="M16" s="154">
        <f>((752*2)+22576)/12</f>
        <v>2006.6666666666667</v>
      </c>
      <c r="N16" s="2">
        <f>INT(_xlfn.DAYS($O$1,SCO_T[[#This Row],[Datum in gebruikname]])/30.41)</f>
        <v>48</v>
      </c>
      <c r="O16" s="2">
        <f>IF(SCO_T[[#This Row],[Model 1
(eis M1 t/m M27)]]="","",SCO_T[[#This Row],[Zw/w p/m]]*SCO_T[[#This Row],[Aantal maanden]])</f>
        <v>428020</v>
      </c>
      <c r="P16" s="2">
        <f>IF(SCO_T[[#This Row],[Model 1
(eis M1 t/m M27)]]="","",SCO_T[[#This Row],[kleur p/m]]*SCO_T[[#This Row],[Aantal maanden]])</f>
        <v>96320</v>
      </c>
      <c r="Q16" s="2" t="str">
        <f>IF(SCO_T[[#This Row],[Model 2
(eis M1 t/m M27)]]="","",SCO_T[[#This Row],[Zw/w p/m]]*SCO_T[[#This Row],[Aantal maanden]])</f>
        <v/>
      </c>
      <c r="R16" s="2" t="str">
        <f>IF(SCO_T[[#This Row],[Model 2
(eis M1 t/m M27)]]="","",SCO_T[[#This Row],[kleur p/m]]*SCO_T[[#This Row],[Aantal maanden]])</f>
        <v/>
      </c>
      <c r="S16" s="2">
        <f>IF(SCO_T[[#This Row],[Model 1
(eis M1 t/m M27)]]="","",SCO_T[[#This Row],[Zw/w p/j]])</f>
        <v>107005</v>
      </c>
      <c r="T16" s="2">
        <f>IF(SCO_T[[#This Row],[Model 1
(eis M1 t/m M27)]]="","",SCO_T[[#This Row],[Kleur p/j]])</f>
        <v>24080</v>
      </c>
      <c r="U16" s="2" t="str">
        <f>IF(SCO_T[[#This Row],[Model 2
(eis M1 t/m M27)]]="","",SCO_T[[#This Row],[Zw/w p/j]])</f>
        <v/>
      </c>
      <c r="V16" s="2" t="str">
        <f>IF(SCO_T[[#This Row],[Model 2
(eis M1 t/m M27)]]="","",SCO_T[[#This Row],[Kleur p/j]])</f>
        <v/>
      </c>
    </row>
    <row r="17" spans="1:22" x14ac:dyDescent="0.35">
      <c r="A17" t="s">
        <v>389</v>
      </c>
      <c r="B17" s="2" t="s">
        <v>390</v>
      </c>
      <c r="C17" t="s">
        <v>437</v>
      </c>
      <c r="D17" t="s">
        <v>434</v>
      </c>
      <c r="E17" t="s">
        <v>435</v>
      </c>
      <c r="F17" t="s">
        <v>436</v>
      </c>
      <c r="G17" s="26" t="str">
        <f>IF(SCO_T[[#This Row],[Zw/w p/j]]=0,"",IF((SCO_T[[#This Row],[Zw/w p/j]]+SCO_T[[#This Row],[Kleur p/j]])&lt;SOTOG!$H$1,1,IF((SCO_T[[#This Row],[Zw/w p/j]]+SCO_T[[#This Row],[Kleur p/j]])&gt;SOTOG!$G$1,2,"")))</f>
        <v/>
      </c>
      <c r="H17" s="26">
        <f>IF(AND(SCO_T[[#This Row],[Zw/w p/j]]+SCO_T[[#This Row],[Kleur p/j]]&gt;=SOTOG!$H$1,SCO_T[[#This Row],[Zw/w p/j]]+SCO_T[[#This Row],[Kleur p/j]]&lt;SOTOG!$G$1),1,"")</f>
        <v>1</v>
      </c>
      <c r="I17" s="4">
        <v>44470</v>
      </c>
      <c r="J17" s="1">
        <f>SCO_T[[#This Row],[Zw/w p/m]]*12</f>
        <v>304889</v>
      </c>
      <c r="K17" s="1">
        <f>SCO_T[[#This Row],[kleur p/m]]*12</f>
        <v>57367</v>
      </c>
      <c r="L17" s="154">
        <f>((9495*2)+285899)/12</f>
        <v>25407.416666666668</v>
      </c>
      <c r="M17" s="154">
        <f>((3029*2)+51309)/12</f>
        <v>4780.583333333333</v>
      </c>
      <c r="N17" s="2">
        <f>INT(_xlfn.DAYS($O$1,SCO_T[[#This Row],[Datum in gebruikname]])/30.41)</f>
        <v>48</v>
      </c>
      <c r="O17" s="2" t="str">
        <f>IF(SCO_T[[#This Row],[Model 1
(eis M1 t/m M27)]]="","",SCO_T[[#This Row],[Zw/w p/m]]*SCO_T[[#This Row],[Aantal maanden]])</f>
        <v/>
      </c>
      <c r="P17" s="2" t="str">
        <f>IF(SCO_T[[#This Row],[Model 1
(eis M1 t/m M27)]]="","",SCO_T[[#This Row],[kleur p/m]]*SCO_T[[#This Row],[Aantal maanden]])</f>
        <v/>
      </c>
      <c r="Q17" s="2">
        <f>IF(SCO_T[[#This Row],[Model 2
(eis M1 t/m M27)]]="","",SCO_T[[#This Row],[Zw/w p/m]]*SCO_T[[#This Row],[Aantal maanden]])</f>
        <v>1219556</v>
      </c>
      <c r="R17" s="2">
        <f>IF(SCO_T[[#This Row],[Model 2
(eis M1 t/m M27)]]="","",SCO_T[[#This Row],[kleur p/m]]*SCO_T[[#This Row],[Aantal maanden]])</f>
        <v>229468</v>
      </c>
      <c r="S17" s="2" t="str">
        <f>IF(SCO_T[[#This Row],[Model 1
(eis M1 t/m M27)]]="","",SCO_T[[#This Row],[Zw/w p/j]])</f>
        <v/>
      </c>
      <c r="T17" s="2" t="str">
        <f>IF(SCO_T[[#This Row],[Model 1
(eis M1 t/m M27)]]="","",SCO_T[[#This Row],[Kleur p/j]])</f>
        <v/>
      </c>
      <c r="U17" s="2">
        <f>IF(SCO_T[[#This Row],[Model 2
(eis M1 t/m M27)]]="","",SCO_T[[#This Row],[Zw/w p/j]])</f>
        <v>304889</v>
      </c>
      <c r="V17" s="2">
        <f>IF(SCO_T[[#This Row],[Model 2
(eis M1 t/m M27)]]="","",SCO_T[[#This Row],[Kleur p/j]])</f>
        <v>57367</v>
      </c>
    </row>
    <row r="18" spans="1:22" x14ac:dyDescent="0.35">
      <c r="A18" t="s">
        <v>391</v>
      </c>
      <c r="B18" s="2" t="s">
        <v>392</v>
      </c>
      <c r="C18" t="s">
        <v>438</v>
      </c>
      <c r="D18" t="s">
        <v>439</v>
      </c>
      <c r="E18" t="s">
        <v>435</v>
      </c>
      <c r="F18" t="s">
        <v>440</v>
      </c>
      <c r="G18" s="26" t="str">
        <f>IF(SCO_T[[#This Row],[Zw/w p/j]]=0,"",IF((SCO_T[[#This Row],[Zw/w p/j]]+SCO_T[[#This Row],[Kleur p/j]])&lt;SOTOG!$H$1,1,IF((SCO_T[[#This Row],[Zw/w p/j]]+SCO_T[[#This Row],[Kleur p/j]])&gt;SOTOG!$G$1,2,"")))</f>
        <v/>
      </c>
      <c r="H18" s="26">
        <f>IF(AND(SCO_T[[#This Row],[Zw/w p/j]]+SCO_T[[#This Row],[Kleur p/j]]&gt;=SOTOG!$H$1,SCO_T[[#This Row],[Zw/w p/j]]+SCO_T[[#This Row],[Kleur p/j]]&lt;SOTOG!$G$1),1,"")</f>
        <v>1</v>
      </c>
      <c r="I18" s="4">
        <v>44470</v>
      </c>
      <c r="J18" s="1">
        <f>SCO_T[[#This Row],[Zw/w p/m]]*12</f>
        <v>238768</v>
      </c>
      <c r="K18" s="1">
        <f>SCO_T[[#This Row],[kleur p/m]]*12</f>
        <v>22323</v>
      </c>
      <c r="L18" s="154">
        <f>((36422*2)+165924)/12</f>
        <v>19897.333333333332</v>
      </c>
      <c r="M18" s="154">
        <f>((681*2)+20961)/12</f>
        <v>1860.25</v>
      </c>
      <c r="N18" s="2">
        <f>INT(_xlfn.DAYS($O$1,SCO_T[[#This Row],[Datum in gebruikname]])/30.41)</f>
        <v>48</v>
      </c>
      <c r="O18" s="2" t="str">
        <f>IF(SCO_T[[#This Row],[Model 1
(eis M1 t/m M27)]]="","",SCO_T[[#This Row],[Zw/w p/m]]*SCO_T[[#This Row],[Aantal maanden]])</f>
        <v/>
      </c>
      <c r="P18" s="2" t="str">
        <f>IF(SCO_T[[#This Row],[Model 1
(eis M1 t/m M27)]]="","",SCO_T[[#This Row],[kleur p/m]]*SCO_T[[#This Row],[Aantal maanden]])</f>
        <v/>
      </c>
      <c r="Q18" s="2">
        <f>IF(SCO_T[[#This Row],[Model 2
(eis M1 t/m M27)]]="","",SCO_T[[#This Row],[Zw/w p/m]]*SCO_T[[#This Row],[Aantal maanden]])</f>
        <v>955072</v>
      </c>
      <c r="R18" s="2">
        <f>IF(SCO_T[[#This Row],[Model 2
(eis M1 t/m M27)]]="","",SCO_T[[#This Row],[kleur p/m]]*SCO_T[[#This Row],[Aantal maanden]])</f>
        <v>89292</v>
      </c>
      <c r="S18" s="2" t="str">
        <f>IF(SCO_T[[#This Row],[Model 1
(eis M1 t/m M27)]]="","",SCO_T[[#This Row],[Zw/w p/j]])</f>
        <v/>
      </c>
      <c r="T18" s="2" t="str">
        <f>IF(SCO_T[[#This Row],[Model 1
(eis M1 t/m M27)]]="","",SCO_T[[#This Row],[Kleur p/j]])</f>
        <v/>
      </c>
      <c r="U18" s="2">
        <f>IF(SCO_T[[#This Row],[Model 2
(eis M1 t/m M27)]]="","",SCO_T[[#This Row],[Zw/w p/j]])</f>
        <v>238768</v>
      </c>
      <c r="V18" s="2">
        <f>IF(SCO_T[[#This Row],[Model 2
(eis M1 t/m M27)]]="","",SCO_T[[#This Row],[Kleur p/j]])</f>
        <v>22323</v>
      </c>
    </row>
    <row r="19" spans="1:22" x14ac:dyDescent="0.35">
      <c r="A19" t="s">
        <v>7</v>
      </c>
      <c r="G19" s="103">
        <f>SUBTOTAL(109,SCO_T[Model 1
(eis M1 t/m M27)])</f>
        <v>12</v>
      </c>
      <c r="H19" s="104">
        <f>SUBTOTAL(109,SCO_T[Model 2
(eis M1 t/m M27)])</f>
        <v>3</v>
      </c>
      <c r="J19" s="3">
        <f>SUM(SCO_T[Zw/w p/j])</f>
        <v>1929000</v>
      </c>
      <c r="K19" s="3">
        <f>SUM(SCO_T[Kleur p/j])</f>
        <v>263042</v>
      </c>
      <c r="L19" s="2">
        <f>SUBTOTAL(109,SCO_T[Zw/w p/m])</f>
        <v>160750</v>
      </c>
      <c r="M19" s="5">
        <f>ROUNDUP(SUBTOTAL(109,SCO_T[kleur p/m]),0)</f>
        <v>21921</v>
      </c>
      <c r="N19" s="2">
        <f>SUM(SCO_T[Aantal maanden])-N3</f>
        <v>720</v>
      </c>
      <c r="O19" s="2">
        <f>SUM(SCO_T['# zw/w afdrukken M1])-O3</f>
        <v>4437640</v>
      </c>
      <c r="P19" s="2">
        <f>SUM(SCO_T['# kleur afdrukken M1])-P3</f>
        <v>578480</v>
      </c>
      <c r="Q19" s="2">
        <f>SUM(SCO_T['# zw/w afdrukken M2])-Q3</f>
        <v>3278360</v>
      </c>
      <c r="R19" s="2">
        <f>SUM(SCO_T['# kleur afdrukken M2])-R3</f>
        <v>473688</v>
      </c>
      <c r="S19" s="2">
        <f>SUM(SCO_T[Aantal zw/w afdrukken per optiejaar M1])-S3</f>
        <v>1109410</v>
      </c>
      <c r="T19" s="2">
        <f>SUM(SCO_T[Aantal kleur afdrukken per optiejaar M1])-T3</f>
        <v>144620</v>
      </c>
      <c r="U19" s="2">
        <f>SUM(SCO_T[Aantal zw/w afdrukken per optiejaar M2])-U3</f>
        <v>819590</v>
      </c>
      <c r="V19" s="2">
        <f>SUM(SCO_T[Aantal kleur afdrukken per optiejaar M2])-V3</f>
        <v>118422</v>
      </c>
    </row>
    <row r="20" spans="1:22" x14ac:dyDescent="0.35">
      <c r="G20" s="37"/>
      <c r="H20" s="30"/>
      <c r="J20" s="3"/>
      <c r="K20" s="3"/>
      <c r="L20" s="2"/>
      <c r="M20" s="5"/>
      <c r="N20" s="2"/>
      <c r="O20" s="2"/>
      <c r="P20" s="2"/>
      <c r="Q20" s="2"/>
      <c r="R20" s="2"/>
      <c r="S20" s="3"/>
      <c r="T20" s="3"/>
      <c r="U20" s="3"/>
      <c r="V20" s="3"/>
    </row>
    <row r="22" spans="1:22" ht="16.5" customHeight="1" x14ac:dyDescent="0.35">
      <c r="F22" s="24" t="s">
        <v>84</v>
      </c>
      <c r="G22" s="44" t="s">
        <v>32</v>
      </c>
      <c r="H22" s="43" t="s">
        <v>30</v>
      </c>
      <c r="I22" s="43" t="s">
        <v>31</v>
      </c>
    </row>
    <row r="23" spans="1:22" ht="16.5" customHeight="1" x14ac:dyDescent="0.35">
      <c r="C23" s="33"/>
      <c r="D23" s="33"/>
      <c r="E23" s="33"/>
      <c r="F23" s="41" t="s">
        <v>47</v>
      </c>
      <c r="G23" s="46">
        <v>0</v>
      </c>
      <c r="H23" s="46">
        <v>0</v>
      </c>
      <c r="I23" s="47">
        <v>0</v>
      </c>
      <c r="K23" s="92" t="s">
        <v>38</v>
      </c>
      <c r="L23" s="92" t="s">
        <v>38</v>
      </c>
      <c r="M23" s="92" t="s">
        <v>38</v>
      </c>
      <c r="N23" s="92" t="s">
        <v>38</v>
      </c>
    </row>
    <row r="24" spans="1:22" ht="16.5" customHeight="1" x14ac:dyDescent="0.35">
      <c r="D24" s="33"/>
      <c r="E24" s="33"/>
      <c r="F24" s="41" t="s">
        <v>46</v>
      </c>
      <c r="G24" s="46">
        <v>0</v>
      </c>
      <c r="H24" s="46">
        <v>0</v>
      </c>
      <c r="I24" s="46">
        <v>0</v>
      </c>
      <c r="K24" s="93">
        <f>O1</f>
        <v>45931</v>
      </c>
      <c r="L24" s="94" t="s">
        <v>54</v>
      </c>
      <c r="M24" s="126">
        <f>O1</f>
        <v>45931</v>
      </c>
      <c r="N24" s="95" t="s">
        <v>55</v>
      </c>
    </row>
    <row r="25" spans="1:22" ht="16.5" customHeight="1" x14ac:dyDescent="0.35">
      <c r="G25" s="6"/>
      <c r="H25" s="6"/>
      <c r="I25" s="6"/>
      <c r="K25" s="29">
        <f>MROUND(SCO_T[[#Totals],['# zw/w afdrukken M1]]+SCO_T[[#Totals],['# zw/w afdrukken M2]],1000)</f>
        <v>7716000</v>
      </c>
      <c r="L25" s="29">
        <f>MROUND(SCO_T[[#Totals],[Aantal zw/w afdrukken per optiejaar M1]]+SCO_T[[#Totals],[Aantal zw/w afdrukken per optiejaar M2]],1000)</f>
        <v>1929000</v>
      </c>
      <c r="M25" s="29">
        <f>MROUND(SCO_T[[#Totals],['# kleur afdrukken M1]]+SCO_T[[#Totals],['# kleur afdrukken M2]],1000)</f>
        <v>1052000</v>
      </c>
      <c r="N25" s="29">
        <f>MROUND(SCO_T[[#Totals],[Aantal kleur afdrukken per optiejaar M1]]+SCO_T[[#Totals],[Aantal kleur afdrukken per optiejaar M2]],1000)</f>
        <v>263000</v>
      </c>
    </row>
    <row r="26" spans="1:22" ht="16.5" customHeight="1" x14ac:dyDescent="0.35">
      <c r="F26" s="24" t="s">
        <v>83</v>
      </c>
      <c r="G26" s="6"/>
      <c r="H26" s="6"/>
      <c r="I26" s="6"/>
      <c r="K26" s="100"/>
      <c r="L26" s="100"/>
      <c r="M26" s="100"/>
      <c r="N26" s="100"/>
    </row>
    <row r="27" spans="1:22" ht="16.5" customHeight="1" x14ac:dyDescent="0.35">
      <c r="D27" s="32"/>
      <c r="F27" s="23" t="s">
        <v>33</v>
      </c>
      <c r="G27" s="48">
        <v>0</v>
      </c>
      <c r="H27" s="48">
        <v>0</v>
      </c>
      <c r="I27" s="48">
        <v>0</v>
      </c>
      <c r="K27" s="3"/>
      <c r="M27" s="3"/>
    </row>
    <row r="28" spans="1:22" ht="16.5" customHeight="1" x14ac:dyDescent="0.35">
      <c r="D28" s="31"/>
      <c r="E28" s="31"/>
      <c r="F28" s="23" t="s">
        <v>16</v>
      </c>
      <c r="G28" s="48">
        <v>0</v>
      </c>
      <c r="H28" s="48">
        <v>0</v>
      </c>
      <c r="I28" s="48">
        <v>0</v>
      </c>
    </row>
    <row r="29" spans="1:22" ht="16.5" customHeight="1" x14ac:dyDescent="0.35">
      <c r="D29" s="31"/>
      <c r="E29" s="31"/>
      <c r="F29" s="23"/>
      <c r="G29" s="101"/>
      <c r="H29" s="101"/>
      <c r="I29" s="101"/>
      <c r="J29" s="83"/>
    </row>
    <row r="30" spans="1:22" ht="16.5" customHeight="1" x14ac:dyDescent="0.35">
      <c r="C30" s="23"/>
      <c r="D30" s="23"/>
      <c r="E30" s="23"/>
      <c r="F30" s="24" t="s">
        <v>82</v>
      </c>
      <c r="G30" s="6"/>
      <c r="H30" s="6"/>
      <c r="I30" s="6"/>
    </row>
    <row r="31" spans="1:22" ht="16.5" customHeight="1" x14ac:dyDescent="0.35">
      <c r="C31" s="23"/>
      <c r="D31" s="23"/>
      <c r="E31" s="23"/>
      <c r="F31" s="23" t="s">
        <v>591</v>
      </c>
      <c r="G31" s="49">
        <v>0</v>
      </c>
      <c r="H31" s="49">
        <v>0</v>
      </c>
      <c r="I31" s="49">
        <v>0</v>
      </c>
      <c r="L31" s="25"/>
    </row>
    <row r="32" spans="1:22" ht="16.5" customHeight="1" x14ac:dyDescent="0.35">
      <c r="C32" s="23"/>
      <c r="D32" s="23"/>
      <c r="E32" s="23"/>
      <c r="F32" s="98"/>
      <c r="G32" s="25"/>
      <c r="H32" s="25"/>
      <c r="I32" s="25"/>
      <c r="J32" s="83"/>
      <c r="L32" s="25"/>
    </row>
    <row r="33" spans="3:14" ht="16.5" customHeight="1" x14ac:dyDescent="0.35">
      <c r="C33" s="23"/>
      <c r="D33" s="23"/>
      <c r="E33" s="23"/>
      <c r="F33" s="81" t="s">
        <v>79</v>
      </c>
      <c r="G33" s="25"/>
      <c r="H33" s="25"/>
      <c r="I33" s="25"/>
      <c r="L33" s="25"/>
    </row>
    <row r="34" spans="3:14" ht="16.5" customHeight="1" x14ac:dyDescent="0.35">
      <c r="C34" s="199" t="s">
        <v>80</v>
      </c>
      <c r="D34" s="199"/>
      <c r="E34" s="199"/>
      <c r="F34" s="199"/>
      <c r="G34" s="50">
        <v>0</v>
      </c>
      <c r="H34" s="11" t="s">
        <v>88</v>
      </c>
      <c r="I34" s="25"/>
    </row>
    <row r="35" spans="3:14" ht="16.5" customHeight="1" x14ac:dyDescent="0.35">
      <c r="C35" s="199" t="s">
        <v>81</v>
      </c>
      <c r="D35" s="199"/>
      <c r="E35" s="199"/>
      <c r="F35" s="199"/>
      <c r="G35" s="50">
        <v>0</v>
      </c>
      <c r="H35" s="11" t="s">
        <v>88</v>
      </c>
      <c r="I35" s="25"/>
    </row>
    <row r="36" spans="3:14" ht="16.5" customHeight="1" x14ac:dyDescent="0.35">
      <c r="C36" s="23"/>
      <c r="D36" s="23"/>
      <c r="E36" s="23"/>
      <c r="F36" s="23"/>
      <c r="G36" s="83"/>
      <c r="H36" s="83"/>
      <c r="I36" s="83"/>
    </row>
    <row r="37" spans="3:14" ht="16.5" customHeight="1" x14ac:dyDescent="0.35">
      <c r="C37" s="107"/>
      <c r="D37" s="107"/>
      <c r="E37" s="107"/>
      <c r="F37" s="81" t="s">
        <v>617</v>
      </c>
      <c r="G37" s="43" t="s">
        <v>56</v>
      </c>
      <c r="H37" s="43" t="s">
        <v>57</v>
      </c>
      <c r="I37" s="43" t="s">
        <v>58</v>
      </c>
      <c r="J37" s="43" t="s">
        <v>59</v>
      </c>
      <c r="K37" s="43" t="s">
        <v>60</v>
      </c>
      <c r="L37" s="43" t="s">
        <v>61</v>
      </c>
      <c r="M37" s="43" t="s">
        <v>62</v>
      </c>
      <c r="N37" s="43" t="s">
        <v>63</v>
      </c>
    </row>
    <row r="38" spans="3:14" ht="16.5" customHeight="1" x14ac:dyDescent="0.35">
      <c r="C38" s="41"/>
      <c r="D38" s="41"/>
      <c r="E38" s="41"/>
      <c r="F38" s="41" t="s">
        <v>588</v>
      </c>
      <c r="G38" s="62"/>
      <c r="H38" s="62"/>
      <c r="I38" s="62"/>
      <c r="J38" s="62"/>
      <c r="K38" s="62"/>
      <c r="L38" s="62"/>
      <c r="M38" s="62"/>
      <c r="N38" s="62"/>
    </row>
    <row r="39" spans="3:14" ht="16.5" customHeight="1" x14ac:dyDescent="0.35">
      <c r="C39" s="41"/>
      <c r="D39" s="41"/>
      <c r="E39" s="41"/>
      <c r="F39" s="41" t="s">
        <v>587</v>
      </c>
      <c r="G39" s="62"/>
      <c r="H39" s="62"/>
      <c r="I39" s="62"/>
      <c r="J39" s="62"/>
      <c r="K39" s="62"/>
      <c r="L39" s="62"/>
      <c r="M39" s="62"/>
      <c r="N39" s="62"/>
    </row>
    <row r="40" spans="3:14" ht="16.5" customHeight="1" x14ac:dyDescent="0.35">
      <c r="C40" s="41"/>
      <c r="D40" s="41"/>
      <c r="E40" s="41"/>
      <c r="F40" s="41" t="s">
        <v>35</v>
      </c>
      <c r="G40" s="62"/>
      <c r="H40" s="62"/>
      <c r="I40" s="62"/>
      <c r="J40" s="62"/>
      <c r="K40" s="62"/>
      <c r="L40" s="62"/>
      <c r="M40" s="62"/>
      <c r="N40" s="62"/>
    </row>
    <row r="41" spans="3:14" ht="16.5" customHeight="1" x14ac:dyDescent="0.35">
      <c r="C41" s="41"/>
      <c r="D41" s="41"/>
      <c r="E41" s="41"/>
      <c r="F41" s="41" t="s">
        <v>589</v>
      </c>
      <c r="G41" s="62"/>
      <c r="H41" s="62"/>
      <c r="I41" s="62"/>
      <c r="J41" s="62"/>
      <c r="K41" s="62"/>
      <c r="L41" s="62"/>
      <c r="M41" s="62"/>
      <c r="N41" s="62"/>
    </row>
    <row r="42" spans="3:14" ht="16.5" customHeight="1" x14ac:dyDescent="0.35">
      <c r="C42" s="41"/>
      <c r="D42" s="41"/>
      <c r="E42" s="41"/>
      <c r="F42" s="41" t="s">
        <v>36</v>
      </c>
      <c r="G42" s="62"/>
      <c r="H42" s="82"/>
      <c r="I42" s="62"/>
      <c r="J42" s="62"/>
      <c r="K42" s="62"/>
      <c r="L42" s="62"/>
      <c r="M42" s="62"/>
      <c r="N42" s="62"/>
    </row>
    <row r="43" spans="3:14" ht="16.5" customHeight="1" x14ac:dyDescent="0.35">
      <c r="C43" s="41"/>
      <c r="D43" s="41"/>
      <c r="E43" s="41"/>
      <c r="F43" s="41" t="s">
        <v>590</v>
      </c>
      <c r="G43" s="62"/>
      <c r="H43" s="62"/>
      <c r="I43" s="62"/>
      <c r="J43" s="62"/>
      <c r="K43" s="62"/>
      <c r="L43" s="62"/>
      <c r="M43" s="62"/>
      <c r="N43" s="62"/>
    </row>
    <row r="44" spans="3:14" ht="16.5" customHeight="1" x14ac:dyDescent="0.35">
      <c r="C44" s="41"/>
      <c r="D44" s="41"/>
      <c r="E44" s="41"/>
      <c r="F44" s="41" t="s">
        <v>37</v>
      </c>
      <c r="G44" s="62"/>
      <c r="H44" s="62"/>
      <c r="I44" s="62"/>
      <c r="J44" s="62"/>
      <c r="K44" s="62"/>
      <c r="L44" s="62"/>
      <c r="M44" s="62"/>
      <c r="N44" s="62"/>
    </row>
    <row r="45" spans="3:14" ht="16.5" customHeight="1" x14ac:dyDescent="0.35">
      <c r="C45" s="23"/>
      <c r="D45" s="23"/>
      <c r="E45" s="23"/>
      <c r="F45" s="24" t="s">
        <v>65</v>
      </c>
      <c r="G45" s="50">
        <v>0</v>
      </c>
      <c r="H45" s="50">
        <v>0</v>
      </c>
      <c r="I45" s="50">
        <v>0</v>
      </c>
      <c r="J45" s="50">
        <v>0</v>
      </c>
      <c r="K45" s="50">
        <v>0</v>
      </c>
      <c r="L45" s="50">
        <v>0</v>
      </c>
      <c r="M45" s="50">
        <v>0</v>
      </c>
      <c r="N45" s="50">
        <v>0</v>
      </c>
    </row>
    <row r="46" spans="3:14" ht="16.5" customHeight="1" x14ac:dyDescent="0.35">
      <c r="C46" s="23"/>
      <c r="D46" s="23"/>
      <c r="E46" s="23"/>
      <c r="F46" s="24" t="s">
        <v>64</v>
      </c>
      <c r="G46" s="50">
        <v>0</v>
      </c>
      <c r="H46" s="50">
        <v>0</v>
      </c>
      <c r="I46" s="50">
        <v>0</v>
      </c>
      <c r="J46" s="50">
        <v>0</v>
      </c>
      <c r="K46" s="50">
        <v>0</v>
      </c>
      <c r="L46" s="50">
        <v>0</v>
      </c>
      <c r="M46" s="50">
        <v>0</v>
      </c>
      <c r="N46" s="50">
        <v>0</v>
      </c>
    </row>
    <row r="47" spans="3:14" ht="16.5" customHeight="1" x14ac:dyDescent="0.35">
      <c r="C47" s="23"/>
      <c r="D47" s="23"/>
      <c r="E47" s="23"/>
      <c r="F47" s="23"/>
      <c r="G47" s="25"/>
      <c r="H47" s="25"/>
      <c r="I47" s="25"/>
    </row>
    <row r="48" spans="3:14" ht="16.5" customHeight="1" x14ac:dyDescent="0.35">
      <c r="C48" s="184"/>
      <c r="D48" s="184"/>
      <c r="E48" s="184"/>
      <c r="F48" s="24" t="s">
        <v>611</v>
      </c>
      <c r="G48" s="85"/>
      <c r="H48" s="25"/>
      <c r="I48" s="25"/>
    </row>
    <row r="49" spans="3:10" ht="16.5" customHeight="1" x14ac:dyDescent="0.35">
      <c r="C49" s="184"/>
      <c r="D49" s="184"/>
      <c r="E49" s="184"/>
      <c r="F49" s="41" t="s">
        <v>612</v>
      </c>
      <c r="G49" s="50">
        <v>0</v>
      </c>
      <c r="H49" s="25"/>
      <c r="I49" s="25"/>
    </row>
    <row r="50" spans="3:10" ht="16.5" customHeight="1" x14ac:dyDescent="0.35">
      <c r="C50" s="184"/>
      <c r="D50" s="184"/>
      <c r="E50" s="184"/>
      <c r="F50" s="41" t="s">
        <v>613</v>
      </c>
      <c r="G50" s="50">
        <v>0</v>
      </c>
      <c r="H50" s="25"/>
      <c r="I50" s="25"/>
    </row>
    <row r="51" spans="3:10" ht="16.5" customHeight="1" x14ac:dyDescent="0.35">
      <c r="C51" s="184"/>
      <c r="D51" s="184"/>
      <c r="E51" s="184"/>
      <c r="F51" s="184"/>
      <c r="G51" s="25"/>
      <c r="H51" s="25"/>
      <c r="I51" s="25"/>
    </row>
    <row r="52" spans="3:10" ht="16.5" customHeight="1" x14ac:dyDescent="0.35">
      <c r="C52" s="23"/>
      <c r="D52" s="23"/>
      <c r="E52" s="23"/>
      <c r="F52" s="23"/>
      <c r="G52" s="44" t="s">
        <v>32</v>
      </c>
      <c r="H52" s="43" t="s">
        <v>30</v>
      </c>
      <c r="I52" s="43" t="s">
        <v>31</v>
      </c>
    </row>
    <row r="53" spans="3:10" ht="16.5" customHeight="1" x14ac:dyDescent="0.35">
      <c r="C53" s="193"/>
      <c r="D53" s="193"/>
      <c r="E53" s="193"/>
      <c r="F53" s="41" t="s">
        <v>87</v>
      </c>
      <c r="G53" s="63">
        <v>0</v>
      </c>
      <c r="J53" s="12"/>
    </row>
    <row r="54" spans="3:10" ht="16.5" customHeight="1" x14ac:dyDescent="0.35">
      <c r="C54" s="199" t="s">
        <v>85</v>
      </c>
      <c r="D54" s="199"/>
      <c r="E54" s="199"/>
      <c r="F54" s="199"/>
      <c r="G54" s="63">
        <v>0</v>
      </c>
      <c r="J54" s="12" t="s">
        <v>19</v>
      </c>
    </row>
    <row r="55" spans="3:10" ht="16.5" customHeight="1" x14ac:dyDescent="0.35">
      <c r="C55" s="199" t="s">
        <v>66</v>
      </c>
      <c r="D55" s="199"/>
      <c r="E55" s="199"/>
      <c r="F55" s="199"/>
      <c r="G55" s="64">
        <v>0</v>
      </c>
      <c r="H55" s="64">
        <v>0</v>
      </c>
      <c r="I55" s="64">
        <v>0</v>
      </c>
      <c r="J55" s="12" t="s">
        <v>19</v>
      </c>
    </row>
    <row r="56" spans="3:10" ht="16.5" customHeight="1" x14ac:dyDescent="0.35">
      <c r="C56" s="199" t="s">
        <v>67</v>
      </c>
      <c r="D56" s="199"/>
      <c r="E56" s="199"/>
      <c r="F56" s="199"/>
      <c r="G56" s="64">
        <v>0</v>
      </c>
      <c r="H56" s="64">
        <v>0</v>
      </c>
      <c r="I56" s="64">
        <v>0</v>
      </c>
      <c r="J56" s="12" t="s">
        <v>19</v>
      </c>
    </row>
    <row r="57" spans="3:10" ht="16.5" customHeight="1" x14ac:dyDescent="0.35">
      <c r="C57" s="199" t="s">
        <v>68</v>
      </c>
      <c r="D57" s="199"/>
      <c r="E57" s="199"/>
      <c r="F57" s="199"/>
      <c r="G57" s="64">
        <v>0</v>
      </c>
      <c r="H57" s="64">
        <v>0</v>
      </c>
      <c r="I57" s="64">
        <v>0</v>
      </c>
      <c r="J57" s="12" t="s">
        <v>19</v>
      </c>
    </row>
    <row r="58" spans="3:10" ht="16.5" customHeight="1" x14ac:dyDescent="0.35">
      <c r="C58" s="199" t="s">
        <v>69</v>
      </c>
      <c r="D58" s="199"/>
      <c r="E58" s="199"/>
      <c r="F58" s="199"/>
      <c r="G58" s="64">
        <v>0</v>
      </c>
      <c r="H58" s="64">
        <v>0</v>
      </c>
      <c r="I58" s="64">
        <v>0</v>
      </c>
      <c r="J58" s="12" t="s">
        <v>19</v>
      </c>
    </row>
    <row r="59" spans="3:10" ht="16.5" customHeight="1" x14ac:dyDescent="0.35">
      <c r="C59" s="199" t="s">
        <v>72</v>
      </c>
      <c r="D59" s="199"/>
      <c r="E59" s="199" t="s">
        <v>20</v>
      </c>
      <c r="F59" s="199"/>
      <c r="G59" s="64">
        <v>0</v>
      </c>
      <c r="H59" s="64">
        <v>0</v>
      </c>
      <c r="I59" s="64">
        <v>0</v>
      </c>
      <c r="J59" s="12" t="s">
        <v>19</v>
      </c>
    </row>
    <row r="60" spans="3:10" ht="16.5" customHeight="1" x14ac:dyDescent="0.35">
      <c r="C60" s="199" t="s">
        <v>73</v>
      </c>
      <c r="D60" s="199"/>
      <c r="E60" s="199" t="s">
        <v>20</v>
      </c>
      <c r="F60" s="199"/>
      <c r="G60" s="64">
        <v>0</v>
      </c>
      <c r="H60" s="64">
        <v>0</v>
      </c>
      <c r="I60" s="64">
        <v>0</v>
      </c>
      <c r="J60" s="12" t="s">
        <v>19</v>
      </c>
    </row>
    <row r="61" spans="3:10" ht="16.5" customHeight="1" x14ac:dyDescent="0.35">
      <c r="C61" s="199" t="s">
        <v>70</v>
      </c>
      <c r="D61" s="199"/>
      <c r="E61" s="199" t="s">
        <v>20</v>
      </c>
      <c r="F61" s="199"/>
      <c r="G61" s="64">
        <v>0</v>
      </c>
      <c r="H61" s="64">
        <v>0</v>
      </c>
      <c r="I61" s="64">
        <v>0</v>
      </c>
      <c r="J61" s="12" t="s">
        <v>19</v>
      </c>
    </row>
    <row r="62" spans="3:10" ht="16.5" customHeight="1" x14ac:dyDescent="0.35">
      <c r="C62" s="199" t="s">
        <v>71</v>
      </c>
      <c r="D62" s="199"/>
      <c r="E62" s="199" t="s">
        <v>20</v>
      </c>
      <c r="F62" s="199"/>
      <c r="G62" s="64">
        <v>0</v>
      </c>
      <c r="H62" s="64">
        <v>0</v>
      </c>
      <c r="I62" s="64">
        <v>0</v>
      </c>
      <c r="J62" s="12" t="s">
        <v>19</v>
      </c>
    </row>
    <row r="63" spans="3:10" ht="16.5" customHeight="1" thickBot="1" x14ac:dyDescent="0.4">
      <c r="C63" s="23"/>
      <c r="D63" s="23"/>
      <c r="E63" s="23"/>
      <c r="F63" s="23"/>
      <c r="G63" s="28"/>
      <c r="H63" s="28"/>
      <c r="I63" s="28"/>
      <c r="J63" s="12"/>
    </row>
    <row r="64" spans="3:10" ht="16.5" customHeight="1" x14ac:dyDescent="0.35">
      <c r="D64" s="65"/>
      <c r="E64" s="195"/>
      <c r="F64" s="194" t="s">
        <v>53</v>
      </c>
      <c r="G64" s="67" t="s">
        <v>32</v>
      </c>
      <c r="H64" s="68" t="s">
        <v>30</v>
      </c>
      <c r="I64" s="68" t="s">
        <v>31</v>
      </c>
      <c r="J64" s="69" t="s">
        <v>52</v>
      </c>
    </row>
    <row r="65" spans="3:11" ht="16.5" customHeight="1" x14ac:dyDescent="0.35">
      <c r="C65" s="31"/>
      <c r="D65" s="70"/>
      <c r="E65" s="52"/>
      <c r="F65" s="53" t="s">
        <v>49</v>
      </c>
      <c r="G65" s="54">
        <f>G23*SCO_T[[#Totals],[Model 1
(eis M1 t/m M27)]]*48</f>
        <v>0</v>
      </c>
      <c r="H65" s="54">
        <f>H23*SCO_T[[#Totals],[Model 1
(eis M1 t/m M27)]]*12</f>
        <v>0</v>
      </c>
      <c r="I65" s="54">
        <f>I23*SCO_T[[#Totals],[Model 1
(eis M1 t/m M27)]]*12</f>
        <v>0</v>
      </c>
      <c r="J65" s="71">
        <f t="shared" ref="J65:J69" si="0">SUM(G65:I65)</f>
        <v>0</v>
      </c>
    </row>
    <row r="66" spans="3:11" ht="16.5" customHeight="1" x14ac:dyDescent="0.35">
      <c r="C66" s="31"/>
      <c r="D66" s="72"/>
      <c r="E66" s="55"/>
      <c r="F66" s="56" t="s">
        <v>48</v>
      </c>
      <c r="G66" s="57">
        <f>G24*SCO_T[[#Totals],[Model 2
(eis M1 t/m M27)]]*48</f>
        <v>0</v>
      </c>
      <c r="H66" s="57">
        <f>H24*SCO_T[[#Totals],[Model 2
(eis M1 t/m M27)]]*12</f>
        <v>0</v>
      </c>
      <c r="I66" s="57">
        <f>I24*SCO_T[[#Totals],[Model 2
(eis M1 t/m M27)]]*12</f>
        <v>0</v>
      </c>
      <c r="J66" s="73">
        <f t="shared" si="0"/>
        <v>0</v>
      </c>
    </row>
    <row r="67" spans="3:11" ht="16.5" customHeight="1" x14ac:dyDescent="0.35">
      <c r="C67" s="31"/>
      <c r="D67" s="70"/>
      <c r="E67" s="52"/>
      <c r="F67" s="53" t="s">
        <v>50</v>
      </c>
      <c r="G67" s="54">
        <f>G27*K25</f>
        <v>0</v>
      </c>
      <c r="H67" s="54">
        <f>H27*L25</f>
        <v>0</v>
      </c>
      <c r="I67" s="54">
        <f>I27*L25</f>
        <v>0</v>
      </c>
      <c r="J67" s="71">
        <f t="shared" si="0"/>
        <v>0</v>
      </c>
    </row>
    <row r="68" spans="3:11" ht="16.5" customHeight="1" x14ac:dyDescent="0.35">
      <c r="C68" s="31"/>
      <c r="D68" s="72"/>
      <c r="E68" s="55"/>
      <c r="F68" s="56" t="s">
        <v>51</v>
      </c>
      <c r="G68" s="57">
        <f>G28*M25</f>
        <v>0</v>
      </c>
      <c r="H68" s="57">
        <f>H28*N25</f>
        <v>0</v>
      </c>
      <c r="I68" s="57">
        <f>I28*N25</f>
        <v>0</v>
      </c>
      <c r="J68" s="73">
        <f t="shared" si="0"/>
        <v>0</v>
      </c>
    </row>
    <row r="69" spans="3:11" ht="16.5" customHeight="1" x14ac:dyDescent="0.35">
      <c r="C69" s="40"/>
      <c r="D69" s="74"/>
      <c r="E69" s="58"/>
      <c r="F69" s="53" t="s">
        <v>29</v>
      </c>
      <c r="G69" s="54">
        <f>G31*(SCO_T[[#Totals],[Model 1
(eis M1 t/m M27)]]+SCO_T[[#Totals],[Model 2
(eis M1 t/m M27)]])*48</f>
        <v>0</v>
      </c>
      <c r="H69" s="54">
        <f>H31*(SCO_T[[#Totals],[Model 1
(eis M1 t/m M27)]]+SCO_T[[#Totals],[Model 2
(eis M1 t/m M27)]])*12</f>
        <v>0</v>
      </c>
      <c r="I69" s="54">
        <f>I31*(SCO_T[[#Totals],[Model 1
(eis M1 t/m M27)]]+SCO_T[[#Totals],[Model 2
(eis M1 t/m M27)]])*12</f>
        <v>0</v>
      </c>
      <c r="J69" s="71">
        <f t="shared" si="0"/>
        <v>0</v>
      </c>
      <c r="K69" s="38"/>
    </row>
    <row r="70" spans="3:11" ht="16.5" customHeight="1" x14ac:dyDescent="0.35">
      <c r="C70" s="40"/>
      <c r="D70" s="75"/>
      <c r="E70" s="59"/>
      <c r="F70" s="56" t="s">
        <v>617</v>
      </c>
      <c r="G70" s="57">
        <f>SUM(G45:N45)*48*(SCO_T[[#Totals],[Model 1
(eis M1 t/m M27)]]+SCO_T[[#Totals],[Model 2
(eis M1 t/m M27)]])</f>
        <v>0</v>
      </c>
      <c r="H70" s="57">
        <f>SUM(G46:N46)*12*(SCO_T[[#Totals],[Model 1
(eis M1 t/m M27)]]+SCO_T[[#Totals],[Model 2
(eis M1 t/m M27)]])</f>
        <v>0</v>
      </c>
      <c r="I70" s="57">
        <f>SUM(G46:N46)*12*(SCO_T[[#Totals],[Model 1
(eis M1 t/m M27)]]+SCO_T[[#Totals],[Model 2
(eis M1 t/m M27)]])</f>
        <v>0</v>
      </c>
      <c r="J70" s="73">
        <f>SUM(G70:I70)</f>
        <v>0</v>
      </c>
      <c r="K70" s="38"/>
    </row>
    <row r="71" spans="3:11" ht="16.5" customHeight="1" x14ac:dyDescent="0.35">
      <c r="C71" s="40"/>
      <c r="D71" s="74"/>
      <c r="E71" s="58"/>
      <c r="F71" s="60" t="s">
        <v>17</v>
      </c>
      <c r="G71" s="89"/>
      <c r="H71" s="89"/>
      <c r="I71" s="89"/>
      <c r="J71" s="71">
        <f>G34</f>
        <v>0</v>
      </c>
      <c r="K71" s="38"/>
    </row>
    <row r="72" spans="3:11" ht="16.5" customHeight="1" thickBot="1" x14ac:dyDescent="0.4">
      <c r="C72" s="39"/>
      <c r="D72" s="76"/>
      <c r="E72" s="77"/>
      <c r="F72" s="78" t="s">
        <v>18</v>
      </c>
      <c r="G72" s="90"/>
      <c r="H72" s="90"/>
      <c r="I72" s="90"/>
      <c r="J72" s="79">
        <f>G35</f>
        <v>0</v>
      </c>
    </row>
    <row r="73" spans="3:11" ht="24" thickBot="1" x14ac:dyDescent="0.6">
      <c r="C73" s="15"/>
      <c r="D73" s="15"/>
      <c r="E73" s="16"/>
      <c r="G73" s="14"/>
      <c r="H73" s="14"/>
      <c r="I73" s="14"/>
    </row>
    <row r="74" spans="3:11" ht="24" thickBot="1" x14ac:dyDescent="0.6">
      <c r="G74" s="17"/>
      <c r="H74" s="91" t="s">
        <v>21</v>
      </c>
      <c r="I74" s="200">
        <f>SUM(J65:J73)</f>
        <v>0</v>
      </c>
      <c r="J74" s="201"/>
    </row>
    <row r="76" spans="3:11" ht="15" x14ac:dyDescent="0.35">
      <c r="E76" s="88" t="s">
        <v>76</v>
      </c>
      <c r="K76" s="42"/>
    </row>
    <row r="77" spans="3:11" ht="15" x14ac:dyDescent="0.35">
      <c r="E77" s="88" t="s">
        <v>77</v>
      </c>
      <c r="F77" s="42"/>
      <c r="G77" s="42"/>
      <c r="H77" s="42"/>
      <c r="I77" s="42"/>
      <c r="J77" s="42"/>
      <c r="K77" s="42"/>
    </row>
    <row r="78" spans="3:11" ht="15" x14ac:dyDescent="0.35">
      <c r="E78" s="87" t="s">
        <v>78</v>
      </c>
      <c r="F78" s="42"/>
      <c r="G78" s="42"/>
      <c r="H78" s="42"/>
      <c r="I78" s="42"/>
      <c r="J78" s="42"/>
      <c r="K78" s="13"/>
    </row>
    <row r="79" spans="3:11" x14ac:dyDescent="0.35">
      <c r="F79" s="13"/>
      <c r="G79" s="13"/>
      <c r="H79" s="13"/>
      <c r="I79" s="13"/>
      <c r="J79" s="13"/>
    </row>
  </sheetData>
  <mergeCells count="12">
    <mergeCell ref="I74:J74"/>
    <mergeCell ref="C34:F34"/>
    <mergeCell ref="C35:F35"/>
    <mergeCell ref="C54:F54"/>
    <mergeCell ref="C55:F55"/>
    <mergeCell ref="C56:F56"/>
    <mergeCell ref="C57:F57"/>
    <mergeCell ref="C58:F58"/>
    <mergeCell ref="C59:F59"/>
    <mergeCell ref="C60:F60"/>
    <mergeCell ref="C61:F61"/>
    <mergeCell ref="C62:F62"/>
  </mergeCells>
  <phoneticPr fontId="2"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27EE0-33ED-489A-BAEC-FE9C6DEE61D0}">
  <sheetPr>
    <tabColor theme="5" tint="-0.499984740745262"/>
  </sheetPr>
  <dimension ref="A1:CS87"/>
  <sheetViews>
    <sheetView showGridLines="0" zoomScale="90" zoomScaleNormal="90" workbookViewId="0">
      <pane ySplit="3" topLeftCell="A4" activePane="bottomLeft" state="frozen"/>
      <selection activeCell="C71" sqref="C71:F71"/>
      <selection pane="bottomLeft" activeCell="G3" sqref="G3"/>
    </sheetView>
  </sheetViews>
  <sheetFormatPr defaultRowHeight="14.5" x14ac:dyDescent="0.35"/>
  <cols>
    <col min="1" max="1" width="15.81640625" customWidth="1"/>
    <col min="2" max="3" width="25.81640625" customWidth="1"/>
    <col min="4" max="22" width="20.81640625" customWidth="1"/>
    <col min="23" max="97" width="8.7265625" customWidth="1"/>
  </cols>
  <sheetData>
    <row r="1" spans="1:97" hidden="1" x14ac:dyDescent="0.35">
      <c r="O1" s="4">
        <v>46082</v>
      </c>
    </row>
    <row r="2" spans="1:97" s="152" customFormat="1" ht="26" x14ac:dyDescent="0.3">
      <c r="A2" s="153" t="s">
        <v>1</v>
      </c>
      <c r="B2" s="153" t="s">
        <v>2</v>
      </c>
      <c r="C2" s="153" t="s">
        <v>3</v>
      </c>
      <c r="D2" s="153" t="s">
        <v>4</v>
      </c>
      <c r="E2" s="153" t="s">
        <v>5</v>
      </c>
      <c r="F2" s="153" t="s">
        <v>6</v>
      </c>
      <c r="G2" s="139" t="s">
        <v>39</v>
      </c>
      <c r="H2" s="139" t="s">
        <v>40</v>
      </c>
      <c r="I2" s="139" t="s">
        <v>12</v>
      </c>
      <c r="J2" s="139" t="s">
        <v>13</v>
      </c>
      <c r="K2" s="139" t="s">
        <v>14</v>
      </c>
      <c r="L2" s="139" t="s">
        <v>10</v>
      </c>
      <c r="M2" s="139" t="s">
        <v>11</v>
      </c>
      <c r="N2" s="139" t="s">
        <v>15</v>
      </c>
      <c r="O2" s="149" t="s">
        <v>562</v>
      </c>
      <c r="P2" s="150" t="s">
        <v>563</v>
      </c>
      <c r="Q2" s="149" t="s">
        <v>564</v>
      </c>
      <c r="R2" s="150" t="s">
        <v>565</v>
      </c>
      <c r="S2" s="139" t="s">
        <v>41</v>
      </c>
      <c r="T2" s="139" t="s">
        <v>42</v>
      </c>
      <c r="U2" s="139" t="s">
        <v>43</v>
      </c>
      <c r="V2" s="139" t="s">
        <v>44</v>
      </c>
    </row>
    <row r="3" spans="1:97" s="10" customFormat="1" ht="13" x14ac:dyDescent="0.3">
      <c r="A3" s="119"/>
      <c r="B3" s="120"/>
      <c r="C3" s="119"/>
      <c r="D3" s="119"/>
      <c r="E3" s="119"/>
      <c r="F3" s="119"/>
      <c r="G3" s="183"/>
      <c r="H3" s="183"/>
      <c r="I3" s="121"/>
      <c r="J3" s="122"/>
      <c r="K3" s="122"/>
      <c r="L3" s="120"/>
      <c r="M3" s="120"/>
      <c r="N3" s="145">
        <f>$O$1</f>
        <v>46082</v>
      </c>
      <c r="O3" s="145">
        <f>$O$1</f>
        <v>46082</v>
      </c>
      <c r="P3" s="145">
        <f>$O$1</f>
        <v>46082</v>
      </c>
      <c r="Q3" s="145">
        <f>$O$1</f>
        <v>46082</v>
      </c>
      <c r="R3" s="145">
        <f>$O$1</f>
        <v>46082</v>
      </c>
      <c r="S3" s="120"/>
      <c r="T3" s="120"/>
      <c r="U3" s="120"/>
      <c r="V3" s="120"/>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row>
    <row r="4" spans="1:97" x14ac:dyDescent="0.35">
      <c r="A4" t="s">
        <v>441</v>
      </c>
      <c r="B4" s="8" t="s">
        <v>442</v>
      </c>
      <c r="C4" t="s">
        <v>481</v>
      </c>
      <c r="D4" t="s">
        <v>482</v>
      </c>
      <c r="E4" t="s">
        <v>483</v>
      </c>
      <c r="F4" t="s">
        <v>484</v>
      </c>
      <c r="G4" s="26" t="str">
        <f>IF((Stip[[#This Row],[Zw/w p/j]]+Stip[[#This Row],[Kleur p/j]])&lt;SOTOG!$H$1,1,IF((Stip[[#This Row],[Zw/w p/j]]+Stip[[#This Row],[Kleur p/j]])&gt;SOTOG!$G$1,2,""))</f>
        <v/>
      </c>
      <c r="H4" s="26">
        <f>IF(AND(Stip[[#This Row],[Zw/w p/j]]+Stip[[#This Row],[Kleur p/j]]&gt;=SOTOG!$H$1,Stip[[#This Row],[Zw/w p/j]]+Stip[[#This Row],[Kleur p/j]]&lt;SOTOG!$G$1),1,"")</f>
        <v>1</v>
      </c>
      <c r="I4" s="4">
        <v>44621</v>
      </c>
      <c r="J4" s="1">
        <f>Stip[[#This Row],[Zw/w p/m]]*12</f>
        <v>287274.99999999959</v>
      </c>
      <c r="K4" s="1">
        <f>Stip[[#This Row],[kleur p/m]]*12</f>
        <v>43350</v>
      </c>
      <c r="L4" s="2">
        <v>23939.583333333299</v>
      </c>
      <c r="M4" s="2">
        <v>3612.5</v>
      </c>
      <c r="N4" s="2">
        <f>IF(Stip[[#This Row],[Datum in gebruikname]]="",0,INT(_xlfn.DAYS($O$1,Stip[[#This Row],[Datum in gebruikname]])/30.41))</f>
        <v>48</v>
      </c>
      <c r="O4" s="2" t="str">
        <f>IF(Stip[[#This Row],[Model 1
(eis M1 t/m M27)]]="","",Stip[[#This Row],[Zw/w p/m]]*Stip[[#This Row],[Aantal maanden]])</f>
        <v/>
      </c>
      <c r="P4" s="2" t="str">
        <f>IF(Stip[[#This Row],[Model 1
(eis M1 t/m M27)]]="","",Stip[[#This Row],[kleur p/m]]*Stip[[#This Row],[Aantal maanden]])</f>
        <v/>
      </c>
      <c r="Q4" s="2">
        <f>IF(Stip[[#This Row],[Model 2
(eis M1 t/m M27)]]="","",Stip[[#This Row],[Zw/w p/m]]*Stip[[#This Row],[Aantal maanden]])</f>
        <v>1149099.9999999984</v>
      </c>
      <c r="R4" s="2">
        <f>IF(Stip[[#This Row],[Model 2
(eis M1 t/m M27)]]="","",Stip[[#This Row],[kleur p/m]]*Stip[[#This Row],[Aantal maanden]])</f>
        <v>173400</v>
      </c>
      <c r="S4" s="8" t="str">
        <f>IF(Stip[[#This Row],[Model 1
(eis M1 t/m M27)]]="","",Stip[[#This Row],[Zw/w p/j]])</f>
        <v/>
      </c>
      <c r="T4" s="8" t="str">
        <f>IF(Stip[[#This Row],[Model 1
(eis M1 t/m M27)]]="","",Stip[[#This Row],[Kleur p/j]])</f>
        <v/>
      </c>
      <c r="U4" s="8">
        <f>IF(Stip[[#This Row],[Model 2
(eis M1 t/m M27)]]="","",Stip[[#This Row],[Zw/w p/j]])</f>
        <v>287274.99999999959</v>
      </c>
      <c r="V4" s="8">
        <f>IF(Stip[[#This Row],[Model 2
(eis M1 t/m M27)]]="","",Stip[[#This Row],[Kleur p/j]])</f>
        <v>43350</v>
      </c>
    </row>
    <row r="5" spans="1:97" x14ac:dyDescent="0.35">
      <c r="A5" t="s">
        <v>443</v>
      </c>
      <c r="B5" s="8" t="s">
        <v>444</v>
      </c>
      <c r="C5" t="s">
        <v>485</v>
      </c>
      <c r="D5" t="s">
        <v>486</v>
      </c>
      <c r="E5" t="s">
        <v>483</v>
      </c>
      <c r="F5" t="s">
        <v>487</v>
      </c>
      <c r="G5" s="26">
        <f>IF((Stip[[#This Row],[Zw/w p/j]]+Stip[[#This Row],[Kleur p/j]])&lt;SOTOG!$H$1,1,IF((Stip[[#This Row],[Zw/w p/j]]+Stip[[#This Row],[Kleur p/j]])&gt;SOTOG!$G$1,2,""))</f>
        <v>1</v>
      </c>
      <c r="H5" s="26" t="str">
        <f>IF(AND(Stip[[#This Row],[Zw/w p/j]]+Stip[[#This Row],[Kleur p/j]]&gt;=SOTOG!$H$1,Stip[[#This Row],[Zw/w p/j]]+Stip[[#This Row],[Kleur p/j]]&lt;SOTOG!$G$1),1,"")</f>
        <v/>
      </c>
      <c r="I5" s="4">
        <v>44621</v>
      </c>
      <c r="J5" s="1">
        <f>Stip[[#This Row],[Zw/w p/m]]*12</f>
        <v>54491</v>
      </c>
      <c r="K5" s="1">
        <f>Stip[[#This Row],[kleur p/m]]*12</f>
        <v>24207</v>
      </c>
      <c r="L5" s="2">
        <v>4540.916666666667</v>
      </c>
      <c r="M5" s="2">
        <v>2017.25</v>
      </c>
      <c r="N5" s="2">
        <f>IF(Stip[[#This Row],[Datum in gebruikname]]="",0,INT(_xlfn.DAYS($O$1,Stip[[#This Row],[Datum in gebruikname]])/30.41))</f>
        <v>48</v>
      </c>
      <c r="O5" s="2">
        <f>IF(Stip[[#This Row],[Model 1
(eis M1 t/m M27)]]="","",Stip[[#This Row],[Zw/w p/m]]*Stip[[#This Row],[Aantal maanden]])</f>
        <v>217964</v>
      </c>
      <c r="P5" s="2">
        <f>IF(Stip[[#This Row],[Model 1
(eis M1 t/m M27)]]="","",Stip[[#This Row],[kleur p/m]]*Stip[[#This Row],[Aantal maanden]])</f>
        <v>96828</v>
      </c>
      <c r="Q5" s="2" t="str">
        <f>IF(Stip[[#This Row],[Model 2
(eis M1 t/m M27)]]="","",Stip[[#This Row],[Zw/w p/m]]*Stip[[#This Row],[Aantal maanden]])</f>
        <v/>
      </c>
      <c r="R5" s="2" t="str">
        <f>IF(Stip[[#This Row],[Model 2
(eis M1 t/m M27)]]="","",Stip[[#This Row],[kleur p/m]]*Stip[[#This Row],[Aantal maanden]])</f>
        <v/>
      </c>
      <c r="S5" s="8">
        <f>IF(Stip[[#This Row],[Model 1
(eis M1 t/m M27)]]="","",Stip[[#This Row],[Zw/w p/j]])</f>
        <v>54491</v>
      </c>
      <c r="T5" s="8">
        <f>IF(Stip[[#This Row],[Model 1
(eis M1 t/m M27)]]="","",Stip[[#This Row],[Kleur p/j]])</f>
        <v>24207</v>
      </c>
      <c r="U5" s="8" t="str">
        <f>IF(Stip[[#This Row],[Model 2
(eis M1 t/m M27)]]="","",Stip[[#This Row],[Zw/w p/j]])</f>
        <v/>
      </c>
      <c r="V5" s="8" t="str">
        <f>IF(Stip[[#This Row],[Model 2
(eis M1 t/m M27)]]="","",Stip[[#This Row],[Kleur p/j]])</f>
        <v/>
      </c>
    </row>
    <row r="6" spans="1:97" x14ac:dyDescent="0.35">
      <c r="A6" t="s">
        <v>443</v>
      </c>
      <c r="B6" s="8" t="s">
        <v>444</v>
      </c>
      <c r="C6" t="s">
        <v>485</v>
      </c>
      <c r="D6" t="s">
        <v>486</v>
      </c>
      <c r="E6" t="s">
        <v>483</v>
      </c>
      <c r="F6" t="s">
        <v>487</v>
      </c>
      <c r="G6" s="26">
        <f>IF((Stip[[#This Row],[Zw/w p/j]]+Stip[[#This Row],[Kleur p/j]])&lt;SOTOG!$H$1,1,IF((Stip[[#This Row],[Zw/w p/j]]+Stip[[#This Row],[Kleur p/j]])&gt;SOTOG!$G$1,2,""))</f>
        <v>1</v>
      </c>
      <c r="H6" s="26" t="str">
        <f>IF(AND(Stip[[#This Row],[Zw/w p/j]]+Stip[[#This Row],[Kleur p/j]]&gt;=SOTOG!$H$1,Stip[[#This Row],[Zw/w p/j]]+Stip[[#This Row],[Kleur p/j]]&lt;SOTOG!$G$1),1,"")</f>
        <v/>
      </c>
      <c r="I6" s="4">
        <v>44621</v>
      </c>
      <c r="J6" s="1">
        <f>Stip[[#This Row],[Zw/w p/m]]*12</f>
        <v>15538</v>
      </c>
      <c r="K6" s="1">
        <f>Stip[[#This Row],[kleur p/m]]*12</f>
        <v>7053</v>
      </c>
      <c r="L6" s="2">
        <v>1294.8333333333333</v>
      </c>
      <c r="M6" s="2">
        <v>587.75</v>
      </c>
      <c r="N6" s="2">
        <f>IF(Stip[[#This Row],[Datum in gebruikname]]="",0,INT(_xlfn.DAYS($O$1,Stip[[#This Row],[Datum in gebruikname]])/30.41))</f>
        <v>48</v>
      </c>
      <c r="O6" s="2">
        <f>IF(Stip[[#This Row],[Model 1
(eis M1 t/m M27)]]="","",Stip[[#This Row],[Zw/w p/m]]*Stip[[#This Row],[Aantal maanden]])</f>
        <v>62152</v>
      </c>
      <c r="P6" s="2">
        <f>IF(Stip[[#This Row],[Model 1
(eis M1 t/m M27)]]="","",Stip[[#This Row],[kleur p/m]]*Stip[[#This Row],[Aantal maanden]])</f>
        <v>28212</v>
      </c>
      <c r="Q6" s="2" t="str">
        <f>IF(Stip[[#This Row],[Model 2
(eis M1 t/m M27)]]="","",Stip[[#This Row],[Zw/w p/m]]*Stip[[#This Row],[Aantal maanden]])</f>
        <v/>
      </c>
      <c r="R6" s="2" t="str">
        <f>IF(Stip[[#This Row],[Model 2
(eis M1 t/m M27)]]="","",Stip[[#This Row],[kleur p/m]]*Stip[[#This Row],[Aantal maanden]])</f>
        <v/>
      </c>
      <c r="S6" s="8">
        <f>IF(Stip[[#This Row],[Model 1
(eis M1 t/m M27)]]="","",Stip[[#This Row],[Zw/w p/j]])</f>
        <v>15538</v>
      </c>
      <c r="T6" s="8">
        <f>IF(Stip[[#This Row],[Model 1
(eis M1 t/m M27)]]="","",Stip[[#This Row],[Kleur p/j]])</f>
        <v>7053</v>
      </c>
      <c r="U6" s="8" t="str">
        <f>IF(Stip[[#This Row],[Model 2
(eis M1 t/m M27)]]="","",Stip[[#This Row],[Zw/w p/j]])</f>
        <v/>
      </c>
      <c r="V6" s="8" t="str">
        <f>IF(Stip[[#This Row],[Model 2
(eis M1 t/m M27)]]="","",Stip[[#This Row],[Kleur p/j]])</f>
        <v/>
      </c>
    </row>
    <row r="7" spans="1:97" x14ac:dyDescent="0.35">
      <c r="A7" t="s">
        <v>445</v>
      </c>
      <c r="B7" s="8" t="s">
        <v>446</v>
      </c>
      <c r="C7" t="s">
        <v>488</v>
      </c>
      <c r="D7" t="s">
        <v>489</v>
      </c>
      <c r="E7" t="s">
        <v>483</v>
      </c>
      <c r="F7" t="s">
        <v>490</v>
      </c>
      <c r="G7" s="26">
        <f>IF((Stip[[#This Row],[Zw/w p/j]]+Stip[[#This Row],[Kleur p/j]])&lt;SOTOG!$H$1,1,IF((Stip[[#This Row],[Zw/w p/j]]+Stip[[#This Row],[Kleur p/j]])&gt;SOTOG!$G$1,2,""))</f>
        <v>1</v>
      </c>
      <c r="H7" s="26" t="str">
        <f>IF(AND(Stip[[#This Row],[Zw/w p/j]]+Stip[[#This Row],[Kleur p/j]]&gt;=SOTOG!$H$1,Stip[[#This Row],[Zw/w p/j]]+Stip[[#This Row],[Kleur p/j]]&lt;SOTOG!$G$1),1,"")</f>
        <v/>
      </c>
      <c r="I7" s="4">
        <v>44621</v>
      </c>
      <c r="J7" s="1">
        <f>Stip[[#This Row],[Zw/w p/m]]*12</f>
        <v>90944</v>
      </c>
      <c r="K7" s="1">
        <f>Stip[[#This Row],[kleur p/m]]*12</f>
        <v>30667</v>
      </c>
      <c r="L7" s="2">
        <v>7578.666666666667</v>
      </c>
      <c r="M7" s="2">
        <v>2555.5833333333335</v>
      </c>
      <c r="N7" s="2">
        <f>IF(Stip[[#This Row],[Datum in gebruikname]]="",0,INT(_xlfn.DAYS($O$1,Stip[[#This Row],[Datum in gebruikname]])/30.41))</f>
        <v>48</v>
      </c>
      <c r="O7" s="2">
        <f>IF(Stip[[#This Row],[Model 1
(eis M1 t/m M27)]]="","",Stip[[#This Row],[Zw/w p/m]]*Stip[[#This Row],[Aantal maanden]])</f>
        <v>363776</v>
      </c>
      <c r="P7" s="2">
        <f>IF(Stip[[#This Row],[Model 1
(eis M1 t/m M27)]]="","",Stip[[#This Row],[kleur p/m]]*Stip[[#This Row],[Aantal maanden]])</f>
        <v>122668</v>
      </c>
      <c r="Q7" s="2" t="str">
        <f>IF(Stip[[#This Row],[Model 2
(eis M1 t/m M27)]]="","",Stip[[#This Row],[Zw/w p/m]]*Stip[[#This Row],[Aantal maanden]])</f>
        <v/>
      </c>
      <c r="R7" s="2" t="str">
        <f>IF(Stip[[#This Row],[Model 2
(eis M1 t/m M27)]]="","",Stip[[#This Row],[kleur p/m]]*Stip[[#This Row],[Aantal maanden]])</f>
        <v/>
      </c>
      <c r="S7" s="8">
        <f>IF(Stip[[#This Row],[Model 1
(eis M1 t/m M27)]]="","",Stip[[#This Row],[Zw/w p/j]])</f>
        <v>90944</v>
      </c>
      <c r="T7" s="8">
        <f>IF(Stip[[#This Row],[Model 1
(eis M1 t/m M27)]]="","",Stip[[#This Row],[Kleur p/j]])</f>
        <v>30667</v>
      </c>
      <c r="U7" s="8" t="str">
        <f>IF(Stip[[#This Row],[Model 2
(eis M1 t/m M27)]]="","",Stip[[#This Row],[Zw/w p/j]])</f>
        <v/>
      </c>
      <c r="V7" s="8" t="str">
        <f>IF(Stip[[#This Row],[Model 2
(eis M1 t/m M27)]]="","",Stip[[#This Row],[Kleur p/j]])</f>
        <v/>
      </c>
    </row>
    <row r="8" spans="1:97" x14ac:dyDescent="0.35">
      <c r="A8" t="s">
        <v>447</v>
      </c>
      <c r="B8" s="8" t="s">
        <v>448</v>
      </c>
      <c r="C8" t="s">
        <v>491</v>
      </c>
      <c r="D8" t="s">
        <v>492</v>
      </c>
      <c r="E8" t="s">
        <v>483</v>
      </c>
      <c r="F8" t="s">
        <v>493</v>
      </c>
      <c r="G8" s="26" t="str">
        <f>IF((Stip[[#This Row],[Zw/w p/j]]+Stip[[#This Row],[Kleur p/j]])&lt;SOTOG!$H$1,1,IF((Stip[[#This Row],[Zw/w p/j]]+Stip[[#This Row],[Kleur p/j]])&gt;SOTOG!$G$1,2,""))</f>
        <v/>
      </c>
      <c r="H8" s="26">
        <f>IF(AND(Stip[[#This Row],[Zw/w p/j]]+Stip[[#This Row],[Kleur p/j]]&gt;=SOTOG!$H$1,Stip[[#This Row],[Zw/w p/j]]+Stip[[#This Row],[Kleur p/j]]&lt;SOTOG!$G$1),1,"")</f>
        <v>1</v>
      </c>
      <c r="I8" s="4">
        <v>44621</v>
      </c>
      <c r="J8" s="1">
        <f>Stip[[#This Row],[Zw/w p/m]]*12</f>
        <v>264771</v>
      </c>
      <c r="K8" s="1">
        <f>Stip[[#This Row],[kleur p/m]]*12</f>
        <v>52569</v>
      </c>
      <c r="L8" s="2">
        <v>22064.25</v>
      </c>
      <c r="M8" s="2">
        <v>4380.75</v>
      </c>
      <c r="N8" s="2">
        <f>IF(Stip[[#This Row],[Datum in gebruikname]]="",0,INT(_xlfn.DAYS($O$1,Stip[[#This Row],[Datum in gebruikname]])/30.41))</f>
        <v>48</v>
      </c>
      <c r="O8" s="2" t="str">
        <f>IF(Stip[[#This Row],[Model 1
(eis M1 t/m M27)]]="","",Stip[[#This Row],[Zw/w p/m]]*Stip[[#This Row],[Aantal maanden]])</f>
        <v/>
      </c>
      <c r="P8" s="2" t="str">
        <f>IF(Stip[[#This Row],[Model 1
(eis M1 t/m M27)]]="","",Stip[[#This Row],[kleur p/m]]*Stip[[#This Row],[Aantal maanden]])</f>
        <v/>
      </c>
      <c r="Q8" s="2">
        <f>IF(Stip[[#This Row],[Model 2
(eis M1 t/m M27)]]="","",Stip[[#This Row],[Zw/w p/m]]*Stip[[#This Row],[Aantal maanden]])</f>
        <v>1059084</v>
      </c>
      <c r="R8" s="2">
        <f>IF(Stip[[#This Row],[Model 2
(eis M1 t/m M27)]]="","",Stip[[#This Row],[kleur p/m]]*Stip[[#This Row],[Aantal maanden]])</f>
        <v>210276</v>
      </c>
      <c r="S8" s="8" t="str">
        <f>IF(Stip[[#This Row],[Model 1
(eis M1 t/m M27)]]="","",Stip[[#This Row],[Zw/w p/j]])</f>
        <v/>
      </c>
      <c r="T8" s="8" t="str">
        <f>IF(Stip[[#This Row],[Model 1
(eis M1 t/m M27)]]="","",Stip[[#This Row],[Kleur p/j]])</f>
        <v/>
      </c>
      <c r="U8" s="8">
        <f>IF(Stip[[#This Row],[Model 2
(eis M1 t/m M27)]]="","",Stip[[#This Row],[Zw/w p/j]])</f>
        <v>264771</v>
      </c>
      <c r="V8" s="8">
        <f>IF(Stip[[#This Row],[Model 2
(eis M1 t/m M27)]]="","",Stip[[#This Row],[Kleur p/j]])</f>
        <v>52569</v>
      </c>
    </row>
    <row r="9" spans="1:97" x14ac:dyDescent="0.35">
      <c r="A9" t="s">
        <v>449</v>
      </c>
      <c r="B9" s="8" t="s">
        <v>450</v>
      </c>
      <c r="C9" t="s">
        <v>494</v>
      </c>
      <c r="D9" t="s">
        <v>495</v>
      </c>
      <c r="E9" t="s">
        <v>483</v>
      </c>
      <c r="F9" t="s">
        <v>496</v>
      </c>
      <c r="G9" s="26">
        <f>IF((Stip[[#This Row],[Zw/w p/j]]+Stip[[#This Row],[Kleur p/j]])&lt;SOTOG!$H$1,1,IF((Stip[[#This Row],[Zw/w p/j]]+Stip[[#This Row],[Kleur p/j]])&gt;SOTOG!$G$1,2,""))</f>
        <v>1</v>
      </c>
      <c r="H9" s="26" t="str">
        <f>IF(AND(Stip[[#This Row],[Zw/w p/j]]+Stip[[#This Row],[Kleur p/j]]&gt;=SOTOG!$H$1,Stip[[#This Row],[Zw/w p/j]]+Stip[[#This Row],[Kleur p/j]]&lt;SOTOG!$G$1),1,"")</f>
        <v/>
      </c>
      <c r="I9" s="4">
        <v>44621</v>
      </c>
      <c r="J9" s="1">
        <f>Stip[[#This Row],[Zw/w p/m]]*12</f>
        <v>23354</v>
      </c>
      <c r="K9" s="1">
        <f>Stip[[#This Row],[kleur p/m]]*12</f>
        <v>24946</v>
      </c>
      <c r="L9" s="2">
        <v>1946.1666666666667</v>
      </c>
      <c r="M9" s="2">
        <v>2078.8333333333335</v>
      </c>
      <c r="N9" s="2">
        <f>IF(Stip[[#This Row],[Datum in gebruikname]]="",0,INT(_xlfn.DAYS($O$1,Stip[[#This Row],[Datum in gebruikname]])/30.41))</f>
        <v>48</v>
      </c>
      <c r="O9" s="2">
        <f>IF(Stip[[#This Row],[Model 1
(eis M1 t/m M27)]]="","",Stip[[#This Row],[Zw/w p/m]]*Stip[[#This Row],[Aantal maanden]])</f>
        <v>93416</v>
      </c>
      <c r="P9" s="2">
        <f>IF(Stip[[#This Row],[Model 1
(eis M1 t/m M27)]]="","",Stip[[#This Row],[kleur p/m]]*Stip[[#This Row],[Aantal maanden]])</f>
        <v>99784</v>
      </c>
      <c r="Q9" s="2" t="str">
        <f>IF(Stip[[#This Row],[Model 2
(eis M1 t/m M27)]]="","",Stip[[#This Row],[Zw/w p/m]]*Stip[[#This Row],[Aantal maanden]])</f>
        <v/>
      </c>
      <c r="R9" s="2" t="str">
        <f>IF(Stip[[#This Row],[Model 2
(eis M1 t/m M27)]]="","",Stip[[#This Row],[kleur p/m]]*Stip[[#This Row],[Aantal maanden]])</f>
        <v/>
      </c>
      <c r="S9" s="8">
        <f>IF(Stip[[#This Row],[Model 1
(eis M1 t/m M27)]]="","",Stip[[#This Row],[Zw/w p/j]])</f>
        <v>23354</v>
      </c>
      <c r="T9" s="8">
        <f>IF(Stip[[#This Row],[Model 1
(eis M1 t/m M27)]]="","",Stip[[#This Row],[Kleur p/j]])</f>
        <v>24946</v>
      </c>
      <c r="U9" s="8" t="str">
        <f>IF(Stip[[#This Row],[Model 2
(eis M1 t/m M27)]]="","",Stip[[#This Row],[Zw/w p/j]])</f>
        <v/>
      </c>
      <c r="V9" s="8" t="str">
        <f>IF(Stip[[#This Row],[Model 2
(eis M1 t/m M27)]]="","",Stip[[#This Row],[Kleur p/j]])</f>
        <v/>
      </c>
    </row>
    <row r="10" spans="1:97" x14ac:dyDescent="0.35">
      <c r="A10" t="s">
        <v>451</v>
      </c>
      <c r="B10" s="8" t="s">
        <v>452</v>
      </c>
      <c r="C10" t="s">
        <v>497</v>
      </c>
      <c r="D10" t="s">
        <v>498</v>
      </c>
      <c r="E10" t="s">
        <v>483</v>
      </c>
      <c r="F10" t="s">
        <v>499</v>
      </c>
      <c r="G10" s="26">
        <f>IF((Stip[[#This Row],[Zw/w p/j]]+Stip[[#This Row],[Kleur p/j]])&lt;SOTOG!$H$1,1,IF((Stip[[#This Row],[Zw/w p/j]]+Stip[[#This Row],[Kleur p/j]])&gt;SOTOG!$G$1,2,""))</f>
        <v>1</v>
      </c>
      <c r="H10" s="26" t="str">
        <f>IF(AND(Stip[[#This Row],[Zw/w p/j]]+Stip[[#This Row],[Kleur p/j]]&gt;=SOTOG!$H$1,Stip[[#This Row],[Zw/w p/j]]+Stip[[#This Row],[Kleur p/j]]&lt;SOTOG!$G$1),1,"")</f>
        <v/>
      </c>
      <c r="I10" s="4">
        <v>44621</v>
      </c>
      <c r="J10" s="1">
        <f>Stip[[#This Row],[Zw/w p/m]]*12</f>
        <v>26001</v>
      </c>
      <c r="K10" s="1">
        <f>Stip[[#This Row],[kleur p/m]]*12</f>
        <v>14382</v>
      </c>
      <c r="L10" s="2">
        <v>2166.75</v>
      </c>
      <c r="M10" s="2">
        <v>1198.5</v>
      </c>
      <c r="N10" s="2">
        <f>IF(Stip[[#This Row],[Datum in gebruikname]]="",0,INT(_xlfn.DAYS($O$1,Stip[[#This Row],[Datum in gebruikname]])/30.41))</f>
        <v>48</v>
      </c>
      <c r="O10" s="2">
        <f>IF(Stip[[#This Row],[Model 1
(eis M1 t/m M27)]]="","",Stip[[#This Row],[Zw/w p/m]]*Stip[[#This Row],[Aantal maanden]])</f>
        <v>104004</v>
      </c>
      <c r="P10" s="2">
        <f>IF(Stip[[#This Row],[Model 1
(eis M1 t/m M27)]]="","",Stip[[#This Row],[kleur p/m]]*Stip[[#This Row],[Aantal maanden]])</f>
        <v>57528</v>
      </c>
      <c r="Q10" s="2" t="str">
        <f>IF(Stip[[#This Row],[Model 2
(eis M1 t/m M27)]]="","",Stip[[#This Row],[Zw/w p/m]]*Stip[[#This Row],[Aantal maanden]])</f>
        <v/>
      </c>
      <c r="R10" s="2" t="str">
        <f>IF(Stip[[#This Row],[Model 2
(eis M1 t/m M27)]]="","",Stip[[#This Row],[kleur p/m]]*Stip[[#This Row],[Aantal maanden]])</f>
        <v/>
      </c>
      <c r="S10" s="8">
        <f>IF(Stip[[#This Row],[Model 1
(eis M1 t/m M27)]]="","",Stip[[#This Row],[Zw/w p/j]])</f>
        <v>26001</v>
      </c>
      <c r="T10" s="8">
        <f>IF(Stip[[#This Row],[Model 1
(eis M1 t/m M27)]]="","",Stip[[#This Row],[Kleur p/j]])</f>
        <v>14382</v>
      </c>
      <c r="U10" s="8" t="str">
        <f>IF(Stip[[#This Row],[Model 2
(eis M1 t/m M27)]]="","",Stip[[#This Row],[Zw/w p/j]])</f>
        <v/>
      </c>
      <c r="V10" s="8" t="str">
        <f>IF(Stip[[#This Row],[Model 2
(eis M1 t/m M27)]]="","",Stip[[#This Row],[Kleur p/j]])</f>
        <v/>
      </c>
    </row>
    <row r="11" spans="1:97" x14ac:dyDescent="0.35">
      <c r="A11" t="s">
        <v>453</v>
      </c>
      <c r="B11" s="2" t="s">
        <v>454</v>
      </c>
      <c r="C11" t="s">
        <v>500</v>
      </c>
      <c r="D11" t="s">
        <v>501</v>
      </c>
      <c r="E11" t="s">
        <v>483</v>
      </c>
      <c r="F11" t="s">
        <v>502</v>
      </c>
      <c r="G11" s="26" t="str">
        <f>IF((Stip[[#This Row],[Zw/w p/j]]+Stip[[#This Row],[Kleur p/j]])&lt;SOTOG!$H$1,1,IF((Stip[[#This Row],[Zw/w p/j]]+Stip[[#This Row],[Kleur p/j]])&gt;SOTOG!$G$1,2,""))</f>
        <v/>
      </c>
      <c r="H11" s="26">
        <f>IF(AND(Stip[[#This Row],[Zw/w p/j]]+Stip[[#This Row],[Kleur p/j]]&gt;=SOTOG!$H$1,Stip[[#This Row],[Zw/w p/j]]+Stip[[#This Row],[Kleur p/j]]&lt;SOTOG!$G$1),1,"")</f>
        <v>1</v>
      </c>
      <c r="I11" s="4">
        <v>44621</v>
      </c>
      <c r="J11" s="1">
        <f>Stip[[#This Row],[Zw/w p/m]]*12</f>
        <v>276370</v>
      </c>
      <c r="K11" s="1">
        <f>Stip[[#This Row],[kleur p/m]]*12</f>
        <v>51332</v>
      </c>
      <c r="L11" s="2">
        <v>23030.833333333332</v>
      </c>
      <c r="M11" s="2">
        <v>4277.666666666667</v>
      </c>
      <c r="N11" s="2">
        <f>IF(Stip[[#This Row],[Datum in gebruikname]]="",0,INT(_xlfn.DAYS($O$1,Stip[[#This Row],[Datum in gebruikname]])/30.41))</f>
        <v>48</v>
      </c>
      <c r="O11" s="2" t="str">
        <f>IF(Stip[[#This Row],[Model 1
(eis M1 t/m M27)]]="","",Stip[[#This Row],[Zw/w p/m]]*Stip[[#This Row],[Aantal maanden]])</f>
        <v/>
      </c>
      <c r="P11" s="2" t="str">
        <f>IF(Stip[[#This Row],[Model 1
(eis M1 t/m M27)]]="","",Stip[[#This Row],[kleur p/m]]*Stip[[#This Row],[Aantal maanden]])</f>
        <v/>
      </c>
      <c r="Q11" s="2">
        <f>IF(Stip[[#This Row],[Model 2
(eis M1 t/m M27)]]="","",Stip[[#This Row],[Zw/w p/m]]*Stip[[#This Row],[Aantal maanden]])</f>
        <v>1105480</v>
      </c>
      <c r="R11" s="2">
        <f>IF(Stip[[#This Row],[Model 2
(eis M1 t/m M27)]]="","",Stip[[#This Row],[kleur p/m]]*Stip[[#This Row],[Aantal maanden]])</f>
        <v>205328</v>
      </c>
      <c r="S11" s="2" t="str">
        <f>IF(Stip[[#This Row],[Model 1
(eis M1 t/m M27)]]="","",Stip[[#This Row],[Zw/w p/j]])</f>
        <v/>
      </c>
      <c r="T11" s="2" t="str">
        <f>IF(Stip[[#This Row],[Model 1
(eis M1 t/m M27)]]="","",Stip[[#This Row],[Kleur p/j]])</f>
        <v/>
      </c>
      <c r="U11" s="2">
        <f>IF(Stip[[#This Row],[Model 2
(eis M1 t/m M27)]]="","",Stip[[#This Row],[Zw/w p/j]])</f>
        <v>276370</v>
      </c>
      <c r="V11" s="2">
        <f>IF(Stip[[#This Row],[Model 2
(eis M1 t/m M27)]]="","",Stip[[#This Row],[Kleur p/j]])</f>
        <v>51332</v>
      </c>
    </row>
    <row r="12" spans="1:97" x14ac:dyDescent="0.35">
      <c r="A12" t="s">
        <v>453</v>
      </c>
      <c r="B12" s="2" t="s">
        <v>454</v>
      </c>
      <c r="C12" t="s">
        <v>500</v>
      </c>
      <c r="D12" t="s">
        <v>501</v>
      </c>
      <c r="E12" t="s">
        <v>483</v>
      </c>
      <c r="F12" t="s">
        <v>502</v>
      </c>
      <c r="G12" s="26">
        <f>IF((Stip[[#This Row],[Zw/w p/j]]+Stip[[#This Row],[Kleur p/j]])&lt;SOTOG!$H$1,1,IF((Stip[[#This Row],[Zw/w p/j]]+Stip[[#This Row],[Kleur p/j]])&gt;SOTOG!$G$1,2,""))</f>
        <v>1</v>
      </c>
      <c r="H12" s="26" t="str">
        <f>IF(AND(Stip[[#This Row],[Zw/w p/j]]+Stip[[#This Row],[Kleur p/j]]&gt;=SOTOG!$H$1,Stip[[#This Row],[Zw/w p/j]]+Stip[[#This Row],[Kleur p/j]]&lt;SOTOG!$G$1),1,"")</f>
        <v/>
      </c>
      <c r="I12" s="4">
        <v>44621</v>
      </c>
      <c r="J12" s="1">
        <f>Stip[[#This Row],[Zw/w p/m]]*12</f>
        <v>146473</v>
      </c>
      <c r="K12" s="1">
        <f>Stip[[#This Row],[kleur p/m]]*12</f>
        <v>34950</v>
      </c>
      <c r="L12" s="2">
        <v>12206.083333333334</v>
      </c>
      <c r="M12" s="2">
        <v>2912.5</v>
      </c>
      <c r="N12" s="2">
        <f>IF(Stip[[#This Row],[Datum in gebruikname]]="",0,INT(_xlfn.DAYS($O$1,Stip[[#This Row],[Datum in gebruikname]])/30.41))</f>
        <v>48</v>
      </c>
      <c r="O12" s="2">
        <f>IF(Stip[[#This Row],[Model 1
(eis M1 t/m M27)]]="","",Stip[[#This Row],[Zw/w p/m]]*Stip[[#This Row],[Aantal maanden]])</f>
        <v>585892</v>
      </c>
      <c r="P12" s="2">
        <f>IF(Stip[[#This Row],[Model 1
(eis M1 t/m M27)]]="","",Stip[[#This Row],[kleur p/m]]*Stip[[#This Row],[Aantal maanden]])</f>
        <v>139800</v>
      </c>
      <c r="Q12" s="2" t="str">
        <f>IF(Stip[[#This Row],[Model 2
(eis M1 t/m M27)]]="","",Stip[[#This Row],[Zw/w p/m]]*Stip[[#This Row],[Aantal maanden]])</f>
        <v/>
      </c>
      <c r="R12" s="2" t="str">
        <f>IF(Stip[[#This Row],[Model 2
(eis M1 t/m M27)]]="","",Stip[[#This Row],[kleur p/m]]*Stip[[#This Row],[Aantal maanden]])</f>
        <v/>
      </c>
      <c r="S12" s="2">
        <f>IF(Stip[[#This Row],[Model 1
(eis M1 t/m M27)]]="","",Stip[[#This Row],[Zw/w p/j]])</f>
        <v>146473</v>
      </c>
      <c r="T12" s="2">
        <f>IF(Stip[[#This Row],[Model 1
(eis M1 t/m M27)]]="","",Stip[[#This Row],[Kleur p/j]])</f>
        <v>34950</v>
      </c>
      <c r="U12" s="2" t="str">
        <f>IF(Stip[[#This Row],[Model 2
(eis M1 t/m M27)]]="","",Stip[[#This Row],[Zw/w p/j]])</f>
        <v/>
      </c>
      <c r="V12" s="2" t="str">
        <f>IF(Stip[[#This Row],[Model 2
(eis M1 t/m M27)]]="","",Stip[[#This Row],[Kleur p/j]])</f>
        <v/>
      </c>
    </row>
    <row r="13" spans="1:97" x14ac:dyDescent="0.35">
      <c r="A13" t="s">
        <v>455</v>
      </c>
      <c r="B13" s="2" t="s">
        <v>456</v>
      </c>
      <c r="C13" t="s">
        <v>503</v>
      </c>
      <c r="D13" t="s">
        <v>504</v>
      </c>
      <c r="E13" t="s">
        <v>483</v>
      </c>
      <c r="F13" t="s">
        <v>499</v>
      </c>
      <c r="G13" s="26" t="str">
        <f>IF((Stip[[#This Row],[Zw/w p/j]]+Stip[[#This Row],[Kleur p/j]])&lt;SOTOG!$H$1,1,IF((Stip[[#This Row],[Zw/w p/j]]+Stip[[#This Row],[Kleur p/j]])&gt;SOTOG!$G$1,2,""))</f>
        <v/>
      </c>
      <c r="H13" s="26">
        <f>IF(AND(Stip[[#This Row],[Zw/w p/j]]+Stip[[#This Row],[Kleur p/j]]&gt;=SOTOG!$H$1,Stip[[#This Row],[Zw/w p/j]]+Stip[[#This Row],[Kleur p/j]]&lt;SOTOG!$G$1),1,"")</f>
        <v>1</v>
      </c>
      <c r="I13" s="4">
        <v>44621</v>
      </c>
      <c r="J13" s="1">
        <f>Stip[[#This Row],[Zw/w p/m]]*12</f>
        <v>165426</v>
      </c>
      <c r="K13" s="1">
        <f>Stip[[#This Row],[kleur p/m]]*12</f>
        <v>44022</v>
      </c>
      <c r="L13" s="2">
        <v>13785.5</v>
      </c>
      <c r="M13" s="2">
        <v>3668.5</v>
      </c>
      <c r="N13" s="2">
        <f>IF(Stip[[#This Row],[Datum in gebruikname]]="",0,INT(_xlfn.DAYS($O$1,Stip[[#This Row],[Datum in gebruikname]])/30.41))</f>
        <v>48</v>
      </c>
      <c r="O13" s="2" t="str">
        <f>IF(Stip[[#This Row],[Model 1
(eis M1 t/m M27)]]="","",Stip[[#This Row],[Zw/w p/m]]*Stip[[#This Row],[Aantal maanden]])</f>
        <v/>
      </c>
      <c r="P13" s="2" t="str">
        <f>IF(Stip[[#This Row],[Model 1
(eis M1 t/m M27)]]="","",Stip[[#This Row],[kleur p/m]]*Stip[[#This Row],[Aantal maanden]])</f>
        <v/>
      </c>
      <c r="Q13" s="2">
        <f>IF(Stip[[#This Row],[Model 2
(eis M1 t/m M27)]]="","",Stip[[#This Row],[Zw/w p/m]]*Stip[[#This Row],[Aantal maanden]])</f>
        <v>661704</v>
      </c>
      <c r="R13" s="2">
        <f>IF(Stip[[#This Row],[Model 2
(eis M1 t/m M27)]]="","",Stip[[#This Row],[kleur p/m]]*Stip[[#This Row],[Aantal maanden]])</f>
        <v>176088</v>
      </c>
      <c r="S13" s="2" t="str">
        <f>IF(Stip[[#This Row],[Model 1
(eis M1 t/m M27)]]="","",Stip[[#This Row],[Zw/w p/j]])</f>
        <v/>
      </c>
      <c r="T13" s="2" t="str">
        <f>IF(Stip[[#This Row],[Model 1
(eis M1 t/m M27)]]="","",Stip[[#This Row],[Kleur p/j]])</f>
        <v/>
      </c>
      <c r="U13" s="2">
        <f>IF(Stip[[#This Row],[Model 2
(eis M1 t/m M27)]]="","",Stip[[#This Row],[Zw/w p/j]])</f>
        <v>165426</v>
      </c>
      <c r="V13" s="2">
        <f>IF(Stip[[#This Row],[Model 2
(eis M1 t/m M27)]]="","",Stip[[#This Row],[Kleur p/j]])</f>
        <v>44022</v>
      </c>
    </row>
    <row r="14" spans="1:97" x14ac:dyDescent="0.35">
      <c r="A14" t="s">
        <v>457</v>
      </c>
      <c r="B14" s="2" t="s">
        <v>458</v>
      </c>
      <c r="C14" t="s">
        <v>505</v>
      </c>
      <c r="D14" t="s">
        <v>506</v>
      </c>
      <c r="E14" t="s">
        <v>483</v>
      </c>
      <c r="F14" t="s">
        <v>507</v>
      </c>
      <c r="G14" s="26">
        <f>IF((Stip[[#This Row],[Zw/w p/j]]+Stip[[#This Row],[Kleur p/j]])&lt;SOTOG!$H$1,1,IF((Stip[[#This Row],[Zw/w p/j]]+Stip[[#This Row],[Kleur p/j]])&gt;SOTOG!$G$1,2,""))</f>
        <v>1</v>
      </c>
      <c r="H14" s="26" t="str">
        <f>IF(AND(Stip[[#This Row],[Zw/w p/j]]+Stip[[#This Row],[Kleur p/j]]&gt;=SOTOG!$H$1,Stip[[#This Row],[Zw/w p/j]]+Stip[[#This Row],[Kleur p/j]]&lt;SOTOG!$G$1),1,"")</f>
        <v/>
      </c>
      <c r="I14" s="4">
        <v>44621</v>
      </c>
      <c r="J14" s="1">
        <f>Stip[[#This Row],[Zw/w p/m]]*12</f>
        <v>137833</v>
      </c>
      <c r="K14" s="1">
        <f>Stip[[#This Row],[kleur p/m]]*12</f>
        <v>18631</v>
      </c>
      <c r="L14" s="2">
        <v>11486.083333333334</v>
      </c>
      <c r="M14" s="2">
        <v>1552.5833333333333</v>
      </c>
      <c r="N14" s="2">
        <f>IF(Stip[[#This Row],[Datum in gebruikname]]="",0,INT(_xlfn.DAYS($O$1,Stip[[#This Row],[Datum in gebruikname]])/30.41))</f>
        <v>48</v>
      </c>
      <c r="O14" s="2">
        <f>IF(Stip[[#This Row],[Model 1
(eis M1 t/m M27)]]="","",Stip[[#This Row],[Zw/w p/m]]*Stip[[#This Row],[Aantal maanden]])</f>
        <v>551332</v>
      </c>
      <c r="P14" s="2">
        <f>IF(Stip[[#This Row],[Model 1
(eis M1 t/m M27)]]="","",Stip[[#This Row],[kleur p/m]]*Stip[[#This Row],[Aantal maanden]])</f>
        <v>74524</v>
      </c>
      <c r="Q14" s="2" t="str">
        <f>IF(Stip[[#This Row],[Model 2
(eis M1 t/m M27)]]="","",Stip[[#This Row],[Zw/w p/m]]*Stip[[#This Row],[Aantal maanden]])</f>
        <v/>
      </c>
      <c r="R14" s="2" t="str">
        <f>IF(Stip[[#This Row],[Model 2
(eis M1 t/m M27)]]="","",Stip[[#This Row],[kleur p/m]]*Stip[[#This Row],[Aantal maanden]])</f>
        <v/>
      </c>
      <c r="S14" s="2">
        <f>IF(Stip[[#This Row],[Model 1
(eis M1 t/m M27)]]="","",Stip[[#This Row],[Zw/w p/j]])</f>
        <v>137833</v>
      </c>
      <c r="T14" s="2">
        <f>IF(Stip[[#This Row],[Model 1
(eis M1 t/m M27)]]="","",Stip[[#This Row],[Kleur p/j]])</f>
        <v>18631</v>
      </c>
      <c r="U14" s="2" t="str">
        <f>IF(Stip[[#This Row],[Model 2
(eis M1 t/m M27)]]="","",Stip[[#This Row],[Zw/w p/j]])</f>
        <v/>
      </c>
      <c r="V14" s="2" t="str">
        <f>IF(Stip[[#This Row],[Model 2
(eis M1 t/m M27)]]="","",Stip[[#This Row],[Kleur p/j]])</f>
        <v/>
      </c>
    </row>
    <row r="15" spans="1:97" x14ac:dyDescent="0.35">
      <c r="A15" t="s">
        <v>459</v>
      </c>
      <c r="B15" s="155" t="s">
        <v>460</v>
      </c>
      <c r="C15" s="83" t="s">
        <v>508</v>
      </c>
      <c r="D15" s="83" t="s">
        <v>509</v>
      </c>
      <c r="E15" s="83" t="s">
        <v>483</v>
      </c>
      <c r="F15" s="83" t="s">
        <v>510</v>
      </c>
      <c r="G15" s="26">
        <f>IF((Stip[[#This Row],[Zw/w p/j]]+Stip[[#This Row],[Kleur p/j]])&lt;SOTOG!$H$1,1,IF((Stip[[#This Row],[Zw/w p/j]]+Stip[[#This Row],[Kleur p/j]])&gt;SOTOG!$G$1,2,""))</f>
        <v>1</v>
      </c>
      <c r="H15" s="26" t="str">
        <f>IF(AND(Stip[[#This Row],[Zw/w p/j]]+Stip[[#This Row],[Kleur p/j]]&gt;=SOTOG!$H$1,Stip[[#This Row],[Zw/w p/j]]+Stip[[#This Row],[Kleur p/j]]&lt;SOTOG!$G$1),1,"")</f>
        <v/>
      </c>
      <c r="I15" s="4">
        <v>44621</v>
      </c>
      <c r="J15" s="1">
        <f>Stip[[#This Row],[Zw/w p/m]]*12</f>
        <v>3640</v>
      </c>
      <c r="K15" s="1">
        <f>Stip[[#This Row],[kleur p/m]]*12</f>
        <v>17845.333333333332</v>
      </c>
      <c r="L15" s="2">
        <f>2730/9</f>
        <v>303.33333333333331</v>
      </c>
      <c r="M15" s="2">
        <f>13384/9</f>
        <v>1487.1111111111111</v>
      </c>
      <c r="N15" s="2">
        <f>IF(Stip[[#This Row],[Datum in gebruikname]]="",0,INT(_xlfn.DAYS($O$1,Stip[[#This Row],[Datum in gebruikname]])/30.41))</f>
        <v>48</v>
      </c>
      <c r="O15" s="2">
        <f>IF(Stip[[#This Row],[Model 1
(eis M1 t/m M27)]]="","",Stip[[#This Row],[Zw/w p/m]]*Stip[[#This Row],[Aantal maanden]])</f>
        <v>14560</v>
      </c>
      <c r="P15" s="2">
        <f>IF(Stip[[#This Row],[Model 1
(eis M1 t/m M27)]]="","",Stip[[#This Row],[kleur p/m]]*Stip[[#This Row],[Aantal maanden]])</f>
        <v>71381.333333333328</v>
      </c>
      <c r="Q15" s="2" t="str">
        <f>IF(Stip[[#This Row],[Model 2
(eis M1 t/m M27)]]="","",Stip[[#This Row],[Zw/w p/m]]*Stip[[#This Row],[Aantal maanden]])</f>
        <v/>
      </c>
      <c r="R15" s="2" t="str">
        <f>IF(Stip[[#This Row],[Model 2
(eis M1 t/m M27)]]="","",Stip[[#This Row],[kleur p/m]]*Stip[[#This Row],[Aantal maanden]])</f>
        <v/>
      </c>
      <c r="S15" s="2">
        <f>IF(Stip[[#This Row],[Model 1
(eis M1 t/m M27)]]="","",Stip[[#This Row],[Zw/w p/j]])</f>
        <v>3640</v>
      </c>
      <c r="T15" s="2">
        <f>IF(Stip[[#This Row],[Model 1
(eis M1 t/m M27)]]="","",Stip[[#This Row],[Kleur p/j]])</f>
        <v>17845.333333333332</v>
      </c>
      <c r="U15" s="2" t="str">
        <f>IF(Stip[[#This Row],[Model 2
(eis M1 t/m M27)]]="","",Stip[[#This Row],[Zw/w p/j]])</f>
        <v/>
      </c>
      <c r="V15" s="2" t="str">
        <f>IF(Stip[[#This Row],[Model 2
(eis M1 t/m M27)]]="","",Stip[[#This Row],[Kleur p/j]])</f>
        <v/>
      </c>
    </row>
    <row r="16" spans="1:97" x14ac:dyDescent="0.35">
      <c r="A16" t="s">
        <v>461</v>
      </c>
      <c r="B16" s="2" t="s">
        <v>462</v>
      </c>
      <c r="C16" t="s">
        <v>511</v>
      </c>
      <c r="D16" t="s">
        <v>512</v>
      </c>
      <c r="E16" t="s">
        <v>483</v>
      </c>
      <c r="F16" t="s">
        <v>513</v>
      </c>
      <c r="G16" s="26">
        <f>IF((Stip[[#This Row],[Zw/w p/j]]+Stip[[#This Row],[Kleur p/j]])&lt;SOTOG!$H$1,1,IF((Stip[[#This Row],[Zw/w p/j]]+Stip[[#This Row],[Kleur p/j]])&gt;SOTOG!$G$1,2,""))</f>
        <v>1</v>
      </c>
      <c r="H16" s="26" t="str">
        <f>IF(AND(Stip[[#This Row],[Zw/w p/j]]+Stip[[#This Row],[Kleur p/j]]&gt;=SOTOG!$H$1,Stip[[#This Row],[Zw/w p/j]]+Stip[[#This Row],[Kleur p/j]]&lt;SOTOG!$G$1),1,"")</f>
        <v/>
      </c>
      <c r="I16" s="4">
        <v>44621</v>
      </c>
      <c r="J16" s="1">
        <f>Stip[[#This Row],[Zw/w p/m]]*12</f>
        <v>70864</v>
      </c>
      <c r="K16" s="1">
        <f>Stip[[#This Row],[kleur p/m]]*12</f>
        <v>40862</v>
      </c>
      <c r="L16" s="2">
        <v>5905.333333333333</v>
      </c>
      <c r="M16" s="2">
        <v>3405.1666666666665</v>
      </c>
      <c r="N16" s="2">
        <f>IF(Stip[[#This Row],[Datum in gebruikname]]="",0,INT(_xlfn.DAYS($O$1,Stip[[#This Row],[Datum in gebruikname]])/30.41))</f>
        <v>48</v>
      </c>
      <c r="O16" s="2">
        <f>IF(Stip[[#This Row],[Model 1
(eis M1 t/m M27)]]="","",Stip[[#This Row],[Zw/w p/m]]*Stip[[#This Row],[Aantal maanden]])</f>
        <v>283456</v>
      </c>
      <c r="P16" s="2">
        <f>IF(Stip[[#This Row],[Model 1
(eis M1 t/m M27)]]="","",Stip[[#This Row],[kleur p/m]]*Stip[[#This Row],[Aantal maanden]])</f>
        <v>163448</v>
      </c>
      <c r="Q16" s="2" t="str">
        <f>IF(Stip[[#This Row],[Model 2
(eis M1 t/m M27)]]="","",Stip[[#This Row],[Zw/w p/m]]*Stip[[#This Row],[Aantal maanden]])</f>
        <v/>
      </c>
      <c r="R16" s="2" t="str">
        <f>IF(Stip[[#This Row],[Model 2
(eis M1 t/m M27)]]="","",Stip[[#This Row],[kleur p/m]]*Stip[[#This Row],[Aantal maanden]])</f>
        <v/>
      </c>
      <c r="S16" s="2">
        <f>IF(Stip[[#This Row],[Model 1
(eis M1 t/m M27)]]="","",Stip[[#This Row],[Zw/w p/j]])</f>
        <v>70864</v>
      </c>
      <c r="T16" s="2">
        <f>IF(Stip[[#This Row],[Model 1
(eis M1 t/m M27)]]="","",Stip[[#This Row],[Kleur p/j]])</f>
        <v>40862</v>
      </c>
      <c r="U16" s="2" t="str">
        <f>IF(Stip[[#This Row],[Model 2
(eis M1 t/m M27)]]="","",Stip[[#This Row],[Zw/w p/j]])</f>
        <v/>
      </c>
      <c r="V16" s="2" t="str">
        <f>IF(Stip[[#This Row],[Model 2
(eis M1 t/m M27)]]="","",Stip[[#This Row],[Kleur p/j]])</f>
        <v/>
      </c>
    </row>
    <row r="17" spans="1:22" x14ac:dyDescent="0.35">
      <c r="A17" t="s">
        <v>463</v>
      </c>
      <c r="B17" s="2" t="s">
        <v>464</v>
      </c>
      <c r="C17" t="s">
        <v>514</v>
      </c>
      <c r="D17" t="s">
        <v>515</v>
      </c>
      <c r="E17" t="s">
        <v>483</v>
      </c>
      <c r="F17" t="s">
        <v>516</v>
      </c>
      <c r="G17" s="26" t="str">
        <f>IF((Stip[[#This Row],[Zw/w p/j]]+Stip[[#This Row],[Kleur p/j]])&lt;SOTOG!$H$1,1,IF((Stip[[#This Row],[Zw/w p/j]]+Stip[[#This Row],[Kleur p/j]])&gt;SOTOG!$G$1,2,""))</f>
        <v/>
      </c>
      <c r="H17" s="26">
        <f>IF(AND(Stip[[#This Row],[Zw/w p/j]]+Stip[[#This Row],[Kleur p/j]]&gt;=SOTOG!$H$1,Stip[[#This Row],[Zw/w p/j]]+Stip[[#This Row],[Kleur p/j]]&lt;SOTOG!$G$1),1,"")</f>
        <v>1</v>
      </c>
      <c r="I17" s="4">
        <v>44621</v>
      </c>
      <c r="J17" s="1">
        <f>Stip[[#This Row],[Zw/w p/m]]*12</f>
        <v>387421</v>
      </c>
      <c r="K17" s="1">
        <f>Stip[[#This Row],[kleur p/m]]*12</f>
        <v>7918</v>
      </c>
      <c r="L17" s="2">
        <v>32285.083333333332</v>
      </c>
      <c r="M17" s="2">
        <v>659.83333333333337</v>
      </c>
      <c r="N17" s="2">
        <f>IF(Stip[[#This Row],[Datum in gebruikname]]="",0,INT(_xlfn.DAYS($O$1,Stip[[#This Row],[Datum in gebruikname]])/30.41))</f>
        <v>48</v>
      </c>
      <c r="O17" s="2" t="str">
        <f>IF(Stip[[#This Row],[Model 1
(eis M1 t/m M27)]]="","",Stip[[#This Row],[Zw/w p/m]]*Stip[[#This Row],[Aantal maanden]])</f>
        <v/>
      </c>
      <c r="P17" s="2" t="str">
        <f>IF(Stip[[#This Row],[Model 1
(eis M1 t/m M27)]]="","",Stip[[#This Row],[kleur p/m]]*Stip[[#This Row],[Aantal maanden]])</f>
        <v/>
      </c>
      <c r="Q17" s="2">
        <f>IF(Stip[[#This Row],[Model 2
(eis M1 t/m M27)]]="","",Stip[[#This Row],[Zw/w p/m]]*Stip[[#This Row],[Aantal maanden]])</f>
        <v>1549684</v>
      </c>
      <c r="R17" s="2">
        <f>IF(Stip[[#This Row],[Model 2
(eis M1 t/m M27)]]="","",Stip[[#This Row],[kleur p/m]]*Stip[[#This Row],[Aantal maanden]])</f>
        <v>31672</v>
      </c>
      <c r="S17" s="2" t="str">
        <f>IF(Stip[[#This Row],[Model 1
(eis M1 t/m M27)]]="","",Stip[[#This Row],[Zw/w p/j]])</f>
        <v/>
      </c>
      <c r="T17" s="2" t="str">
        <f>IF(Stip[[#This Row],[Model 1
(eis M1 t/m M27)]]="","",Stip[[#This Row],[Kleur p/j]])</f>
        <v/>
      </c>
      <c r="U17" s="2">
        <f>IF(Stip[[#This Row],[Model 2
(eis M1 t/m M27)]]="","",Stip[[#This Row],[Zw/w p/j]])</f>
        <v>387421</v>
      </c>
      <c r="V17" s="2">
        <f>IF(Stip[[#This Row],[Model 2
(eis M1 t/m M27)]]="","",Stip[[#This Row],[Kleur p/j]])</f>
        <v>7918</v>
      </c>
    </row>
    <row r="18" spans="1:22" x14ac:dyDescent="0.35">
      <c r="A18" t="s">
        <v>465</v>
      </c>
      <c r="B18" s="2" t="s">
        <v>466</v>
      </c>
      <c r="C18" t="s">
        <v>517</v>
      </c>
      <c r="D18" t="s">
        <v>518</v>
      </c>
      <c r="E18" t="s">
        <v>483</v>
      </c>
      <c r="F18" t="s">
        <v>519</v>
      </c>
      <c r="G18" s="104">
        <f>IF((Stip[[#This Row],[Zw/w p/j]]+Stip[[#This Row],[Kleur p/j]])&lt;SOTOG!$H$1,1,IF((Stip[[#This Row],[Zw/w p/j]]+Stip[[#This Row],[Kleur p/j]])&gt;SOTOG!$G$1,2,""))</f>
        <v>1</v>
      </c>
      <c r="H18" s="104" t="str">
        <f>IF(AND(Stip[[#This Row],[Zw/w p/j]]+Stip[[#This Row],[Kleur p/j]]&gt;=SOTOG!$H$1,Stip[[#This Row],[Zw/w p/j]]+Stip[[#This Row],[Kleur p/j]]&lt;SOTOG!$G$1),1,"")</f>
        <v/>
      </c>
      <c r="I18" s="4">
        <v>44621</v>
      </c>
      <c r="J18" s="1">
        <f>Stip[[#This Row],[Zw/w p/m]]*12</f>
        <v>138067</v>
      </c>
      <c r="K18" s="1">
        <f>Stip[[#This Row],[kleur p/m]]*12</f>
        <v>35990</v>
      </c>
      <c r="L18" s="2">
        <v>11505.583333333334</v>
      </c>
      <c r="M18" s="2">
        <v>2999.1666666666665</v>
      </c>
      <c r="N18" s="2">
        <f>IF(Stip[[#This Row],[Datum in gebruikname]]="",0,INT(_xlfn.DAYS($O$1,Stip[[#This Row],[Datum in gebruikname]])/30.41))</f>
        <v>48</v>
      </c>
      <c r="O18" s="2">
        <f>IF(Stip[[#This Row],[Model 1
(eis M1 t/m M27)]]="","",Stip[[#This Row],[Zw/w p/m]]*Stip[[#This Row],[Aantal maanden]])</f>
        <v>552268</v>
      </c>
      <c r="P18" s="2">
        <f>IF(Stip[[#This Row],[Model 1
(eis M1 t/m M27)]]="","",Stip[[#This Row],[kleur p/m]]*Stip[[#This Row],[Aantal maanden]])</f>
        <v>143960</v>
      </c>
      <c r="Q18" s="2" t="str">
        <f>IF(Stip[[#This Row],[Model 2
(eis M1 t/m M27)]]="","",Stip[[#This Row],[Zw/w p/m]]*Stip[[#This Row],[Aantal maanden]])</f>
        <v/>
      </c>
      <c r="R18" s="2" t="str">
        <f>IF(Stip[[#This Row],[Model 2
(eis M1 t/m M27)]]="","",Stip[[#This Row],[kleur p/m]]*Stip[[#This Row],[Aantal maanden]])</f>
        <v/>
      </c>
      <c r="S18" s="2">
        <f>IF(Stip[[#This Row],[Model 1
(eis M1 t/m M27)]]="","",Stip[[#This Row],[Zw/w p/j]])</f>
        <v>138067</v>
      </c>
      <c r="T18" s="2">
        <f>IF(Stip[[#This Row],[Model 1
(eis M1 t/m M27)]]="","",Stip[[#This Row],[Kleur p/j]])</f>
        <v>35990</v>
      </c>
      <c r="U18" s="2" t="str">
        <f>IF(Stip[[#This Row],[Model 2
(eis M1 t/m M27)]]="","",Stip[[#This Row],[Zw/w p/j]])</f>
        <v/>
      </c>
      <c r="V18" s="2" t="str">
        <f>IF(Stip[[#This Row],[Model 2
(eis M1 t/m M27)]]="","",Stip[[#This Row],[Kleur p/j]])</f>
        <v/>
      </c>
    </row>
    <row r="19" spans="1:22" x14ac:dyDescent="0.35">
      <c r="A19" t="s">
        <v>467</v>
      </c>
      <c r="B19" s="2" t="s">
        <v>468</v>
      </c>
      <c r="C19" t="s">
        <v>520</v>
      </c>
      <c r="D19" t="s">
        <v>521</v>
      </c>
      <c r="E19" t="s">
        <v>483</v>
      </c>
      <c r="F19" t="s">
        <v>522</v>
      </c>
      <c r="G19" s="104">
        <f>IF((Stip[[#This Row],[Zw/w p/j]]+Stip[[#This Row],[Kleur p/j]])&lt;SOTOG!$H$1,1,IF((Stip[[#This Row],[Zw/w p/j]]+Stip[[#This Row],[Kleur p/j]])&gt;SOTOG!$G$1,2,""))</f>
        <v>1</v>
      </c>
      <c r="H19" s="104" t="str">
        <f>IF(AND(Stip[[#This Row],[Zw/w p/j]]+Stip[[#This Row],[Kleur p/j]]&gt;=SOTOG!$H$1,Stip[[#This Row],[Zw/w p/j]]+Stip[[#This Row],[Kleur p/j]]&lt;SOTOG!$G$1),1,"")</f>
        <v/>
      </c>
      <c r="I19" s="4">
        <v>44621</v>
      </c>
      <c r="J19" s="1">
        <f>Stip[[#This Row],[Zw/w p/m]]*12</f>
        <v>100959</v>
      </c>
      <c r="K19" s="1">
        <f>Stip[[#This Row],[kleur p/m]]*12</f>
        <v>39794</v>
      </c>
      <c r="L19" s="2">
        <v>8413.25</v>
      </c>
      <c r="M19" s="2">
        <v>3316.1666666666665</v>
      </c>
      <c r="N19" s="2">
        <f>IF(Stip[[#This Row],[Datum in gebruikname]]="",0,INT(_xlfn.DAYS($O$1,Stip[[#This Row],[Datum in gebruikname]])/30.41))</f>
        <v>48</v>
      </c>
      <c r="O19" s="2">
        <f>IF(Stip[[#This Row],[Model 1
(eis M1 t/m M27)]]="","",Stip[[#This Row],[Zw/w p/m]]*Stip[[#This Row],[Aantal maanden]])</f>
        <v>403836</v>
      </c>
      <c r="P19" s="2">
        <f>IF(Stip[[#This Row],[Model 1
(eis M1 t/m M27)]]="","",Stip[[#This Row],[kleur p/m]]*Stip[[#This Row],[Aantal maanden]])</f>
        <v>159176</v>
      </c>
      <c r="Q19" s="2" t="str">
        <f>IF(Stip[[#This Row],[Model 2
(eis M1 t/m M27)]]="","",Stip[[#This Row],[Zw/w p/m]]*Stip[[#This Row],[Aantal maanden]])</f>
        <v/>
      </c>
      <c r="R19" s="2" t="str">
        <f>IF(Stip[[#This Row],[Model 2
(eis M1 t/m M27)]]="","",Stip[[#This Row],[kleur p/m]]*Stip[[#This Row],[Aantal maanden]])</f>
        <v/>
      </c>
      <c r="S19" s="2">
        <f>IF(Stip[[#This Row],[Model 1
(eis M1 t/m M27)]]="","",Stip[[#This Row],[Zw/w p/j]])</f>
        <v>100959</v>
      </c>
      <c r="T19" s="2">
        <f>IF(Stip[[#This Row],[Model 1
(eis M1 t/m M27)]]="","",Stip[[#This Row],[Kleur p/j]])</f>
        <v>39794</v>
      </c>
      <c r="U19" s="2" t="str">
        <f>IF(Stip[[#This Row],[Model 2
(eis M1 t/m M27)]]="","",Stip[[#This Row],[Zw/w p/j]])</f>
        <v/>
      </c>
      <c r="V19" s="2" t="str">
        <f>IF(Stip[[#This Row],[Model 2
(eis M1 t/m M27)]]="","",Stip[[#This Row],[Kleur p/j]])</f>
        <v/>
      </c>
    </row>
    <row r="20" spans="1:22" x14ac:dyDescent="0.35">
      <c r="A20" t="s">
        <v>469</v>
      </c>
      <c r="B20" s="155" t="s">
        <v>470</v>
      </c>
      <c r="C20" s="83" t="s">
        <v>523</v>
      </c>
      <c r="D20" s="83" t="s">
        <v>524</v>
      </c>
      <c r="E20" s="83" t="s">
        <v>483</v>
      </c>
      <c r="F20" s="83" t="s">
        <v>525</v>
      </c>
      <c r="G20" s="104" t="str">
        <f>IF((Stip[[#This Row],[Zw/w p/j]]+Stip[[#This Row],[Kleur p/j]])&lt;SOTOG!$H$1,1,IF((Stip[[#This Row],[Zw/w p/j]]+Stip[[#This Row],[Kleur p/j]])&gt;SOTOG!$G$1,2,""))</f>
        <v/>
      </c>
      <c r="H20" s="104">
        <f>IF(AND(Stip[[#This Row],[Zw/w p/j]]+Stip[[#This Row],[Kleur p/j]]&gt;=SOTOG!$H$1,Stip[[#This Row],[Zw/w p/j]]+Stip[[#This Row],[Kleur p/j]]&lt;SOTOG!$G$1),1,"")</f>
        <v>1</v>
      </c>
      <c r="I20" s="4">
        <v>45108</v>
      </c>
      <c r="J20" s="1">
        <f>Stip[[#This Row],[Zw/w p/m]]*12</f>
        <v>263952</v>
      </c>
      <c r="K20" s="1">
        <f>Stip[[#This Row],[kleur p/m]]*12</f>
        <v>60012</v>
      </c>
      <c r="L20" s="2">
        <v>21996</v>
      </c>
      <c r="M20" s="2">
        <v>5001</v>
      </c>
      <c r="N20" s="2">
        <f>IF(Stip[[#This Row],[Datum in gebruikname]]="",0,INT(_xlfn.DAYS($O$1,Stip[[#This Row],[Datum in gebruikname]])/30.41))</f>
        <v>32</v>
      </c>
      <c r="O20" s="2" t="str">
        <f>IF(Stip[[#This Row],[Model 1
(eis M1 t/m M27)]]="","",Stip[[#This Row],[Zw/w p/m]]*Stip[[#This Row],[Aantal maanden]])</f>
        <v/>
      </c>
      <c r="P20" s="2" t="str">
        <f>IF(Stip[[#This Row],[Model 1
(eis M1 t/m M27)]]="","",Stip[[#This Row],[kleur p/m]]*Stip[[#This Row],[Aantal maanden]])</f>
        <v/>
      </c>
      <c r="Q20" s="2">
        <f>IF(Stip[[#This Row],[Model 2
(eis M1 t/m M27)]]="","",Stip[[#This Row],[Zw/w p/m]]*Stip[[#This Row],[Aantal maanden]])</f>
        <v>703872</v>
      </c>
      <c r="R20" s="2">
        <f>IF(Stip[[#This Row],[Model 2
(eis M1 t/m M27)]]="","",Stip[[#This Row],[kleur p/m]]*Stip[[#This Row],[Aantal maanden]])</f>
        <v>160032</v>
      </c>
      <c r="S20" s="2" t="str">
        <f>IF(Stip[[#This Row],[Model 1
(eis M1 t/m M27)]]="","",Stip[[#This Row],[Zw/w p/j]])</f>
        <v/>
      </c>
      <c r="T20" s="2" t="str">
        <f>IF(Stip[[#This Row],[Model 1
(eis M1 t/m M27)]]="","",Stip[[#This Row],[Kleur p/j]])</f>
        <v/>
      </c>
      <c r="U20" s="2">
        <f>IF(Stip[[#This Row],[Model 2
(eis M1 t/m M27)]]="","",Stip[[#This Row],[Zw/w p/j]])</f>
        <v>263952</v>
      </c>
      <c r="V20" s="2">
        <f>IF(Stip[[#This Row],[Model 2
(eis M1 t/m M27)]]="","",Stip[[#This Row],[Kleur p/j]])</f>
        <v>60012</v>
      </c>
    </row>
    <row r="21" spans="1:22" x14ac:dyDescent="0.35">
      <c r="A21" t="s">
        <v>471</v>
      </c>
      <c r="B21" s="2" t="s">
        <v>472</v>
      </c>
      <c r="C21" t="s">
        <v>526</v>
      </c>
      <c r="D21" t="s">
        <v>527</v>
      </c>
      <c r="E21" t="s">
        <v>483</v>
      </c>
      <c r="F21" t="s">
        <v>528</v>
      </c>
      <c r="G21" s="104">
        <f>IF((Stip[[#This Row],[Zw/w p/j]]+Stip[[#This Row],[Kleur p/j]])&lt;SOTOG!$H$1,1,IF((Stip[[#This Row],[Zw/w p/j]]+Stip[[#This Row],[Kleur p/j]])&gt;SOTOG!$G$1,2,""))</f>
        <v>1</v>
      </c>
      <c r="H21" s="104" t="str">
        <f>IF(AND(Stip[[#This Row],[Zw/w p/j]]+Stip[[#This Row],[Kleur p/j]]&gt;=SOTOG!$H$1,Stip[[#This Row],[Zw/w p/j]]+Stip[[#This Row],[Kleur p/j]]&lt;SOTOG!$G$1),1,"")</f>
        <v/>
      </c>
      <c r="I21" s="4">
        <v>44621</v>
      </c>
      <c r="J21" s="1">
        <f>Stip[[#This Row],[Zw/w p/m]]*12</f>
        <v>83055</v>
      </c>
      <c r="K21" s="1">
        <f>Stip[[#This Row],[kleur p/m]]*12</f>
        <v>29895</v>
      </c>
      <c r="L21" s="2">
        <v>6921.25</v>
      </c>
      <c r="M21" s="2">
        <v>2491.25</v>
      </c>
      <c r="N21" s="2">
        <f>IF(Stip[[#This Row],[Datum in gebruikname]]="",0,INT(_xlfn.DAYS($O$1,Stip[[#This Row],[Datum in gebruikname]])/30.41))</f>
        <v>48</v>
      </c>
      <c r="O21" s="2">
        <f>IF(Stip[[#This Row],[Model 1
(eis M1 t/m M27)]]="","",Stip[[#This Row],[Zw/w p/m]]*Stip[[#This Row],[Aantal maanden]])</f>
        <v>332220</v>
      </c>
      <c r="P21" s="2">
        <f>IF(Stip[[#This Row],[Model 1
(eis M1 t/m M27)]]="","",Stip[[#This Row],[kleur p/m]]*Stip[[#This Row],[Aantal maanden]])</f>
        <v>119580</v>
      </c>
      <c r="Q21" s="2" t="str">
        <f>IF(Stip[[#This Row],[Model 2
(eis M1 t/m M27)]]="","",Stip[[#This Row],[Zw/w p/m]]*Stip[[#This Row],[Aantal maanden]])</f>
        <v/>
      </c>
      <c r="R21" s="2" t="str">
        <f>IF(Stip[[#This Row],[Model 2
(eis M1 t/m M27)]]="","",Stip[[#This Row],[kleur p/m]]*Stip[[#This Row],[Aantal maanden]])</f>
        <v/>
      </c>
      <c r="S21" s="2">
        <f>IF(Stip[[#This Row],[Model 1
(eis M1 t/m M27)]]="","",Stip[[#This Row],[Zw/w p/j]])</f>
        <v>83055</v>
      </c>
      <c r="T21" s="2">
        <f>IF(Stip[[#This Row],[Model 1
(eis M1 t/m M27)]]="","",Stip[[#This Row],[Kleur p/j]])</f>
        <v>29895</v>
      </c>
      <c r="U21" s="2" t="str">
        <f>IF(Stip[[#This Row],[Model 2
(eis M1 t/m M27)]]="","",Stip[[#This Row],[Zw/w p/j]])</f>
        <v/>
      </c>
      <c r="V21" s="2" t="str">
        <f>IF(Stip[[#This Row],[Model 2
(eis M1 t/m M27)]]="","",Stip[[#This Row],[Kleur p/j]])</f>
        <v/>
      </c>
    </row>
    <row r="22" spans="1:22" x14ac:dyDescent="0.35">
      <c r="A22" t="s">
        <v>473</v>
      </c>
      <c r="B22" s="2" t="s">
        <v>474</v>
      </c>
      <c r="C22" t="s">
        <v>529</v>
      </c>
      <c r="D22" t="s">
        <v>530</v>
      </c>
      <c r="E22" t="s">
        <v>483</v>
      </c>
      <c r="F22" t="s">
        <v>531</v>
      </c>
      <c r="G22" s="104">
        <f>IF((Stip[[#This Row],[Zw/w p/j]]+Stip[[#This Row],[Kleur p/j]])&lt;SOTOG!$H$1,1,IF((Stip[[#This Row],[Zw/w p/j]]+Stip[[#This Row],[Kleur p/j]])&gt;SOTOG!$G$1,2,""))</f>
        <v>1</v>
      </c>
      <c r="H22" s="104" t="str">
        <f>IF(AND(Stip[[#This Row],[Zw/w p/j]]+Stip[[#This Row],[Kleur p/j]]&gt;=SOTOG!$H$1,Stip[[#This Row],[Zw/w p/j]]+Stip[[#This Row],[Kleur p/j]]&lt;SOTOG!$G$1),1,"")</f>
        <v/>
      </c>
      <c r="I22" s="4">
        <v>44621</v>
      </c>
      <c r="J22" s="1">
        <f>Stip[[#This Row],[Zw/w p/m]]*12</f>
        <v>63509</v>
      </c>
      <c r="K22" s="1">
        <f>Stip[[#This Row],[kleur p/m]]*12</f>
        <v>22270</v>
      </c>
      <c r="L22" s="2">
        <v>5292.416666666667</v>
      </c>
      <c r="M22" s="2">
        <v>1855.8333333333333</v>
      </c>
      <c r="N22" s="2">
        <f>IF(Stip[[#This Row],[Datum in gebruikname]]="",0,INT(_xlfn.DAYS($O$1,Stip[[#This Row],[Datum in gebruikname]])/30.41))</f>
        <v>48</v>
      </c>
      <c r="O22" s="2">
        <f>IF(Stip[[#This Row],[Model 1
(eis M1 t/m M27)]]="","",Stip[[#This Row],[Zw/w p/m]]*Stip[[#This Row],[Aantal maanden]])</f>
        <v>254036</v>
      </c>
      <c r="P22" s="2">
        <f>IF(Stip[[#This Row],[Model 1
(eis M1 t/m M27)]]="","",Stip[[#This Row],[kleur p/m]]*Stip[[#This Row],[Aantal maanden]])</f>
        <v>89080</v>
      </c>
      <c r="Q22" s="2" t="str">
        <f>IF(Stip[[#This Row],[Model 2
(eis M1 t/m M27)]]="","",Stip[[#This Row],[Zw/w p/m]]*Stip[[#This Row],[Aantal maanden]])</f>
        <v/>
      </c>
      <c r="R22" s="2" t="str">
        <f>IF(Stip[[#This Row],[Model 2
(eis M1 t/m M27)]]="","",Stip[[#This Row],[kleur p/m]]*Stip[[#This Row],[Aantal maanden]])</f>
        <v/>
      </c>
      <c r="S22" s="2">
        <f>IF(Stip[[#This Row],[Model 1
(eis M1 t/m M27)]]="","",Stip[[#This Row],[Zw/w p/j]])</f>
        <v>63509</v>
      </c>
      <c r="T22" s="2">
        <f>IF(Stip[[#This Row],[Model 1
(eis M1 t/m M27)]]="","",Stip[[#This Row],[Kleur p/j]])</f>
        <v>22270</v>
      </c>
      <c r="U22" s="2" t="str">
        <f>IF(Stip[[#This Row],[Model 2
(eis M1 t/m M27)]]="","",Stip[[#This Row],[Zw/w p/j]])</f>
        <v/>
      </c>
      <c r="V22" s="2" t="str">
        <f>IF(Stip[[#This Row],[Model 2
(eis M1 t/m M27)]]="","",Stip[[#This Row],[Kleur p/j]])</f>
        <v/>
      </c>
    </row>
    <row r="23" spans="1:22" x14ac:dyDescent="0.35">
      <c r="A23" t="s">
        <v>475</v>
      </c>
      <c r="B23" s="2" t="s">
        <v>476</v>
      </c>
      <c r="C23" t="s">
        <v>532</v>
      </c>
      <c r="D23" t="s">
        <v>533</v>
      </c>
      <c r="E23" t="s">
        <v>483</v>
      </c>
      <c r="F23" t="s">
        <v>522</v>
      </c>
      <c r="G23" s="104">
        <f>IF((Stip[[#This Row],[Zw/w p/j]]+Stip[[#This Row],[Kleur p/j]])&lt;SOTOG!$H$1,1,IF((Stip[[#This Row],[Zw/w p/j]]+Stip[[#This Row],[Kleur p/j]])&gt;SOTOG!$G$1,2,""))</f>
        <v>1</v>
      </c>
      <c r="H23" s="104" t="str">
        <f>IF(AND(Stip[[#This Row],[Zw/w p/j]]+Stip[[#This Row],[Kleur p/j]]&gt;=SOTOG!$H$1,Stip[[#This Row],[Zw/w p/j]]+Stip[[#This Row],[Kleur p/j]]&lt;SOTOG!$G$1),1,"")</f>
        <v/>
      </c>
      <c r="I23" s="4">
        <v>44621</v>
      </c>
      <c r="J23" s="1">
        <f>Stip[[#This Row],[Zw/w p/m]]*12</f>
        <v>63864</v>
      </c>
      <c r="K23" s="1">
        <f>Stip[[#This Row],[kleur p/m]]*12</f>
        <v>29670</v>
      </c>
      <c r="L23" s="2">
        <v>5322</v>
      </c>
      <c r="M23" s="2">
        <v>2472.5</v>
      </c>
      <c r="N23" s="2">
        <f>IF(Stip[[#This Row],[Datum in gebruikname]]="",0,INT(_xlfn.DAYS($O$1,Stip[[#This Row],[Datum in gebruikname]])/30.41))</f>
        <v>48</v>
      </c>
      <c r="O23" s="2">
        <f>IF(Stip[[#This Row],[Model 1
(eis M1 t/m M27)]]="","",Stip[[#This Row],[Zw/w p/m]]*Stip[[#This Row],[Aantal maanden]])</f>
        <v>255456</v>
      </c>
      <c r="P23" s="2">
        <f>IF(Stip[[#This Row],[Model 1
(eis M1 t/m M27)]]="","",Stip[[#This Row],[kleur p/m]]*Stip[[#This Row],[Aantal maanden]])</f>
        <v>118680</v>
      </c>
      <c r="Q23" s="2" t="str">
        <f>IF(Stip[[#This Row],[Model 2
(eis M1 t/m M27)]]="","",Stip[[#This Row],[Zw/w p/m]]*Stip[[#This Row],[Aantal maanden]])</f>
        <v/>
      </c>
      <c r="R23" s="2" t="str">
        <f>IF(Stip[[#This Row],[Model 2
(eis M1 t/m M27)]]="","",Stip[[#This Row],[kleur p/m]]*Stip[[#This Row],[Aantal maanden]])</f>
        <v/>
      </c>
      <c r="S23" s="2">
        <f>IF(Stip[[#This Row],[Model 1
(eis M1 t/m M27)]]="","",Stip[[#This Row],[Zw/w p/j]])</f>
        <v>63864</v>
      </c>
      <c r="T23" s="2">
        <f>IF(Stip[[#This Row],[Model 1
(eis M1 t/m M27)]]="","",Stip[[#This Row],[Kleur p/j]])</f>
        <v>29670</v>
      </c>
      <c r="U23" s="2" t="str">
        <f>IF(Stip[[#This Row],[Model 2
(eis M1 t/m M27)]]="","",Stip[[#This Row],[Zw/w p/j]])</f>
        <v/>
      </c>
      <c r="V23" s="2" t="str">
        <f>IF(Stip[[#This Row],[Model 2
(eis M1 t/m M27)]]="","",Stip[[#This Row],[Kleur p/j]])</f>
        <v/>
      </c>
    </row>
    <row r="24" spans="1:22" x14ac:dyDescent="0.35">
      <c r="A24" t="s">
        <v>477</v>
      </c>
      <c r="B24" s="2" t="s">
        <v>478</v>
      </c>
      <c r="C24" t="s">
        <v>534</v>
      </c>
      <c r="D24" t="s">
        <v>535</v>
      </c>
      <c r="E24" t="s">
        <v>483</v>
      </c>
      <c r="F24" t="s">
        <v>536</v>
      </c>
      <c r="G24" s="26">
        <f>IF((Stip[[#This Row],[Zw/w p/j]]+Stip[[#This Row],[Kleur p/j]])&lt;SOTOG!$H$1,1,IF((Stip[[#This Row],[Zw/w p/j]]+Stip[[#This Row],[Kleur p/j]])&gt;SOTOG!$G$1,2,""))</f>
        <v>1</v>
      </c>
      <c r="H24" s="26" t="str">
        <f>IF(AND(Stip[[#This Row],[Zw/w p/j]]+Stip[[#This Row],[Kleur p/j]]&gt;=SOTOG!$H$1,Stip[[#This Row],[Zw/w p/j]]+Stip[[#This Row],[Kleur p/j]]&lt;SOTOG!$G$1),1,"")</f>
        <v/>
      </c>
      <c r="I24" s="4">
        <v>44621</v>
      </c>
      <c r="J24" s="1">
        <f>Stip[[#This Row],[Zw/w p/m]]*12</f>
        <v>158488</v>
      </c>
      <c r="K24" s="1">
        <f>Stip[[#This Row],[kleur p/m]]*12</f>
        <v>33018</v>
      </c>
      <c r="L24" s="2">
        <v>13207.333333333334</v>
      </c>
      <c r="M24" s="2">
        <v>2751.5</v>
      </c>
      <c r="N24" s="2">
        <f>IF(Stip[[#This Row],[Datum in gebruikname]]="",0,INT(_xlfn.DAYS($O$1,Stip[[#This Row],[Datum in gebruikname]])/30.41))</f>
        <v>48</v>
      </c>
      <c r="O24" s="2">
        <f>IF(Stip[[#This Row],[Model 1
(eis M1 t/m M27)]]="","",Stip[[#This Row],[Zw/w p/m]]*Stip[[#This Row],[Aantal maanden]])</f>
        <v>633952</v>
      </c>
      <c r="P24" s="2">
        <f>IF(Stip[[#This Row],[Model 1
(eis M1 t/m M27)]]="","",Stip[[#This Row],[kleur p/m]]*Stip[[#This Row],[Aantal maanden]])</f>
        <v>132072</v>
      </c>
      <c r="Q24" s="2" t="str">
        <f>IF(Stip[[#This Row],[Model 2
(eis M1 t/m M27)]]="","",Stip[[#This Row],[Zw/w p/m]]*Stip[[#This Row],[Aantal maanden]])</f>
        <v/>
      </c>
      <c r="R24" s="2" t="str">
        <f>IF(Stip[[#This Row],[Model 2
(eis M1 t/m M27)]]="","",Stip[[#This Row],[kleur p/m]]*Stip[[#This Row],[Aantal maanden]])</f>
        <v/>
      </c>
      <c r="S24" s="2">
        <f>IF(Stip[[#This Row],[Model 1
(eis M1 t/m M27)]]="","",Stip[[#This Row],[Zw/w p/j]])</f>
        <v>158488</v>
      </c>
      <c r="T24" s="2">
        <f>IF(Stip[[#This Row],[Model 1
(eis M1 t/m M27)]]="","",Stip[[#This Row],[Kleur p/j]])</f>
        <v>33018</v>
      </c>
      <c r="U24" s="2" t="str">
        <f>IF(Stip[[#This Row],[Model 2
(eis M1 t/m M27)]]="","",Stip[[#This Row],[Zw/w p/j]])</f>
        <v/>
      </c>
      <c r="V24" s="2" t="str">
        <f>IF(Stip[[#This Row],[Model 2
(eis M1 t/m M27)]]="","",Stip[[#This Row],[Kleur p/j]])</f>
        <v/>
      </c>
    </row>
    <row r="25" spans="1:22" x14ac:dyDescent="0.35">
      <c r="A25" t="s">
        <v>479</v>
      </c>
      <c r="B25" s="2" t="s">
        <v>480</v>
      </c>
      <c r="C25" t="s">
        <v>537</v>
      </c>
      <c r="D25" t="s">
        <v>538</v>
      </c>
      <c r="E25" t="s">
        <v>483</v>
      </c>
      <c r="F25" t="s">
        <v>539</v>
      </c>
      <c r="G25" s="26" t="str">
        <f>IF((Stip[[#This Row],[Zw/w p/j]]+Stip[[#This Row],[Kleur p/j]])&lt;SOTOG!$H$1,1,IF((Stip[[#This Row],[Zw/w p/j]]+Stip[[#This Row],[Kleur p/j]])&gt;SOTOG!$G$1,2,""))</f>
        <v/>
      </c>
      <c r="H25" s="26">
        <f>IF(AND(Stip[[#This Row],[Zw/w p/j]]+Stip[[#This Row],[Kleur p/j]]&gt;=SOTOG!$H$1,Stip[[#This Row],[Zw/w p/j]]+Stip[[#This Row],[Kleur p/j]]&lt;SOTOG!$G$1),1,"")</f>
        <v>1</v>
      </c>
      <c r="I25" s="4">
        <v>44621</v>
      </c>
      <c r="J25" s="1">
        <f>Stip[[#This Row],[Zw/w p/m]]*12</f>
        <v>326676</v>
      </c>
      <c r="K25" s="1">
        <f>Stip[[#This Row],[kleur p/m]]*12</f>
        <v>30275</v>
      </c>
      <c r="L25" s="2">
        <v>27223</v>
      </c>
      <c r="M25" s="2">
        <v>2522.9166666666665</v>
      </c>
      <c r="N25" s="2">
        <f>IF(Stip[[#This Row],[Datum in gebruikname]]="",0,INT(_xlfn.DAYS($O$1,Stip[[#This Row],[Datum in gebruikname]])/30.41))</f>
        <v>48</v>
      </c>
      <c r="O25" s="2" t="str">
        <f>IF(Stip[[#This Row],[Model 1
(eis M1 t/m M27)]]="","",Stip[[#This Row],[Zw/w p/m]]*Stip[[#This Row],[Aantal maanden]])</f>
        <v/>
      </c>
      <c r="P25" s="2" t="str">
        <f>IF(Stip[[#This Row],[Model 1
(eis M1 t/m M27)]]="","",Stip[[#This Row],[kleur p/m]]*Stip[[#This Row],[Aantal maanden]])</f>
        <v/>
      </c>
      <c r="Q25" s="2">
        <f>IF(Stip[[#This Row],[Model 2
(eis M1 t/m M27)]]="","",Stip[[#This Row],[Zw/w p/m]]*Stip[[#This Row],[Aantal maanden]])</f>
        <v>1306704</v>
      </c>
      <c r="R25" s="2">
        <f>IF(Stip[[#This Row],[Model 2
(eis M1 t/m M27)]]="","",Stip[[#This Row],[kleur p/m]]*Stip[[#This Row],[Aantal maanden]])</f>
        <v>121100</v>
      </c>
      <c r="S25" s="2" t="str">
        <f>IF(Stip[[#This Row],[Model 1
(eis M1 t/m M27)]]="","",Stip[[#This Row],[Zw/w p/j]])</f>
        <v/>
      </c>
      <c r="T25" s="2" t="str">
        <f>IF(Stip[[#This Row],[Model 1
(eis M1 t/m M27)]]="","",Stip[[#This Row],[Kleur p/j]])</f>
        <v/>
      </c>
      <c r="U25" s="2">
        <f>IF(Stip[[#This Row],[Model 2
(eis M1 t/m M27)]]="","",Stip[[#This Row],[Zw/w p/j]])</f>
        <v>326676</v>
      </c>
      <c r="V25" s="2">
        <f>IF(Stip[[#This Row],[Model 2
(eis M1 t/m M27)]]="","",Stip[[#This Row],[Kleur p/j]])</f>
        <v>30275</v>
      </c>
    </row>
    <row r="26" spans="1:22" x14ac:dyDescent="0.35">
      <c r="A26" t="s">
        <v>7</v>
      </c>
      <c r="G26" s="103">
        <f>SUBTOTAL(109,Stip[Model 1
(eis M1 t/m M27)])</f>
        <v>15</v>
      </c>
      <c r="H26" s="104">
        <f>SUBTOTAL(109,Stip[Model 2
(eis M1 t/m M27)])</f>
        <v>7</v>
      </c>
      <c r="J26" s="2">
        <f>SUM(Stip[Zw/w p/j])-J3</f>
        <v>3148970.9999999995</v>
      </c>
      <c r="K26" s="2">
        <f>SUM(Stip[Kleur p/j])-K3</f>
        <v>693658.33333333326</v>
      </c>
      <c r="L26" s="2">
        <f>SUM(Stip[Zw/w p/m])-L3</f>
        <v>262414.24999999994</v>
      </c>
      <c r="M26" s="2">
        <f>SUM(Stip[kleur p/m])-M3</f>
        <v>57804.861111111109</v>
      </c>
      <c r="N26" s="2">
        <f>SUM(Stip[Aantal maanden])-N3</f>
        <v>1040</v>
      </c>
      <c r="O26" s="2">
        <f>SUM(Stip['# zw/w afdrukken M1])-O3</f>
        <v>4708320</v>
      </c>
      <c r="P26" s="2">
        <f>SUM(Stip['# kleur afdrukken M1])-P3</f>
        <v>1616721.3333333335</v>
      </c>
      <c r="Q26" s="2">
        <f>SUM(Stip['# zw/w afdrukken M2])-Q3</f>
        <v>7535627.9999999981</v>
      </c>
      <c r="R26" s="2">
        <f>SUM(Stip['# kleur afdrukken M2])-R3</f>
        <v>1077896</v>
      </c>
      <c r="S26" s="2">
        <f>SUM(Stip[Aantal zw/w afdrukken per optiejaar M1])-S3</f>
        <v>1177080</v>
      </c>
      <c r="T26" s="2">
        <f>SUM(Stip[Aantal kleur afdrukken per optiejaar M1])-T3</f>
        <v>404180.33333333337</v>
      </c>
      <c r="U26" s="2">
        <f>SUM(Stip[Aantal zw/w afdrukken per optiejaar M2])-U3</f>
        <v>1971890.9999999995</v>
      </c>
      <c r="V26" s="2">
        <f>SUM(Stip[Aantal kleur afdrukken per optiejaar M2])-V3</f>
        <v>289478</v>
      </c>
    </row>
    <row r="27" spans="1:22" x14ac:dyDescent="0.35">
      <c r="G27" s="37"/>
      <c r="H27" s="30"/>
      <c r="J27" s="3"/>
      <c r="K27" s="3"/>
      <c r="L27" s="2"/>
      <c r="M27" s="5"/>
      <c r="N27" s="2"/>
      <c r="O27" s="2"/>
      <c r="P27" s="2"/>
      <c r="Q27" s="2"/>
      <c r="R27" s="2"/>
      <c r="S27" s="3"/>
      <c r="T27" s="3"/>
      <c r="U27" s="3"/>
      <c r="V27" s="3"/>
    </row>
    <row r="29" spans="1:22" ht="16.5" customHeight="1" x14ac:dyDescent="0.35">
      <c r="F29" s="24" t="s">
        <v>84</v>
      </c>
      <c r="G29" s="44" t="s">
        <v>32</v>
      </c>
      <c r="H29" s="43" t="s">
        <v>30</v>
      </c>
      <c r="I29" s="43" t="s">
        <v>31</v>
      </c>
    </row>
    <row r="30" spans="1:22" ht="16.5" customHeight="1" x14ac:dyDescent="0.35">
      <c r="C30" s="33"/>
      <c r="D30" s="33"/>
      <c r="E30" s="33"/>
      <c r="F30" s="41" t="s">
        <v>47</v>
      </c>
      <c r="G30" s="46">
        <v>0</v>
      </c>
      <c r="H30" s="46">
        <v>0</v>
      </c>
      <c r="I30" s="47">
        <v>0</v>
      </c>
      <c r="K30" s="92" t="s">
        <v>38</v>
      </c>
      <c r="L30" s="92" t="s">
        <v>38</v>
      </c>
      <c r="M30" s="92" t="s">
        <v>38</v>
      </c>
      <c r="N30" s="92" t="s">
        <v>38</v>
      </c>
    </row>
    <row r="31" spans="1:22" ht="16.5" customHeight="1" x14ac:dyDescent="0.35">
      <c r="D31" s="33"/>
      <c r="E31" s="33"/>
      <c r="F31" s="41" t="s">
        <v>46</v>
      </c>
      <c r="G31" s="46">
        <v>0</v>
      </c>
      <c r="H31" s="46">
        <v>0</v>
      </c>
      <c r="I31" s="46">
        <v>0</v>
      </c>
      <c r="K31" s="93">
        <f>O1</f>
        <v>46082</v>
      </c>
      <c r="L31" s="94" t="s">
        <v>54</v>
      </c>
      <c r="M31" s="126">
        <f>O1</f>
        <v>46082</v>
      </c>
      <c r="N31" s="95" t="s">
        <v>55</v>
      </c>
    </row>
    <row r="32" spans="1:22" ht="16.5" customHeight="1" x14ac:dyDescent="0.35">
      <c r="G32" s="6"/>
      <c r="H32" s="6"/>
      <c r="I32" s="6"/>
      <c r="K32" s="29">
        <f>MROUND(Stip[[#Totals],['# zw/w afdrukken M1]]+Stip[[#Totals],['# zw/w afdrukken M2]],1000)</f>
        <v>12244000</v>
      </c>
      <c r="L32" s="29">
        <f>MROUND(Stip[[#Totals],[Aantal zw/w afdrukken per optiejaar M1]]+Stip[[#Totals],[Aantal zw/w afdrukken per optiejaar M2]],1000)</f>
        <v>3149000</v>
      </c>
      <c r="M32" s="29">
        <f>MROUND(Stip[[#Totals],['# kleur afdrukken M1]]+Stip[[#Totals],['# kleur afdrukken M2]],1000)</f>
        <v>2695000</v>
      </c>
      <c r="N32" s="29">
        <f>MROUND(Stip[[#Totals],[Aantal kleur afdrukken per optiejaar M1]]+Stip[[#Totals],[Aantal kleur afdrukken per optiejaar M2]],1000)</f>
        <v>694000</v>
      </c>
    </row>
    <row r="33" spans="3:14" ht="16.5" customHeight="1" x14ac:dyDescent="0.35">
      <c r="F33" s="24" t="s">
        <v>83</v>
      </c>
      <c r="G33" s="6"/>
      <c r="H33" s="6"/>
      <c r="I33" s="6"/>
      <c r="K33" s="100"/>
      <c r="L33" s="100"/>
      <c r="M33" s="100"/>
      <c r="N33" s="100"/>
    </row>
    <row r="34" spans="3:14" ht="16.5" customHeight="1" x14ac:dyDescent="0.35">
      <c r="D34" s="32"/>
      <c r="F34" s="108" t="s">
        <v>33</v>
      </c>
      <c r="G34" s="48">
        <v>0</v>
      </c>
      <c r="H34" s="48">
        <v>0</v>
      </c>
      <c r="I34" s="48">
        <v>0</v>
      </c>
      <c r="K34" s="3">
        <f>K32+L32+L32</f>
        <v>18542000</v>
      </c>
      <c r="M34" s="3">
        <f>M32+N32+N32</f>
        <v>4083000</v>
      </c>
    </row>
    <row r="35" spans="3:14" ht="16.5" customHeight="1" x14ac:dyDescent="0.35">
      <c r="D35" s="31"/>
      <c r="E35" s="31"/>
      <c r="F35" s="108" t="s">
        <v>16</v>
      </c>
      <c r="G35" s="48">
        <v>0</v>
      </c>
      <c r="H35" s="48">
        <v>0</v>
      </c>
      <c r="I35" s="48">
        <v>0</v>
      </c>
    </row>
    <row r="36" spans="3:14" ht="16.5" customHeight="1" x14ac:dyDescent="0.35">
      <c r="D36" s="31"/>
      <c r="E36" s="31"/>
      <c r="F36" s="108"/>
      <c r="G36" s="101"/>
      <c r="H36" s="101"/>
      <c r="I36" s="101"/>
      <c r="J36" s="83"/>
    </row>
    <row r="37" spans="3:14" ht="16.5" customHeight="1" x14ac:dyDescent="0.35">
      <c r="C37" s="108"/>
      <c r="D37" s="108"/>
      <c r="E37" s="108"/>
      <c r="F37" s="24" t="s">
        <v>82</v>
      </c>
      <c r="G37" s="6"/>
      <c r="H37" s="6"/>
      <c r="I37" s="6"/>
    </row>
    <row r="38" spans="3:14" ht="16.5" customHeight="1" x14ac:dyDescent="0.35">
      <c r="C38" s="108"/>
      <c r="D38" s="108"/>
      <c r="E38" s="108"/>
      <c r="F38" s="108" t="s">
        <v>591</v>
      </c>
      <c r="G38" s="49">
        <v>0</v>
      </c>
      <c r="H38" s="49">
        <v>0</v>
      </c>
      <c r="I38" s="49">
        <v>0</v>
      </c>
      <c r="L38" s="25"/>
    </row>
    <row r="39" spans="3:14" ht="16.5" customHeight="1" x14ac:dyDescent="0.35">
      <c r="C39" s="108"/>
      <c r="D39" s="108"/>
      <c r="E39" s="108"/>
      <c r="F39" s="98"/>
      <c r="G39" s="25"/>
      <c r="H39" s="25"/>
      <c r="I39" s="25"/>
      <c r="J39" s="83"/>
      <c r="L39" s="25"/>
    </row>
    <row r="40" spans="3:14" ht="16.5" customHeight="1" x14ac:dyDescent="0.35">
      <c r="C40" s="108"/>
      <c r="D40" s="108"/>
      <c r="E40" s="108"/>
      <c r="F40" s="81" t="s">
        <v>79</v>
      </c>
      <c r="G40" s="25"/>
      <c r="H40" s="25"/>
      <c r="I40" s="25"/>
      <c r="L40" s="25"/>
    </row>
    <row r="41" spans="3:14" ht="16.5" customHeight="1" x14ac:dyDescent="0.35">
      <c r="C41" s="199" t="s">
        <v>80</v>
      </c>
      <c r="D41" s="199"/>
      <c r="E41" s="199"/>
      <c r="F41" s="199"/>
      <c r="G41" s="50">
        <v>0</v>
      </c>
      <c r="H41" s="11" t="s">
        <v>88</v>
      </c>
      <c r="I41" s="25"/>
    </row>
    <row r="42" spans="3:14" ht="16.5" customHeight="1" x14ac:dyDescent="0.35">
      <c r="C42" s="199" t="s">
        <v>81</v>
      </c>
      <c r="D42" s="199"/>
      <c r="E42" s="199"/>
      <c r="F42" s="199"/>
      <c r="G42" s="50">
        <v>0</v>
      </c>
      <c r="H42" s="11" t="s">
        <v>88</v>
      </c>
      <c r="I42" s="25"/>
    </row>
    <row r="43" spans="3:14" ht="16.5" customHeight="1" x14ac:dyDescent="0.35">
      <c r="C43" s="108"/>
      <c r="D43" s="108"/>
      <c r="E43" s="108"/>
      <c r="F43" s="108"/>
      <c r="G43" s="83"/>
      <c r="H43" s="83"/>
      <c r="I43" s="83"/>
    </row>
    <row r="44" spans="3:14" ht="16.5" customHeight="1" x14ac:dyDescent="0.35">
      <c r="C44" s="108"/>
      <c r="D44" s="108"/>
      <c r="E44" s="108"/>
      <c r="F44" s="81" t="s">
        <v>86</v>
      </c>
      <c r="G44" s="43" t="s">
        <v>56</v>
      </c>
      <c r="H44" s="43" t="s">
        <v>57</v>
      </c>
      <c r="I44" s="43" t="s">
        <v>58</v>
      </c>
      <c r="J44" s="43" t="s">
        <v>59</v>
      </c>
      <c r="K44" s="43" t="s">
        <v>60</v>
      </c>
      <c r="L44" s="43" t="s">
        <v>61</v>
      </c>
      <c r="M44" s="43" t="s">
        <v>62</v>
      </c>
      <c r="N44" s="43" t="s">
        <v>63</v>
      </c>
    </row>
    <row r="45" spans="3:14" ht="16.5" customHeight="1" x14ac:dyDescent="0.35">
      <c r="C45" s="41"/>
      <c r="D45" s="41"/>
      <c r="E45" s="45"/>
      <c r="G45" s="62"/>
      <c r="H45" s="62"/>
      <c r="I45" s="62"/>
      <c r="J45" s="62"/>
      <c r="K45" s="62"/>
      <c r="L45" s="62"/>
      <c r="M45" s="62"/>
      <c r="N45" s="62"/>
    </row>
    <row r="46" spans="3:14" ht="16.5" customHeight="1" x14ac:dyDescent="0.35">
      <c r="C46" s="41"/>
      <c r="D46" s="41"/>
      <c r="E46" s="41"/>
      <c r="F46" s="41" t="s">
        <v>588</v>
      </c>
      <c r="G46" s="62"/>
      <c r="H46" s="62"/>
      <c r="I46" s="62"/>
      <c r="J46" s="62"/>
      <c r="K46" s="62"/>
      <c r="L46" s="62"/>
      <c r="M46" s="62"/>
      <c r="N46" s="62"/>
    </row>
    <row r="47" spans="3:14" ht="16.5" customHeight="1" x14ac:dyDescent="0.35">
      <c r="C47" s="41"/>
      <c r="D47" s="41"/>
      <c r="E47" s="41"/>
      <c r="F47" s="41" t="s">
        <v>587</v>
      </c>
      <c r="G47" s="62"/>
      <c r="H47" s="62"/>
      <c r="I47" s="62"/>
      <c r="J47" s="62"/>
      <c r="K47" s="62"/>
      <c r="L47" s="62"/>
      <c r="M47" s="62"/>
      <c r="N47" s="62"/>
    </row>
    <row r="48" spans="3:14" ht="16.5" customHeight="1" x14ac:dyDescent="0.35">
      <c r="C48" s="41"/>
      <c r="D48" s="41"/>
      <c r="E48" s="41"/>
      <c r="F48" s="41" t="s">
        <v>35</v>
      </c>
      <c r="G48" s="62"/>
      <c r="H48" s="62"/>
      <c r="I48" s="62"/>
      <c r="J48" s="62"/>
      <c r="K48" s="62"/>
      <c r="L48" s="62"/>
      <c r="M48" s="62"/>
      <c r="N48" s="62"/>
    </row>
    <row r="49" spans="3:14" ht="16.5" customHeight="1" x14ac:dyDescent="0.35">
      <c r="C49" s="41"/>
      <c r="D49" s="41"/>
      <c r="E49" s="41"/>
      <c r="F49" s="41" t="s">
        <v>589</v>
      </c>
      <c r="G49" s="62"/>
      <c r="H49" s="62"/>
      <c r="I49" s="62"/>
      <c r="J49" s="62"/>
      <c r="K49" s="62"/>
      <c r="L49" s="62"/>
      <c r="M49" s="62"/>
      <c r="N49" s="62"/>
    </row>
    <row r="50" spans="3:14" ht="16.5" customHeight="1" x14ac:dyDescent="0.35">
      <c r="C50" s="41"/>
      <c r="D50" s="41"/>
      <c r="E50" s="41"/>
      <c r="F50" s="41" t="s">
        <v>36</v>
      </c>
      <c r="G50" s="62"/>
      <c r="H50" s="82"/>
      <c r="I50" s="62"/>
      <c r="J50" s="62"/>
      <c r="K50" s="62"/>
      <c r="L50" s="62"/>
      <c r="M50" s="62"/>
      <c r="N50" s="62"/>
    </row>
    <row r="51" spans="3:14" ht="16.5" customHeight="1" x14ac:dyDescent="0.35">
      <c r="C51" s="41"/>
      <c r="D51" s="41"/>
      <c r="E51" s="41"/>
      <c r="F51" s="41" t="s">
        <v>590</v>
      </c>
      <c r="G51" s="62"/>
      <c r="H51" s="62"/>
      <c r="I51" s="62"/>
      <c r="J51" s="62"/>
      <c r="K51" s="62"/>
      <c r="L51" s="62"/>
      <c r="M51" s="62"/>
      <c r="N51" s="62"/>
    </row>
    <row r="52" spans="3:14" ht="16.5" customHeight="1" x14ac:dyDescent="0.35">
      <c r="C52" s="41"/>
      <c r="D52" s="41"/>
      <c r="E52" s="41"/>
      <c r="F52" s="41" t="s">
        <v>37</v>
      </c>
      <c r="G52" s="62"/>
      <c r="H52" s="62"/>
      <c r="I52" s="62"/>
      <c r="J52" s="62"/>
      <c r="K52" s="62"/>
      <c r="L52" s="62"/>
      <c r="M52" s="62"/>
      <c r="N52" s="62"/>
    </row>
    <row r="53" spans="3:14" ht="16.5" customHeight="1" x14ac:dyDescent="0.35">
      <c r="C53" s="108"/>
      <c r="D53" s="108"/>
      <c r="E53" s="108"/>
      <c r="F53" s="24" t="s">
        <v>65</v>
      </c>
      <c r="G53" s="50">
        <v>0</v>
      </c>
      <c r="H53" s="50">
        <v>0</v>
      </c>
      <c r="I53" s="50">
        <v>0</v>
      </c>
      <c r="J53" s="50">
        <v>0</v>
      </c>
      <c r="K53" s="50">
        <v>0</v>
      </c>
      <c r="L53" s="50">
        <v>0</v>
      </c>
      <c r="M53" s="50">
        <v>0</v>
      </c>
      <c r="N53" s="50">
        <v>0</v>
      </c>
    </row>
    <row r="54" spans="3:14" ht="16.5" customHeight="1" x14ac:dyDescent="0.35">
      <c r="C54" s="108"/>
      <c r="D54" s="108"/>
      <c r="E54" s="108"/>
      <c r="F54" s="24" t="s">
        <v>64</v>
      </c>
      <c r="G54" s="50">
        <v>0</v>
      </c>
      <c r="H54" s="50">
        <v>0</v>
      </c>
      <c r="I54" s="50">
        <v>0</v>
      </c>
      <c r="J54" s="50">
        <v>0</v>
      </c>
      <c r="K54" s="50">
        <v>0</v>
      </c>
      <c r="L54" s="50">
        <v>0</v>
      </c>
      <c r="M54" s="50">
        <v>0</v>
      </c>
      <c r="N54" s="50">
        <v>0</v>
      </c>
    </row>
    <row r="55" spans="3:14" ht="16.5" customHeight="1" x14ac:dyDescent="0.35">
      <c r="C55" s="108"/>
      <c r="D55" s="108"/>
      <c r="E55" s="108"/>
      <c r="F55" s="108"/>
      <c r="G55" s="25"/>
      <c r="H55" s="25"/>
      <c r="I55" s="25"/>
    </row>
    <row r="56" spans="3:14" ht="16.5" customHeight="1" x14ac:dyDescent="0.35">
      <c r="C56" s="184"/>
      <c r="D56" s="184"/>
      <c r="E56" s="184"/>
      <c r="F56" s="24" t="s">
        <v>611</v>
      </c>
      <c r="G56" s="85"/>
      <c r="H56" s="25"/>
      <c r="I56" s="25"/>
    </row>
    <row r="57" spans="3:14" ht="16.5" customHeight="1" x14ac:dyDescent="0.35">
      <c r="C57" s="184"/>
      <c r="D57" s="184"/>
      <c r="E57" s="184"/>
      <c r="F57" s="41" t="s">
        <v>612</v>
      </c>
      <c r="G57" s="50">
        <v>0</v>
      </c>
      <c r="H57" s="25"/>
      <c r="I57" s="25"/>
    </row>
    <row r="58" spans="3:14" ht="16.5" customHeight="1" x14ac:dyDescent="0.35">
      <c r="C58" s="184"/>
      <c r="D58" s="184"/>
      <c r="E58" s="184"/>
      <c r="F58" s="41" t="s">
        <v>613</v>
      </c>
      <c r="G58" s="50">
        <v>0</v>
      </c>
      <c r="H58" s="25"/>
      <c r="I58" s="25"/>
    </row>
    <row r="59" spans="3:14" ht="16.5" customHeight="1" x14ac:dyDescent="0.35">
      <c r="C59" s="184"/>
      <c r="D59" s="184"/>
      <c r="E59" s="184"/>
      <c r="F59" s="184"/>
      <c r="G59" s="25"/>
      <c r="H59" s="25"/>
      <c r="I59" s="25"/>
    </row>
    <row r="60" spans="3:14" ht="16.5" customHeight="1" x14ac:dyDescent="0.35">
      <c r="C60" s="108"/>
      <c r="D60" s="108"/>
      <c r="E60" s="108"/>
      <c r="F60" s="108"/>
      <c r="G60" s="44" t="s">
        <v>32</v>
      </c>
      <c r="H60" s="43" t="s">
        <v>30</v>
      </c>
      <c r="I60" s="43" t="s">
        <v>31</v>
      </c>
    </row>
    <row r="61" spans="3:14" ht="16.5" customHeight="1" x14ac:dyDescent="0.35">
      <c r="C61" s="193"/>
      <c r="D61" s="193"/>
      <c r="E61" s="193"/>
      <c r="F61" s="41" t="s">
        <v>87</v>
      </c>
      <c r="G61" s="63">
        <v>0</v>
      </c>
      <c r="J61" s="12"/>
    </row>
    <row r="62" spans="3:14" ht="16.5" customHeight="1" x14ac:dyDescent="0.35">
      <c r="C62" s="199" t="s">
        <v>85</v>
      </c>
      <c r="D62" s="199"/>
      <c r="E62" s="199"/>
      <c r="F62" s="199"/>
      <c r="G62" s="63">
        <v>0</v>
      </c>
      <c r="J62" s="12" t="s">
        <v>19</v>
      </c>
    </row>
    <row r="63" spans="3:14" ht="16.5" customHeight="1" x14ac:dyDescent="0.35">
      <c r="C63" s="199" t="s">
        <v>66</v>
      </c>
      <c r="D63" s="199"/>
      <c r="E63" s="199"/>
      <c r="F63" s="199"/>
      <c r="G63" s="64">
        <v>0</v>
      </c>
      <c r="H63" s="64">
        <v>0</v>
      </c>
      <c r="I63" s="64">
        <v>0</v>
      </c>
      <c r="J63" s="12" t="s">
        <v>19</v>
      </c>
    </row>
    <row r="64" spans="3:14" ht="16.5" customHeight="1" x14ac:dyDescent="0.35">
      <c r="C64" s="199" t="s">
        <v>67</v>
      </c>
      <c r="D64" s="199"/>
      <c r="E64" s="199"/>
      <c r="F64" s="199"/>
      <c r="G64" s="64">
        <v>0</v>
      </c>
      <c r="H64" s="64">
        <v>0</v>
      </c>
      <c r="I64" s="64">
        <v>0</v>
      </c>
      <c r="J64" s="12" t="s">
        <v>19</v>
      </c>
    </row>
    <row r="65" spans="3:11" ht="16.5" customHeight="1" x14ac:dyDescent="0.35">
      <c r="C65" s="199" t="s">
        <v>68</v>
      </c>
      <c r="D65" s="199"/>
      <c r="E65" s="199"/>
      <c r="F65" s="199"/>
      <c r="G65" s="64">
        <v>0</v>
      </c>
      <c r="H65" s="64">
        <v>0</v>
      </c>
      <c r="I65" s="64">
        <v>0</v>
      </c>
      <c r="J65" s="12" t="s">
        <v>19</v>
      </c>
    </row>
    <row r="66" spans="3:11" ht="16.5" customHeight="1" x14ac:dyDescent="0.35">
      <c r="C66" s="199" t="s">
        <v>69</v>
      </c>
      <c r="D66" s="199"/>
      <c r="E66" s="199"/>
      <c r="F66" s="199"/>
      <c r="G66" s="64">
        <v>0</v>
      </c>
      <c r="H66" s="64">
        <v>0</v>
      </c>
      <c r="I66" s="64">
        <v>0</v>
      </c>
      <c r="J66" s="12" t="s">
        <v>19</v>
      </c>
    </row>
    <row r="67" spans="3:11" ht="16.5" customHeight="1" x14ac:dyDescent="0.35">
      <c r="C67" s="199" t="s">
        <v>72</v>
      </c>
      <c r="D67" s="199"/>
      <c r="E67" s="199" t="s">
        <v>20</v>
      </c>
      <c r="F67" s="199"/>
      <c r="G67" s="64">
        <v>0</v>
      </c>
      <c r="H67" s="64">
        <v>0</v>
      </c>
      <c r="I67" s="64">
        <v>0</v>
      </c>
      <c r="J67" s="12" t="s">
        <v>19</v>
      </c>
    </row>
    <row r="68" spans="3:11" ht="16.5" customHeight="1" x14ac:dyDescent="0.35">
      <c r="C68" s="199" t="s">
        <v>73</v>
      </c>
      <c r="D68" s="199"/>
      <c r="E68" s="199" t="s">
        <v>20</v>
      </c>
      <c r="F68" s="199"/>
      <c r="G68" s="64">
        <v>0</v>
      </c>
      <c r="H68" s="64">
        <v>0</v>
      </c>
      <c r="I68" s="64">
        <v>0</v>
      </c>
      <c r="J68" s="12" t="s">
        <v>19</v>
      </c>
    </row>
    <row r="69" spans="3:11" ht="16.5" customHeight="1" x14ac:dyDescent="0.35">
      <c r="C69" s="199" t="s">
        <v>70</v>
      </c>
      <c r="D69" s="199"/>
      <c r="E69" s="199" t="s">
        <v>20</v>
      </c>
      <c r="F69" s="199"/>
      <c r="G69" s="64">
        <v>0</v>
      </c>
      <c r="H69" s="64">
        <v>0</v>
      </c>
      <c r="I69" s="64">
        <v>0</v>
      </c>
      <c r="J69" s="12" t="s">
        <v>19</v>
      </c>
    </row>
    <row r="70" spans="3:11" ht="16.5" customHeight="1" x14ac:dyDescent="0.35">
      <c r="C70" s="199" t="s">
        <v>71</v>
      </c>
      <c r="D70" s="199"/>
      <c r="E70" s="199" t="s">
        <v>20</v>
      </c>
      <c r="F70" s="199"/>
      <c r="G70" s="64">
        <v>0</v>
      </c>
      <c r="H70" s="64">
        <v>0</v>
      </c>
      <c r="I70" s="64">
        <v>0</v>
      </c>
      <c r="J70" s="12" t="s">
        <v>19</v>
      </c>
    </row>
    <row r="71" spans="3:11" ht="16.5" customHeight="1" thickBot="1" x14ac:dyDescent="0.4">
      <c r="C71" s="108"/>
      <c r="D71" s="108"/>
      <c r="E71" s="108"/>
      <c r="F71" s="108"/>
      <c r="G71" s="28"/>
      <c r="H71" s="28"/>
      <c r="I71" s="28"/>
      <c r="J71" s="12"/>
    </row>
    <row r="72" spans="3:11" ht="16.5" customHeight="1" x14ac:dyDescent="0.35">
      <c r="D72" s="65"/>
      <c r="E72" s="195"/>
      <c r="F72" s="194" t="s">
        <v>53</v>
      </c>
      <c r="G72" s="67" t="s">
        <v>32</v>
      </c>
      <c r="H72" s="68" t="s">
        <v>30</v>
      </c>
      <c r="I72" s="68" t="s">
        <v>31</v>
      </c>
      <c r="J72" s="69" t="s">
        <v>52</v>
      </c>
    </row>
    <row r="73" spans="3:11" ht="16.5" customHeight="1" x14ac:dyDescent="0.35">
      <c r="C73" s="31"/>
      <c r="D73" s="70"/>
      <c r="E73" s="52"/>
      <c r="F73" s="53" t="s">
        <v>49</v>
      </c>
      <c r="G73" s="54">
        <f>G30*Stip[[#Totals],[Model 1
(eis M1 t/m M27)]]*48</f>
        <v>0</v>
      </c>
      <c r="H73" s="54">
        <f>H30*Stip[[#Totals],[Model 1
(eis M1 t/m M27)]]*12</f>
        <v>0</v>
      </c>
      <c r="I73" s="54">
        <f>I30*Stip[[#Totals],[Model 1
(eis M1 t/m M27)]]*12</f>
        <v>0</v>
      </c>
      <c r="J73" s="71">
        <f t="shared" ref="J73:J77" si="0">SUM(G73:I73)</f>
        <v>0</v>
      </c>
    </row>
    <row r="74" spans="3:11" ht="16.5" customHeight="1" x14ac:dyDescent="0.35">
      <c r="C74" s="31"/>
      <c r="D74" s="72"/>
      <c r="E74" s="55"/>
      <c r="F74" s="56" t="s">
        <v>48</v>
      </c>
      <c r="G74" s="57">
        <f>G31*Stip[[#Totals],[Model 2
(eis M1 t/m M27)]]*48</f>
        <v>0</v>
      </c>
      <c r="H74" s="57">
        <f>H31*Stip[[#Totals],[Model 2
(eis M1 t/m M27)]]*12</f>
        <v>0</v>
      </c>
      <c r="I74" s="57">
        <f>I31*Stip[[#Totals],[Model 2
(eis M1 t/m M27)]]*12</f>
        <v>0</v>
      </c>
      <c r="J74" s="73">
        <f t="shared" si="0"/>
        <v>0</v>
      </c>
    </row>
    <row r="75" spans="3:11" ht="16.5" customHeight="1" x14ac:dyDescent="0.35">
      <c r="C75" s="31"/>
      <c r="D75" s="70"/>
      <c r="E75" s="52"/>
      <c r="F75" s="53" t="s">
        <v>50</v>
      </c>
      <c r="G75" s="54">
        <f>G34*K32</f>
        <v>0</v>
      </c>
      <c r="H75" s="54">
        <f>H34*L32</f>
        <v>0</v>
      </c>
      <c r="I75" s="54">
        <f>I34*L32</f>
        <v>0</v>
      </c>
      <c r="J75" s="71">
        <f t="shared" si="0"/>
        <v>0</v>
      </c>
    </row>
    <row r="76" spans="3:11" ht="16.5" customHeight="1" x14ac:dyDescent="0.35">
      <c r="C76" s="31"/>
      <c r="D76" s="72"/>
      <c r="E76" s="55"/>
      <c r="F76" s="56" t="s">
        <v>51</v>
      </c>
      <c r="G76" s="57">
        <f>G35*M32</f>
        <v>0</v>
      </c>
      <c r="H76" s="57">
        <f>H35*N32</f>
        <v>0</v>
      </c>
      <c r="I76" s="57">
        <f>I35*N32</f>
        <v>0</v>
      </c>
      <c r="J76" s="73">
        <f t="shared" si="0"/>
        <v>0</v>
      </c>
    </row>
    <row r="77" spans="3:11" ht="16.5" customHeight="1" x14ac:dyDescent="0.35">
      <c r="C77" s="40"/>
      <c r="D77" s="74"/>
      <c r="E77" s="58"/>
      <c r="F77" s="53" t="s">
        <v>29</v>
      </c>
      <c r="G77" s="54">
        <f>G38*(Stip[[#Totals],[Model 1
(eis M1 t/m M27)]]+Stip[[#Totals],[Model 2
(eis M1 t/m M27)]])*48</f>
        <v>0</v>
      </c>
      <c r="H77" s="54">
        <f>H38*(Stip[[#Totals],[Model 1
(eis M1 t/m M27)]]+Stip[[#Totals],[Model 2
(eis M1 t/m M27)]])*12</f>
        <v>0</v>
      </c>
      <c r="I77" s="54">
        <f>I38*(Stip[[#Totals],[Model 1
(eis M1 t/m M27)]]+Stip[[#Totals],[Model 2
(eis M1 t/m M27)]])*12</f>
        <v>0</v>
      </c>
      <c r="J77" s="71">
        <f t="shared" si="0"/>
        <v>0</v>
      </c>
      <c r="K77" s="38"/>
    </row>
    <row r="78" spans="3:11" ht="16.5" customHeight="1" x14ac:dyDescent="0.35">
      <c r="C78" s="40"/>
      <c r="D78" s="75"/>
      <c r="E78" s="59"/>
      <c r="F78" s="56" t="s">
        <v>34</v>
      </c>
      <c r="G78" s="57">
        <f>SUM(G53:N53)*48*(Stip[[#Totals],[Model 1
(eis M1 t/m M27)]]+Stip[[#Totals],[Model 2
(eis M1 t/m M27)]])</f>
        <v>0</v>
      </c>
      <c r="H78" s="57">
        <f>SUM(G54:N54)*12*(Stip[[#Totals],[Model 1
(eis M1 t/m M27)]]+Stip[[#Totals],[Model 2
(eis M1 t/m M27)]])</f>
        <v>0</v>
      </c>
      <c r="I78" s="57">
        <f>SUM(G54:N54)*12*(Stip[[#Totals],[Model 1
(eis M1 t/m M27)]]+Stip[[#Totals],[Model 2
(eis M1 t/m M27)]])</f>
        <v>0</v>
      </c>
      <c r="J78" s="73">
        <f>SUM(G78:I78)</f>
        <v>0</v>
      </c>
      <c r="K78" s="38"/>
    </row>
    <row r="79" spans="3:11" ht="16.5" customHeight="1" x14ac:dyDescent="0.35">
      <c r="C79" s="40"/>
      <c r="D79" s="74"/>
      <c r="E79" s="58"/>
      <c r="F79" s="60" t="s">
        <v>17</v>
      </c>
      <c r="G79" s="89"/>
      <c r="H79" s="89"/>
      <c r="I79" s="89"/>
      <c r="J79" s="71">
        <f>G41</f>
        <v>0</v>
      </c>
      <c r="K79" s="38"/>
    </row>
    <row r="80" spans="3:11" ht="16.5" customHeight="1" thickBot="1" x14ac:dyDescent="0.4">
      <c r="C80" s="39"/>
      <c r="D80" s="76"/>
      <c r="E80" s="77"/>
      <c r="F80" s="78" t="s">
        <v>18</v>
      </c>
      <c r="G80" s="90"/>
      <c r="H80" s="90"/>
      <c r="I80" s="90"/>
      <c r="J80" s="79">
        <f>G42</f>
        <v>0</v>
      </c>
    </row>
    <row r="81" spans="3:11" ht="24" thickBot="1" x14ac:dyDescent="0.6">
      <c r="C81" s="15"/>
      <c r="D81" s="15"/>
      <c r="E81" s="16"/>
      <c r="G81" s="14"/>
      <c r="H81" s="14"/>
      <c r="I81" s="14"/>
    </row>
    <row r="82" spans="3:11" ht="24" thickBot="1" x14ac:dyDescent="0.6">
      <c r="G82" s="17"/>
      <c r="H82" s="91" t="s">
        <v>21</v>
      </c>
      <c r="I82" s="200">
        <f>SUM(J73:J81)</f>
        <v>0</v>
      </c>
      <c r="J82" s="201"/>
    </row>
    <row r="84" spans="3:11" ht="15" x14ac:dyDescent="0.35">
      <c r="E84" s="88" t="s">
        <v>76</v>
      </c>
      <c r="K84" s="42"/>
    </row>
    <row r="85" spans="3:11" ht="15" x14ac:dyDescent="0.35">
      <c r="E85" s="88" t="s">
        <v>77</v>
      </c>
      <c r="F85" s="42"/>
      <c r="G85" s="42"/>
      <c r="H85" s="42"/>
      <c r="I85" s="42"/>
      <c r="J85" s="42"/>
      <c r="K85" s="42"/>
    </row>
    <row r="86" spans="3:11" ht="15" x14ac:dyDescent="0.35">
      <c r="E86" s="87" t="s">
        <v>78</v>
      </c>
      <c r="F86" s="42"/>
      <c r="G86" s="42"/>
      <c r="H86" s="42"/>
      <c r="I86" s="42"/>
      <c r="J86" s="42"/>
      <c r="K86" s="13"/>
    </row>
    <row r="87" spans="3:11" x14ac:dyDescent="0.35">
      <c r="F87" s="13"/>
      <c r="G87" s="13"/>
      <c r="H87" s="13"/>
      <c r="I87" s="13"/>
      <c r="J87" s="13"/>
    </row>
  </sheetData>
  <mergeCells count="12">
    <mergeCell ref="I82:J82"/>
    <mergeCell ref="C41:F41"/>
    <mergeCell ref="C42:F42"/>
    <mergeCell ref="C62:F62"/>
    <mergeCell ref="C63:F63"/>
    <mergeCell ref="C64:F64"/>
    <mergeCell ref="C65:F65"/>
    <mergeCell ref="C66:F66"/>
    <mergeCell ref="C67:F67"/>
    <mergeCell ref="C68:F68"/>
    <mergeCell ref="C69:F69"/>
    <mergeCell ref="C70:F70"/>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2" ma:contentTypeDescription="Een nieuw document maken." ma:contentTypeScope="" ma:versionID="d1eee38ba68dec56de1cdb91f3958528">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73f349740a9e0c03b984bc0924048f5b"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9 H K l U k 6 5 M L u j A A A A 9 Q A A A B I A H A B D b 2 5 m a W c v U G F j a 2 F n Z S 5 4 b W w g o h g A K K A U A A A A A A A A A A A A A A A A A A A A A A A A A A A A h Y + x D o I w G I R f h X S n L c i g 5 K c M r m B M T I w r K R U a 4 c f Q Y n k 3 B x / J V x C j q J v J L X f 3 D X f 3 6 w 3 S s W 2 8 i + q N 7 j A h A e X E U y i 7 U m O V k M E e / S V J B W w L e S o q 5 U 0 w m n g 0 Z U J q a 8 8 x Y 8 4 5 6 h a 0 6 y s W c h 6 w Q 5 7 t Z K 3 a g n x g / R / 2 N R p b o F R E w P 4 1 R o R 0 N S m K K A c 2 Z 5 B r / P b h N P f Z / o S w H h o 7 9 E p g 4 2 8 y Y L M F 9 r 4 g H l B L A w Q U A A I A C A D 0 c q V 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9 H K l U i i K R 7 g O A A A A E Q A A A B M A H A B G b 3 J t d W x h c y 9 T Z W N 0 a W 9 u M S 5 t I K I Y A C i g F A A A A A A A A A A A A A A A A A A A A A A A A A A A A C t O T S 7 J z M 9 T C I b Q h t Y A U E s B A i 0 A F A A C A A g A 9 H K l U k 6 5 M L u j A A A A 9 Q A A A B I A A A A A A A A A A A A A A A A A A A A A A E N v b m Z p Z y 9 Q Y W N r Y W d l L n h t b F B L A Q I t A B Q A A g A I A P R y p V I P y u m r p A A A A O k A A A A T A A A A A A A A A A A A A A A A A O 8 A A A B b Q 2 9 u d G V u d F 9 U e X B l c 1 0 u e G 1 s U E s B A i 0 A F A A C A A g A 9 H K l 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L l E g b w E h w l L t r W U z p Y c q 7 M A A A A A A g A A A A A A E G Y A A A A B A A A g A A A A J L B 8 C u L a 8 C n e G X R W R H 6 p x / q o j D 7 b M 3 6 u / z N n A j d 0 8 Y o A A A A A D o A A A A A C A A A g A A A A t z P N v Y I y 6 8 C v n q e o E D Z E c d 4 s G H y O Y J c k H K Y 7 l N g b 1 p N Q A A A A u x j 1 5 K D 4 O C M d r l 3 J x R 9 l t / w C L 2 f k z O E 8 D H s u i X T O S a P Z 2 I M b C R 1 Y K Z 5 m M u Q / 7 V a P S N 5 N h q l k 9 S K J 3 0 L D v a r W e E 8 A 8 q t z P S B C Y j 6 + X M 2 z B 4 J A A A A A u c T V d Z O M T c 9 s V z m 8 D o d Y p e o S k I W o T a N Z R Y y d Y x J R Z A P V 7 d Y r + 3 B A C h k m Q 2 1 Z A 3 O 6 r a d D s Q v p U D 5 j g F 9 1 Q 4 O G r Q = = < / 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20184C-8485-46AB-A319-BCDB3910127D}">
  <ds:schemaRefs>
    <ds:schemaRef ds:uri="http://schemas.microsoft.com/sharepoint/v3/contenttype/forms"/>
  </ds:schemaRefs>
</ds:datastoreItem>
</file>

<file path=customXml/itemProps2.xml><?xml version="1.0" encoding="utf-8"?>
<ds:datastoreItem xmlns:ds="http://schemas.openxmlformats.org/officeDocument/2006/customXml" ds:itemID="{9B11C1CA-7F25-4FB7-8D67-39A9787A9E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586e2e-e207-45a9-a8a8-8ad30477958d"/>
    <ds:schemaRef ds:uri="f8e0e575-8568-4af1-85ef-794ef5b1c2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D58017-63E3-4089-8266-CD4359C4AE99}">
  <ds:schemaRefs>
    <ds:schemaRef ds:uri="http://schemas.microsoft.com/DataMashup"/>
  </ds:schemaRefs>
</ds:datastoreItem>
</file>

<file path=customXml/itemProps4.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vt:lpstr>
      <vt:lpstr>SOTOG</vt:lpstr>
      <vt:lpstr>De Groeiling</vt:lpstr>
      <vt:lpstr>Ithaka</vt:lpstr>
      <vt:lpstr>SCO-T</vt:lpstr>
      <vt:lpstr>Stip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Sanderman</dc:creator>
  <cp:lastModifiedBy>Chris Sanderman</cp:lastModifiedBy>
  <dcterms:created xsi:type="dcterms:W3CDTF">2021-01-05T14:14:03Z</dcterms:created>
  <dcterms:modified xsi:type="dcterms:W3CDTF">2021-06-07T14:38:00Z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ies>
</file>