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cholengemeenschap voor Vrijeschoolonderwijs novalis tobias/Schoonmaak 2021/Bestek/"/>
    </mc:Choice>
  </mc:AlternateContent>
  <xr:revisionPtr revIDLastSave="364" documentId="8_{5AE9E11E-20D8-4971-A309-61D24EEA4BB7}" xr6:coauthVersionLast="46" xr6:coauthVersionMax="46" xr10:uidLastSave="{CF5305B1-870E-4444-BAFF-4D6EE1B7B839}"/>
  <bookViews>
    <workbookView xWindow="28680" yWindow="-120" windowWidth="29040" windowHeight="15840" tabRatio="750" firstSheet="3" activeTab="11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Sanitaire voorzieningen" sheetId="32" r:id="rId10"/>
    <sheet name="Regie en afroep" sheetId="24" r:id="rId11"/>
    <sheet name="Totalisatie" sheetId="19" r:id="rId12"/>
  </sheets>
  <externalReferences>
    <externalReference r:id="rId13"/>
    <externalReference r:id="rId14"/>
    <externalReference r:id="rId15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11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Glasbewassing!$A$1:$I$39</definedName>
    <definedName name="_xlnm.Print_Area" localSheetId="5">Prestatiefactoren!$A$1:$F$54</definedName>
    <definedName name="_xlnm.Print_Area" localSheetId="10">'Regie en afroep'!$A$1:$I$37</definedName>
    <definedName name="_xlnm.Print_Area" localSheetId="6">'Ruimtestaat'!$A$1:$AF$171</definedName>
    <definedName name="_xlnm.Print_Area" localSheetId="3">Tariefsopbouw!$A$1:$Q$41</definedName>
    <definedName name="_xlnm.Print_Area" localSheetId="11">Totalisatie!$A$1:$H$27</definedName>
    <definedName name="_xlnm.Print_Area" localSheetId="8">Vloeronderhoud!$A$1:$I$37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Glasbewassing!$A$9:$I$21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2" l="1"/>
  <c r="D37" i="22"/>
  <c r="B37" i="22"/>
  <c r="G33" i="22"/>
  <c r="D33" i="22"/>
  <c r="B33" i="22"/>
  <c r="G28" i="22"/>
  <c r="D28" i="22"/>
  <c r="B28" i="22"/>
  <c r="E17" i="22"/>
  <c r="F17" i="22" s="1"/>
  <c r="G17" i="22" s="1"/>
  <c r="E18" i="22"/>
  <c r="F18" i="22" s="1"/>
  <c r="G18" i="22" s="1"/>
  <c r="Y5" i="13" l="1"/>
  <c r="Z5" i="13" s="1"/>
  <c r="AC5" i="13"/>
  <c r="Y6" i="13"/>
  <c r="Z6" i="13" s="1"/>
  <c r="AC6" i="13"/>
  <c r="Y7" i="13"/>
  <c r="Z7" i="13" s="1"/>
  <c r="AC7" i="13"/>
  <c r="Y8" i="13"/>
  <c r="Z8" i="13" s="1"/>
  <c r="AC8" i="13"/>
  <c r="Y9" i="13"/>
  <c r="Z9" i="13" s="1"/>
  <c r="AC9" i="13"/>
  <c r="Y10" i="13"/>
  <c r="Z10" i="13" s="1"/>
  <c r="AC10" i="13"/>
  <c r="Y11" i="13"/>
  <c r="Z11" i="13" s="1"/>
  <c r="AC11" i="13"/>
  <c r="Y12" i="13"/>
  <c r="Z12" i="13" s="1"/>
  <c r="AC12" i="13"/>
  <c r="Y13" i="13"/>
  <c r="Z13" i="13" s="1"/>
  <c r="AC13" i="13"/>
  <c r="Y14" i="13"/>
  <c r="Z14" i="13" s="1"/>
  <c r="AC14" i="13"/>
  <c r="Y15" i="13"/>
  <c r="Z15" i="13" s="1"/>
  <c r="AC15" i="13"/>
  <c r="Y16" i="13"/>
  <c r="Z16" i="13" s="1"/>
  <c r="AC16" i="13"/>
  <c r="Y17" i="13"/>
  <c r="Z17" i="13" s="1"/>
  <c r="AC17" i="13"/>
  <c r="Y18" i="13"/>
  <c r="Z18" i="13" s="1"/>
  <c r="AC18" i="13"/>
  <c r="Y19" i="13"/>
  <c r="Z19" i="13" s="1"/>
  <c r="AC19" i="13"/>
  <c r="Y20" i="13"/>
  <c r="Z20" i="13" s="1"/>
  <c r="AC20" i="13"/>
  <c r="Y21" i="13"/>
  <c r="Z21" i="13" s="1"/>
  <c r="AC21" i="13"/>
  <c r="Y22" i="13"/>
  <c r="Z22" i="13" s="1"/>
  <c r="AC22" i="13"/>
  <c r="Y23" i="13"/>
  <c r="Z23" i="13" s="1"/>
  <c r="AC23" i="13"/>
  <c r="Y24" i="13"/>
  <c r="Z24" i="13" s="1"/>
  <c r="AC24" i="13"/>
  <c r="Y25" i="13"/>
  <c r="Z25" i="13" s="1"/>
  <c r="AC25" i="13"/>
  <c r="Y26" i="13"/>
  <c r="Z26" i="13" s="1"/>
  <c r="AC26" i="13"/>
  <c r="Y27" i="13"/>
  <c r="Z27" i="13" s="1"/>
  <c r="AC27" i="13"/>
  <c r="Y28" i="13"/>
  <c r="Z28" i="13" s="1"/>
  <c r="AC28" i="13"/>
  <c r="Y29" i="13"/>
  <c r="Z29" i="13" s="1"/>
  <c r="AC29" i="13"/>
  <c r="Y30" i="13"/>
  <c r="Z30" i="13" s="1"/>
  <c r="AC30" i="13"/>
  <c r="Y31" i="13"/>
  <c r="Z31" i="13" s="1"/>
  <c r="AC31" i="13"/>
  <c r="Y32" i="13"/>
  <c r="Z32" i="13" s="1"/>
  <c r="AC32" i="13"/>
  <c r="Y33" i="13"/>
  <c r="Z33" i="13" s="1"/>
  <c r="AC33" i="13"/>
  <c r="Y34" i="13"/>
  <c r="Z34" i="13" s="1"/>
  <c r="AC34" i="13"/>
  <c r="Y35" i="13"/>
  <c r="Z35" i="13" s="1"/>
  <c r="AC35" i="13"/>
  <c r="Y36" i="13"/>
  <c r="Z36" i="13" s="1"/>
  <c r="AC36" i="13"/>
  <c r="Y37" i="13"/>
  <c r="Z37" i="13" s="1"/>
  <c r="AC37" i="13"/>
  <c r="Y38" i="13"/>
  <c r="Z38" i="13" s="1"/>
  <c r="AC38" i="13"/>
  <c r="Y39" i="13"/>
  <c r="Z39" i="13" s="1"/>
  <c r="AC39" i="13"/>
  <c r="Y40" i="13"/>
  <c r="Z40" i="13" s="1"/>
  <c r="AC40" i="13"/>
  <c r="Y41" i="13"/>
  <c r="Z41" i="13" s="1"/>
  <c r="AC41" i="13"/>
  <c r="Y42" i="13"/>
  <c r="Z42" i="13" s="1"/>
  <c r="AC42" i="13"/>
  <c r="Y43" i="13"/>
  <c r="Z43" i="13" s="1"/>
  <c r="AC43" i="13"/>
  <c r="Y44" i="13"/>
  <c r="Z44" i="13" s="1"/>
  <c r="AC44" i="13"/>
  <c r="Y45" i="13"/>
  <c r="Z45" i="13" s="1"/>
  <c r="AC45" i="13"/>
  <c r="Y46" i="13"/>
  <c r="Z46" i="13" s="1"/>
  <c r="AC46" i="13"/>
  <c r="Y47" i="13"/>
  <c r="Z47" i="13" s="1"/>
  <c r="AC47" i="13"/>
  <c r="Y48" i="13"/>
  <c r="Z48" i="13" s="1"/>
  <c r="AC48" i="13"/>
  <c r="Y49" i="13"/>
  <c r="Z49" i="13" s="1"/>
  <c r="AC49" i="13"/>
  <c r="Y50" i="13"/>
  <c r="Z50" i="13" s="1"/>
  <c r="AC50" i="13"/>
  <c r="Y51" i="13"/>
  <c r="Z51" i="13" s="1"/>
  <c r="AC51" i="13"/>
  <c r="Y52" i="13"/>
  <c r="Z52" i="13" s="1"/>
  <c r="AC52" i="13"/>
  <c r="Y53" i="13"/>
  <c r="Z53" i="13" s="1"/>
  <c r="AC53" i="13"/>
  <c r="Y54" i="13"/>
  <c r="Z54" i="13" s="1"/>
  <c r="AC54" i="13"/>
  <c r="Y55" i="13"/>
  <c r="Z55" i="13" s="1"/>
  <c r="AC55" i="13"/>
  <c r="Y56" i="13"/>
  <c r="Z56" i="13" s="1"/>
  <c r="AC56" i="13"/>
  <c r="Y57" i="13"/>
  <c r="Z57" i="13" s="1"/>
  <c r="AC57" i="13"/>
  <c r="Y58" i="13"/>
  <c r="Z58" i="13" s="1"/>
  <c r="AC58" i="13"/>
  <c r="Y59" i="13"/>
  <c r="Z59" i="13" s="1"/>
  <c r="AC59" i="13"/>
  <c r="Y60" i="13"/>
  <c r="Z60" i="13" s="1"/>
  <c r="AC60" i="13"/>
  <c r="Y61" i="13"/>
  <c r="Z61" i="13" s="1"/>
  <c r="AC61" i="13"/>
  <c r="Y62" i="13"/>
  <c r="Z62" i="13" s="1"/>
  <c r="AC62" i="13"/>
  <c r="Y63" i="13"/>
  <c r="Z63" i="13" s="1"/>
  <c r="AC63" i="13"/>
  <c r="Y64" i="13"/>
  <c r="Z64" i="13" s="1"/>
  <c r="AC64" i="13"/>
  <c r="Y65" i="13"/>
  <c r="Z65" i="13" s="1"/>
  <c r="AC65" i="13"/>
  <c r="Y66" i="13"/>
  <c r="Z66" i="13" s="1"/>
  <c r="AC66" i="13"/>
  <c r="Y67" i="13"/>
  <c r="Z67" i="13" s="1"/>
  <c r="AC67" i="13"/>
  <c r="Y68" i="13"/>
  <c r="Z68" i="13" s="1"/>
  <c r="AC68" i="13"/>
  <c r="Y69" i="13"/>
  <c r="Z69" i="13" s="1"/>
  <c r="AC69" i="13"/>
  <c r="Y70" i="13"/>
  <c r="Z70" i="13" s="1"/>
  <c r="AC70" i="13"/>
  <c r="Y71" i="13"/>
  <c r="Z71" i="13" s="1"/>
  <c r="AC71" i="13"/>
  <c r="Y72" i="13"/>
  <c r="Z72" i="13" s="1"/>
  <c r="AC72" i="13"/>
  <c r="Y73" i="13"/>
  <c r="Z73" i="13" s="1"/>
  <c r="AC73" i="13"/>
  <c r="Y74" i="13"/>
  <c r="Z74" i="13" s="1"/>
  <c r="AC74" i="13"/>
  <c r="Y75" i="13"/>
  <c r="Z75" i="13" s="1"/>
  <c r="AC75" i="13"/>
  <c r="Y76" i="13"/>
  <c r="Z76" i="13" s="1"/>
  <c r="AC76" i="13"/>
  <c r="Y77" i="13"/>
  <c r="Z77" i="13" s="1"/>
  <c r="AC77" i="13"/>
  <c r="Y78" i="13"/>
  <c r="Z78" i="13" s="1"/>
  <c r="AC78" i="13"/>
  <c r="Y79" i="13"/>
  <c r="Z79" i="13" s="1"/>
  <c r="AC79" i="13"/>
  <c r="Y80" i="13"/>
  <c r="Z80" i="13" s="1"/>
  <c r="AC80" i="13"/>
  <c r="Y81" i="13"/>
  <c r="Z81" i="13" s="1"/>
  <c r="AC81" i="13"/>
  <c r="Y82" i="13"/>
  <c r="Z82" i="13" s="1"/>
  <c r="AC82" i="13"/>
  <c r="Y83" i="13"/>
  <c r="Z83" i="13" s="1"/>
  <c r="AC83" i="13"/>
  <c r="Y84" i="13"/>
  <c r="Z84" i="13" s="1"/>
  <c r="AC84" i="13"/>
  <c r="Y85" i="13"/>
  <c r="Z85" i="13" s="1"/>
  <c r="AC85" i="13"/>
  <c r="Y86" i="13"/>
  <c r="Z86" i="13" s="1"/>
  <c r="AC86" i="13"/>
  <c r="Y87" i="13"/>
  <c r="Z87" i="13" s="1"/>
  <c r="AC87" i="13"/>
  <c r="Y88" i="13"/>
  <c r="Z88" i="13" s="1"/>
  <c r="AC88" i="13"/>
  <c r="Y89" i="13"/>
  <c r="Z89" i="13" s="1"/>
  <c r="AC89" i="13"/>
  <c r="Y90" i="13"/>
  <c r="Z90" i="13" s="1"/>
  <c r="AC90" i="13"/>
  <c r="Y91" i="13"/>
  <c r="Z91" i="13" s="1"/>
  <c r="AC91" i="13"/>
  <c r="Y92" i="13"/>
  <c r="Z92" i="13" s="1"/>
  <c r="AC92" i="13"/>
  <c r="Y93" i="13"/>
  <c r="Z93" i="13" s="1"/>
  <c r="AC93" i="13"/>
  <c r="Y94" i="13"/>
  <c r="Z94" i="13" s="1"/>
  <c r="AC94" i="13"/>
  <c r="Y95" i="13"/>
  <c r="Z95" i="13" s="1"/>
  <c r="AC95" i="13"/>
  <c r="Y96" i="13"/>
  <c r="Z96" i="13" s="1"/>
  <c r="AC96" i="13"/>
  <c r="Y97" i="13"/>
  <c r="Z97" i="13" s="1"/>
  <c r="AC97" i="13"/>
  <c r="Y98" i="13"/>
  <c r="Z98" i="13" s="1"/>
  <c r="AC98" i="13"/>
  <c r="Y99" i="13"/>
  <c r="Z99" i="13" s="1"/>
  <c r="AC99" i="13"/>
  <c r="Y100" i="13"/>
  <c r="Z100" i="13" s="1"/>
  <c r="AC100" i="13"/>
  <c r="Y101" i="13"/>
  <c r="Z101" i="13" s="1"/>
  <c r="AC101" i="13"/>
  <c r="Y102" i="13"/>
  <c r="Z102" i="13" s="1"/>
  <c r="AC102" i="13"/>
  <c r="Y103" i="13"/>
  <c r="Z103" i="13" s="1"/>
  <c r="AC103" i="13"/>
  <c r="Y104" i="13"/>
  <c r="Z104" i="13" s="1"/>
  <c r="AC104" i="13"/>
  <c r="Y105" i="13"/>
  <c r="Z105" i="13" s="1"/>
  <c r="AC105" i="13"/>
  <c r="Y106" i="13"/>
  <c r="Z106" i="13" s="1"/>
  <c r="AC106" i="13"/>
  <c r="Y107" i="13"/>
  <c r="Z107" i="13" s="1"/>
  <c r="AC107" i="13"/>
  <c r="Y108" i="13"/>
  <c r="Z108" i="13" s="1"/>
  <c r="AC108" i="13"/>
  <c r="Y109" i="13"/>
  <c r="Z109" i="13" s="1"/>
  <c r="AC109" i="13"/>
  <c r="Y110" i="13"/>
  <c r="Z110" i="13" s="1"/>
  <c r="AC110" i="13"/>
  <c r="Y111" i="13"/>
  <c r="Z111" i="13" s="1"/>
  <c r="AC111" i="13"/>
  <c r="Y112" i="13"/>
  <c r="Z112" i="13" s="1"/>
  <c r="AC112" i="13"/>
  <c r="Y113" i="13"/>
  <c r="Z113" i="13" s="1"/>
  <c r="AC113" i="13"/>
  <c r="Y114" i="13"/>
  <c r="Z114" i="13" s="1"/>
  <c r="AC114" i="13"/>
  <c r="Y115" i="13"/>
  <c r="Z115" i="13" s="1"/>
  <c r="AC115" i="13"/>
  <c r="Y116" i="13"/>
  <c r="Z116" i="13" s="1"/>
  <c r="AC116" i="13"/>
  <c r="Y117" i="13"/>
  <c r="Z117" i="13" s="1"/>
  <c r="AC117" i="13"/>
  <c r="Y118" i="13"/>
  <c r="Z118" i="13" s="1"/>
  <c r="AC118" i="13"/>
  <c r="Y119" i="13"/>
  <c r="Z119" i="13" s="1"/>
  <c r="AC119" i="13"/>
  <c r="Y120" i="13"/>
  <c r="Z120" i="13" s="1"/>
  <c r="AC120" i="13"/>
  <c r="Y121" i="13"/>
  <c r="Z121" i="13" s="1"/>
  <c r="AC121" i="13"/>
  <c r="Y122" i="13"/>
  <c r="Z122" i="13" s="1"/>
  <c r="AC122" i="13"/>
  <c r="Y123" i="13"/>
  <c r="Z123" i="13" s="1"/>
  <c r="AC123" i="13"/>
  <c r="Y124" i="13"/>
  <c r="Z124" i="13" s="1"/>
  <c r="AC124" i="13"/>
  <c r="Y125" i="13"/>
  <c r="Z125" i="13" s="1"/>
  <c r="AC125" i="13"/>
  <c r="Y126" i="13"/>
  <c r="Z126" i="13" s="1"/>
  <c r="AC126" i="13"/>
  <c r="Y127" i="13"/>
  <c r="Z127" i="13" s="1"/>
  <c r="AC127" i="13"/>
  <c r="Y128" i="13"/>
  <c r="Z128" i="13" s="1"/>
  <c r="AC128" i="13"/>
  <c r="Y129" i="13"/>
  <c r="Z129" i="13" s="1"/>
  <c r="AC129" i="13"/>
  <c r="Y130" i="13"/>
  <c r="Z130" i="13" s="1"/>
  <c r="AC130" i="13"/>
  <c r="Y131" i="13"/>
  <c r="Z131" i="13" s="1"/>
  <c r="AC131" i="13"/>
  <c r="Y132" i="13"/>
  <c r="Z132" i="13" s="1"/>
  <c r="AC132" i="13"/>
  <c r="Y133" i="13"/>
  <c r="Z133" i="13" s="1"/>
  <c r="AC133" i="13"/>
  <c r="Y134" i="13"/>
  <c r="Z134" i="13" s="1"/>
  <c r="AC134" i="13"/>
  <c r="Y135" i="13"/>
  <c r="Z135" i="13" s="1"/>
  <c r="AC135" i="13"/>
  <c r="Y136" i="13"/>
  <c r="Z136" i="13" s="1"/>
  <c r="AC136" i="13"/>
  <c r="Y137" i="13"/>
  <c r="Z137" i="13" s="1"/>
  <c r="AC137" i="13"/>
  <c r="Y138" i="13"/>
  <c r="Z138" i="13" s="1"/>
  <c r="AC138" i="13"/>
  <c r="Y139" i="13"/>
  <c r="Z139" i="13" s="1"/>
  <c r="AC139" i="13"/>
  <c r="Y140" i="13"/>
  <c r="Z140" i="13" s="1"/>
  <c r="AC140" i="13"/>
  <c r="Y141" i="13"/>
  <c r="Z141" i="13" s="1"/>
  <c r="AC141" i="13"/>
  <c r="Y142" i="13"/>
  <c r="Z142" i="13" s="1"/>
  <c r="AC142" i="13"/>
  <c r="Y143" i="13"/>
  <c r="Z143" i="13" s="1"/>
  <c r="AC143" i="13"/>
  <c r="Y144" i="13"/>
  <c r="Z144" i="13" s="1"/>
  <c r="AC144" i="13"/>
  <c r="Y145" i="13"/>
  <c r="Z145" i="13" s="1"/>
  <c r="AC145" i="13"/>
  <c r="Y146" i="13"/>
  <c r="Z146" i="13" s="1"/>
  <c r="AC146" i="13"/>
  <c r="Y147" i="13"/>
  <c r="Z147" i="13" s="1"/>
  <c r="AC147" i="13"/>
  <c r="Y148" i="13"/>
  <c r="Z148" i="13" s="1"/>
  <c r="AC148" i="13"/>
  <c r="Y149" i="13"/>
  <c r="Z149" i="13" s="1"/>
  <c r="AC149" i="13"/>
  <c r="Y150" i="13"/>
  <c r="Z150" i="13" s="1"/>
  <c r="AC150" i="13"/>
  <c r="Y151" i="13"/>
  <c r="Z151" i="13" s="1"/>
  <c r="AC151" i="13"/>
  <c r="Y152" i="13"/>
  <c r="Z152" i="13" s="1"/>
  <c r="AC152" i="13"/>
  <c r="Y153" i="13"/>
  <c r="Z153" i="13" s="1"/>
  <c r="AC153" i="13"/>
  <c r="Y154" i="13"/>
  <c r="Z154" i="13" s="1"/>
  <c r="AC154" i="13"/>
  <c r="Y155" i="13"/>
  <c r="Z155" i="13" s="1"/>
  <c r="AC155" i="13"/>
  <c r="Y156" i="13"/>
  <c r="Z156" i="13" s="1"/>
  <c r="AC156" i="13"/>
  <c r="Y157" i="13"/>
  <c r="Z157" i="13" s="1"/>
  <c r="AC157" i="13"/>
  <c r="Y158" i="13"/>
  <c r="Z158" i="13" s="1"/>
  <c r="AC158" i="13"/>
  <c r="Y159" i="13"/>
  <c r="Z159" i="13" s="1"/>
  <c r="AC159" i="13"/>
  <c r="Y160" i="13"/>
  <c r="Z160" i="13" s="1"/>
  <c r="AC160" i="13"/>
  <c r="Y161" i="13"/>
  <c r="Z161" i="13" s="1"/>
  <c r="AC161" i="13"/>
  <c r="Y162" i="13"/>
  <c r="Z162" i="13" s="1"/>
  <c r="AC162" i="13"/>
  <c r="Y163" i="13"/>
  <c r="Z163" i="13" s="1"/>
  <c r="AC163" i="13"/>
  <c r="Y164" i="13"/>
  <c r="Z164" i="13" s="1"/>
  <c r="AC164" i="13"/>
  <c r="Y165" i="13"/>
  <c r="Z165" i="13" s="1"/>
  <c r="AC165" i="13"/>
  <c r="Y166" i="13"/>
  <c r="Z166" i="13" s="1"/>
  <c r="AC166" i="13"/>
  <c r="Y167" i="13"/>
  <c r="Z167" i="13" s="1"/>
  <c r="AC167" i="13"/>
  <c r="Y168" i="13"/>
  <c r="Z168" i="13" s="1"/>
  <c r="AC168" i="13"/>
  <c r="Y169" i="13"/>
  <c r="Z169" i="13" s="1"/>
  <c r="AC169" i="13"/>
  <c r="Y170" i="13"/>
  <c r="Z170" i="13" s="1"/>
  <c r="AC170" i="13"/>
  <c r="Y171" i="13"/>
  <c r="Z171" i="13" s="1"/>
  <c r="AC171" i="13"/>
  <c r="Y172" i="13"/>
  <c r="Z172" i="13" s="1"/>
  <c r="AC172" i="13"/>
  <c r="Y173" i="13"/>
  <c r="Z173" i="13" s="1"/>
  <c r="AC173" i="13"/>
  <c r="Y174" i="13"/>
  <c r="Z174" i="13" s="1"/>
  <c r="AC174" i="13"/>
  <c r="Y175" i="13"/>
  <c r="Z175" i="13" s="1"/>
  <c r="AC175" i="13"/>
  <c r="Y176" i="13"/>
  <c r="Z176" i="13" s="1"/>
  <c r="AC176" i="13"/>
  <c r="Y177" i="13"/>
  <c r="Z177" i="13" s="1"/>
  <c r="AC177" i="13"/>
  <c r="Y178" i="13"/>
  <c r="Z178" i="13" s="1"/>
  <c r="AC178" i="13"/>
  <c r="Y179" i="13"/>
  <c r="Z179" i="13" s="1"/>
  <c r="AC179" i="13"/>
  <c r="Y180" i="13"/>
  <c r="Z180" i="13" s="1"/>
  <c r="AC180" i="13"/>
  <c r="Y181" i="13"/>
  <c r="Z181" i="13" s="1"/>
  <c r="AC181" i="13"/>
  <c r="Y182" i="13"/>
  <c r="Z182" i="13" s="1"/>
  <c r="AC182" i="13"/>
  <c r="Y183" i="13"/>
  <c r="Z183" i="13" s="1"/>
  <c r="AC183" i="13"/>
  <c r="Y184" i="13"/>
  <c r="Z184" i="13" s="1"/>
  <c r="AC184" i="13"/>
  <c r="Y185" i="13"/>
  <c r="Z185" i="13" s="1"/>
  <c r="AC185" i="13"/>
  <c r="Y186" i="13"/>
  <c r="Z186" i="13" s="1"/>
  <c r="AC186" i="13"/>
  <c r="Y187" i="13"/>
  <c r="Z187" i="13" s="1"/>
  <c r="AC187" i="13"/>
  <c r="Y188" i="13"/>
  <c r="Z188" i="13" s="1"/>
  <c r="AC188" i="13"/>
  <c r="Y189" i="13"/>
  <c r="Z189" i="13" s="1"/>
  <c r="AC189" i="13"/>
  <c r="Y190" i="13"/>
  <c r="Z190" i="13" s="1"/>
  <c r="AC190" i="13"/>
  <c r="Y191" i="13"/>
  <c r="Z191" i="13" s="1"/>
  <c r="AC191" i="13"/>
  <c r="Y192" i="13"/>
  <c r="Z192" i="13" s="1"/>
  <c r="AC192" i="13"/>
  <c r="Y193" i="13"/>
  <c r="Z193" i="13" s="1"/>
  <c r="AC193" i="13"/>
  <c r="Y194" i="13"/>
  <c r="Z194" i="13" s="1"/>
  <c r="AC194" i="13"/>
  <c r="Y195" i="13"/>
  <c r="Z195" i="13" s="1"/>
  <c r="AC195" i="13"/>
  <c r="Y196" i="13"/>
  <c r="Z196" i="13" s="1"/>
  <c r="AC196" i="13"/>
  <c r="Y197" i="13"/>
  <c r="Z197" i="13" s="1"/>
  <c r="AC197" i="13"/>
  <c r="Y198" i="13"/>
  <c r="Z198" i="13" s="1"/>
  <c r="AC198" i="13"/>
  <c r="Y199" i="13"/>
  <c r="Z199" i="13" s="1"/>
  <c r="AC199" i="13"/>
  <c r="Y200" i="13"/>
  <c r="Z200" i="13" s="1"/>
  <c r="AC200" i="13"/>
  <c r="Y201" i="13"/>
  <c r="Z201" i="13" s="1"/>
  <c r="AC201" i="13"/>
  <c r="Y202" i="13"/>
  <c r="Z202" i="13" s="1"/>
  <c r="AC202" i="13"/>
  <c r="Y203" i="13"/>
  <c r="Z203" i="13" s="1"/>
  <c r="AC203" i="13"/>
  <c r="Y204" i="13"/>
  <c r="Z204" i="13" s="1"/>
  <c r="AC204" i="13"/>
  <c r="Y205" i="13"/>
  <c r="Z205" i="13" s="1"/>
  <c r="AC205" i="13"/>
  <c r="Y206" i="13"/>
  <c r="Z206" i="13" s="1"/>
  <c r="AC206" i="13"/>
  <c r="Y207" i="13"/>
  <c r="Z207" i="13" s="1"/>
  <c r="AC207" i="13"/>
  <c r="Y208" i="13"/>
  <c r="Z208" i="13" s="1"/>
  <c r="AC208" i="13"/>
  <c r="Y209" i="13"/>
  <c r="Z209" i="13" s="1"/>
  <c r="AC209" i="13"/>
  <c r="Y210" i="13"/>
  <c r="Z210" i="13" s="1"/>
  <c r="AC210" i="13"/>
  <c r="Y211" i="13"/>
  <c r="Z211" i="13" s="1"/>
  <c r="AC211" i="13"/>
  <c r="Y212" i="13"/>
  <c r="Z212" i="13" s="1"/>
  <c r="AC212" i="13"/>
  <c r="Y213" i="13"/>
  <c r="Z213" i="13" s="1"/>
  <c r="AC213" i="13"/>
  <c r="Y214" i="13"/>
  <c r="Z214" i="13" s="1"/>
  <c r="AC214" i="13"/>
  <c r="Y215" i="13"/>
  <c r="Z215" i="13" s="1"/>
  <c r="AC215" i="13"/>
  <c r="Y216" i="13"/>
  <c r="Z216" i="13" s="1"/>
  <c r="AC216" i="13"/>
  <c r="Y217" i="13"/>
  <c r="Z217" i="13" s="1"/>
  <c r="AC217" i="13"/>
  <c r="Y218" i="13"/>
  <c r="Z218" i="13" s="1"/>
  <c r="AC218" i="13"/>
  <c r="Y219" i="13"/>
  <c r="Z219" i="13" s="1"/>
  <c r="AC219" i="13"/>
  <c r="Y220" i="13"/>
  <c r="Z220" i="13" s="1"/>
  <c r="AC220" i="13"/>
  <c r="Y221" i="13"/>
  <c r="Z221" i="13" s="1"/>
  <c r="AC221" i="13"/>
  <c r="Y222" i="13"/>
  <c r="Z222" i="13" s="1"/>
  <c r="AC222" i="13"/>
  <c r="Y223" i="13"/>
  <c r="Z223" i="13" s="1"/>
  <c r="AC223" i="13"/>
  <c r="Y224" i="13"/>
  <c r="Z224" i="13" s="1"/>
  <c r="AC224" i="13"/>
  <c r="Y225" i="13"/>
  <c r="Z225" i="13" s="1"/>
  <c r="AC225" i="13"/>
  <c r="Y226" i="13"/>
  <c r="Z226" i="13" s="1"/>
  <c r="AC226" i="13"/>
  <c r="Y227" i="13"/>
  <c r="Z227" i="13" s="1"/>
  <c r="AC227" i="13"/>
  <c r="Y228" i="13"/>
  <c r="Z228" i="13" s="1"/>
  <c r="AC228" i="13"/>
  <c r="Y229" i="13"/>
  <c r="Z229" i="13" s="1"/>
  <c r="AC229" i="13"/>
  <c r="Y230" i="13"/>
  <c r="Z230" i="13" s="1"/>
  <c r="AC230" i="13"/>
  <c r="Y231" i="13"/>
  <c r="Z231" i="13" s="1"/>
  <c r="AC231" i="13"/>
  <c r="Y232" i="13"/>
  <c r="Z232" i="13" s="1"/>
  <c r="AC232" i="13"/>
  <c r="Y233" i="13"/>
  <c r="Z233" i="13" s="1"/>
  <c r="AC233" i="13"/>
  <c r="Y234" i="13"/>
  <c r="Z234" i="13" s="1"/>
  <c r="AC234" i="13"/>
  <c r="Y235" i="13"/>
  <c r="Z235" i="13" s="1"/>
  <c r="AC235" i="13"/>
  <c r="Y236" i="13"/>
  <c r="Z236" i="13" s="1"/>
  <c r="AC236" i="13"/>
  <c r="Y237" i="13"/>
  <c r="Z237" i="13" s="1"/>
  <c r="AC237" i="13"/>
  <c r="Y238" i="13"/>
  <c r="Z238" i="13" s="1"/>
  <c r="AC238" i="13"/>
  <c r="Y239" i="13"/>
  <c r="Z239" i="13" s="1"/>
  <c r="AC239" i="13"/>
  <c r="Y240" i="13"/>
  <c r="Z240" i="13" s="1"/>
  <c r="AC240" i="13"/>
  <c r="Y241" i="13"/>
  <c r="Z241" i="13" s="1"/>
  <c r="AC241" i="13"/>
  <c r="Y242" i="13"/>
  <c r="Z242" i="13" s="1"/>
  <c r="AC242" i="13"/>
  <c r="Y243" i="13"/>
  <c r="Z243" i="13" s="1"/>
  <c r="AC243" i="13"/>
  <c r="Y244" i="13"/>
  <c r="Z244" i="13" s="1"/>
  <c r="AC244" i="13"/>
  <c r="Y245" i="13"/>
  <c r="Z245" i="13" s="1"/>
  <c r="AC245" i="13"/>
  <c r="Y246" i="13"/>
  <c r="Z246" i="13" s="1"/>
  <c r="AC246" i="13"/>
  <c r="Y247" i="13"/>
  <c r="Z247" i="13" s="1"/>
  <c r="AC247" i="13"/>
  <c r="Y248" i="13"/>
  <c r="Z248" i="13" s="1"/>
  <c r="AC248" i="13"/>
  <c r="Y249" i="13"/>
  <c r="Z249" i="13" s="1"/>
  <c r="AC249" i="13"/>
  <c r="Y250" i="13"/>
  <c r="Z250" i="13" s="1"/>
  <c r="AC250" i="13"/>
  <c r="Y251" i="13"/>
  <c r="Z251" i="13" s="1"/>
  <c r="AC251" i="13"/>
  <c r="Y252" i="13"/>
  <c r="Z252" i="13" s="1"/>
  <c r="AC252" i="13"/>
  <c r="Y253" i="13"/>
  <c r="Z253" i="13" s="1"/>
  <c r="AC253" i="13"/>
  <c r="Y254" i="13"/>
  <c r="Z254" i="13" s="1"/>
  <c r="AC254" i="13"/>
  <c r="Y255" i="13"/>
  <c r="Z255" i="13" s="1"/>
  <c r="AC255" i="13"/>
  <c r="Y256" i="13"/>
  <c r="Z256" i="13" s="1"/>
  <c r="AC256" i="13"/>
  <c r="Y257" i="13"/>
  <c r="Z257" i="13" s="1"/>
  <c r="AC257" i="13"/>
  <c r="Y258" i="13"/>
  <c r="Z258" i="13" s="1"/>
  <c r="AC258" i="13"/>
  <c r="Y259" i="13"/>
  <c r="Z259" i="13" s="1"/>
  <c r="AC259" i="13"/>
  <c r="Y260" i="13"/>
  <c r="Z260" i="13" s="1"/>
  <c r="AC260" i="13"/>
  <c r="Y261" i="13"/>
  <c r="Z261" i="13" s="1"/>
  <c r="AC261" i="13"/>
  <c r="Y262" i="13"/>
  <c r="Z262" i="13" s="1"/>
  <c r="AC262" i="13"/>
  <c r="Y263" i="13"/>
  <c r="Z263" i="13" s="1"/>
  <c r="AC263" i="13"/>
  <c r="Y264" i="13"/>
  <c r="Z264" i="13" s="1"/>
  <c r="AC264" i="13"/>
  <c r="Y265" i="13"/>
  <c r="Z265" i="13" s="1"/>
  <c r="AC265" i="13"/>
  <c r="Y266" i="13"/>
  <c r="Z266" i="13" s="1"/>
  <c r="AC266" i="13"/>
  <c r="Y267" i="13"/>
  <c r="Z267" i="13" s="1"/>
  <c r="AC267" i="13"/>
  <c r="Y268" i="13"/>
  <c r="Z268" i="13" s="1"/>
  <c r="AC268" i="13"/>
  <c r="Y269" i="13"/>
  <c r="Z269" i="13" s="1"/>
  <c r="AC269" i="13"/>
  <c r="Y270" i="13"/>
  <c r="Z270" i="13" s="1"/>
  <c r="AC270" i="13"/>
  <c r="Y271" i="13"/>
  <c r="Z271" i="13" s="1"/>
  <c r="AC271" i="13"/>
  <c r="Y272" i="13"/>
  <c r="Z272" i="13" s="1"/>
  <c r="AC272" i="13"/>
  <c r="Y273" i="13"/>
  <c r="Z273" i="13" s="1"/>
  <c r="AC273" i="13"/>
  <c r="Y274" i="13"/>
  <c r="Z274" i="13" s="1"/>
  <c r="AC274" i="13"/>
  <c r="Y275" i="13"/>
  <c r="Z275" i="13" s="1"/>
  <c r="AC275" i="13"/>
  <c r="Y276" i="13"/>
  <c r="Z276" i="13" s="1"/>
  <c r="AC276" i="13"/>
  <c r="Y277" i="13"/>
  <c r="Z277" i="13" s="1"/>
  <c r="AC277" i="13"/>
  <c r="Y278" i="13"/>
  <c r="Z278" i="13" s="1"/>
  <c r="AC278" i="13"/>
  <c r="Y279" i="13"/>
  <c r="Z279" i="13" s="1"/>
  <c r="AC279" i="13"/>
  <c r="Y280" i="13"/>
  <c r="Z280" i="13" s="1"/>
  <c r="AC280" i="13"/>
  <c r="Y281" i="13"/>
  <c r="Z281" i="13" s="1"/>
  <c r="AC281" i="13"/>
  <c r="Y282" i="13"/>
  <c r="Z282" i="13" s="1"/>
  <c r="AC282" i="13"/>
  <c r="Y283" i="13"/>
  <c r="Z283" i="13" s="1"/>
  <c r="AC283" i="13"/>
  <c r="Y284" i="13"/>
  <c r="Z284" i="13" s="1"/>
  <c r="AC284" i="13"/>
  <c r="Y285" i="13"/>
  <c r="Z285" i="13" s="1"/>
  <c r="AC285" i="13"/>
  <c r="Y286" i="13"/>
  <c r="Z286" i="13" s="1"/>
  <c r="AC286" i="13"/>
  <c r="Y287" i="13"/>
  <c r="Z287" i="13" s="1"/>
  <c r="AC287" i="13"/>
  <c r="Y288" i="13"/>
  <c r="Z288" i="13" s="1"/>
  <c r="AC288" i="13"/>
  <c r="Y289" i="13"/>
  <c r="Z289" i="13" s="1"/>
  <c r="AC289" i="13"/>
  <c r="Y290" i="13"/>
  <c r="Z290" i="13" s="1"/>
  <c r="AC290" i="13"/>
  <c r="Y291" i="13"/>
  <c r="Z291" i="13" s="1"/>
  <c r="AC291" i="13"/>
  <c r="Y292" i="13"/>
  <c r="Z292" i="13" s="1"/>
  <c r="AC292" i="13"/>
  <c r="Y293" i="13"/>
  <c r="Z293" i="13" s="1"/>
  <c r="AC293" i="13"/>
  <c r="Y294" i="13"/>
  <c r="Z294" i="13" s="1"/>
  <c r="AC294" i="13"/>
  <c r="Y295" i="13"/>
  <c r="Z295" i="13" s="1"/>
  <c r="AC295" i="13"/>
  <c r="Y296" i="13"/>
  <c r="Z296" i="13" s="1"/>
  <c r="AC296" i="13"/>
  <c r="Y297" i="13"/>
  <c r="Z297" i="13" s="1"/>
  <c r="AC297" i="13"/>
  <c r="Y298" i="13"/>
  <c r="Z298" i="13" s="1"/>
  <c r="AC298" i="13"/>
  <c r="Y299" i="13"/>
  <c r="Z299" i="13" s="1"/>
  <c r="AC299" i="13"/>
  <c r="Y300" i="13"/>
  <c r="Z300" i="13" s="1"/>
  <c r="AC300" i="13"/>
  <c r="Y301" i="13"/>
  <c r="Z301" i="13" s="1"/>
  <c r="AC301" i="13"/>
  <c r="Y302" i="13"/>
  <c r="Z302" i="13" s="1"/>
  <c r="AC302" i="13"/>
  <c r="Y303" i="13"/>
  <c r="Z303" i="13" s="1"/>
  <c r="AC303" i="13"/>
  <c r="Y304" i="13"/>
  <c r="Z304" i="13" s="1"/>
  <c r="AC304" i="13"/>
  <c r="Y305" i="13"/>
  <c r="Z305" i="13" s="1"/>
  <c r="AC305" i="13"/>
  <c r="S305" i="13" l="1"/>
  <c r="U305" i="13" s="1"/>
  <c r="AD305" i="13" s="1"/>
  <c r="S304" i="13"/>
  <c r="U304" i="13" s="1"/>
  <c r="AD304" i="13" s="1"/>
  <c r="S303" i="13"/>
  <c r="T303" i="13" s="1"/>
  <c r="S302" i="13"/>
  <c r="U302" i="13" s="1"/>
  <c r="AD302" i="13" s="1"/>
  <c r="S301" i="13"/>
  <c r="T301" i="13" s="1"/>
  <c r="S300" i="13"/>
  <c r="S299" i="13"/>
  <c r="U299" i="13" s="1"/>
  <c r="AD299" i="13" s="1"/>
  <c r="S298" i="13"/>
  <c r="U298" i="13" s="1"/>
  <c r="AD298" i="13" s="1"/>
  <c r="S297" i="13"/>
  <c r="T297" i="13" s="1"/>
  <c r="S296" i="13"/>
  <c r="U296" i="13" s="1"/>
  <c r="AD296" i="13" s="1"/>
  <c r="S295" i="13"/>
  <c r="T295" i="13" s="1"/>
  <c r="S294" i="13"/>
  <c r="U294" i="13" s="1"/>
  <c r="AD294" i="13" s="1"/>
  <c r="S293" i="13"/>
  <c r="T293" i="13" s="1"/>
  <c r="S292" i="13"/>
  <c r="S291" i="13"/>
  <c r="S290" i="13"/>
  <c r="U290" i="13" s="1"/>
  <c r="AD290" i="13" s="1"/>
  <c r="S289" i="13"/>
  <c r="T289" i="13" s="1"/>
  <c r="S288" i="13"/>
  <c r="U288" i="13" s="1"/>
  <c r="AD288" i="13" s="1"/>
  <c r="S287" i="13"/>
  <c r="T287" i="13" s="1"/>
  <c r="S286" i="13"/>
  <c r="U286" i="13" s="1"/>
  <c r="AD286" i="13" s="1"/>
  <c r="S285" i="13"/>
  <c r="S284" i="13"/>
  <c r="U284" i="13" s="1"/>
  <c r="AD284" i="13" s="1"/>
  <c r="S283" i="13"/>
  <c r="T283" i="13" s="1"/>
  <c r="S282" i="13"/>
  <c r="S281" i="13"/>
  <c r="T281" i="13" s="1"/>
  <c r="S280" i="13"/>
  <c r="U280" i="13" s="1"/>
  <c r="AD280" i="13" s="1"/>
  <c r="S279" i="13"/>
  <c r="U279" i="13" s="1"/>
  <c r="AD279" i="13" s="1"/>
  <c r="S278" i="13"/>
  <c r="S277" i="13"/>
  <c r="U277" i="13" s="1"/>
  <c r="AD277" i="13" s="1"/>
  <c r="S276" i="13"/>
  <c r="T276" i="13" s="1"/>
  <c r="S275" i="13"/>
  <c r="T275" i="13" s="1"/>
  <c r="S274" i="13"/>
  <c r="S273" i="13"/>
  <c r="S272" i="13"/>
  <c r="S271" i="13"/>
  <c r="T271" i="13" s="1"/>
  <c r="S270" i="13"/>
  <c r="U270" i="13" s="1"/>
  <c r="AD270" i="13" s="1"/>
  <c r="S269" i="13"/>
  <c r="U269" i="13" s="1"/>
  <c r="AD269" i="13" s="1"/>
  <c r="S268" i="13"/>
  <c r="T268" i="13" s="1"/>
  <c r="S267" i="13"/>
  <c r="S266" i="13"/>
  <c r="S265" i="13"/>
  <c r="S264" i="13"/>
  <c r="S263" i="13"/>
  <c r="S262" i="13"/>
  <c r="U262" i="13" s="1"/>
  <c r="AD262" i="13" s="1"/>
  <c r="S261" i="13"/>
  <c r="U261" i="13" s="1"/>
  <c r="AD261" i="13" s="1"/>
  <c r="S260" i="13"/>
  <c r="S259" i="13"/>
  <c r="T259" i="13" s="1"/>
  <c r="S258" i="13"/>
  <c r="U258" i="13" s="1"/>
  <c r="AD258" i="13" s="1"/>
  <c r="S257" i="13"/>
  <c r="T257" i="13" s="1"/>
  <c r="V257" i="13" s="1"/>
  <c r="W257" i="13" s="1"/>
  <c r="S256" i="13"/>
  <c r="S255" i="13"/>
  <c r="U255" i="13" s="1"/>
  <c r="AD255" i="13" s="1"/>
  <c r="S254" i="13"/>
  <c r="S253" i="13"/>
  <c r="T253" i="13" s="1"/>
  <c r="S252" i="13"/>
  <c r="U252" i="13" s="1"/>
  <c r="AD252" i="13" s="1"/>
  <c r="S251" i="13"/>
  <c r="U251" i="13" s="1"/>
  <c r="AD251" i="13" s="1"/>
  <c r="S250" i="13"/>
  <c r="S249" i="13"/>
  <c r="S248" i="13"/>
  <c r="S247" i="13"/>
  <c r="S246" i="13"/>
  <c r="S245" i="13"/>
  <c r="U245" i="13" s="1"/>
  <c r="AD245" i="13" s="1"/>
  <c r="S244" i="13"/>
  <c r="T244" i="13" s="1"/>
  <c r="S243" i="13"/>
  <c r="U243" i="13" s="1"/>
  <c r="AD243" i="13" s="1"/>
  <c r="S242" i="13"/>
  <c r="T242" i="13" s="1"/>
  <c r="S241" i="13"/>
  <c r="U241" i="13" s="1"/>
  <c r="AD241" i="13" s="1"/>
  <c r="S240" i="13"/>
  <c r="S239" i="13"/>
  <c r="S238" i="13"/>
  <c r="U238" i="13" s="1"/>
  <c r="AD238" i="13" s="1"/>
  <c r="S237" i="13"/>
  <c r="U237" i="13" s="1"/>
  <c r="AD237" i="13" s="1"/>
  <c r="S236" i="13"/>
  <c r="T236" i="13" s="1"/>
  <c r="S235" i="13"/>
  <c r="U235" i="13" s="1"/>
  <c r="AD235" i="13" s="1"/>
  <c r="S234" i="13"/>
  <c r="S233" i="13"/>
  <c r="T233" i="13" s="1"/>
  <c r="S232" i="13"/>
  <c r="U232" i="13" s="1"/>
  <c r="AD232" i="13" s="1"/>
  <c r="S231" i="13"/>
  <c r="U231" i="13" s="1"/>
  <c r="AD231" i="13" s="1"/>
  <c r="S230" i="13"/>
  <c r="T230" i="13" s="1"/>
  <c r="S229" i="13"/>
  <c r="U229" i="13" s="1"/>
  <c r="AD229" i="13" s="1"/>
  <c r="S228" i="13"/>
  <c r="S227" i="13"/>
  <c r="S226" i="13"/>
  <c r="U226" i="13" s="1"/>
  <c r="AD226" i="13" s="1"/>
  <c r="S225" i="13"/>
  <c r="U225" i="13" s="1"/>
  <c r="AD225" i="13" s="1"/>
  <c r="S224" i="13"/>
  <c r="T224" i="13" s="1"/>
  <c r="V224" i="13" s="1"/>
  <c r="W224" i="13" s="1"/>
  <c r="S223" i="13"/>
  <c r="U223" i="13" s="1"/>
  <c r="AD223" i="13" s="1"/>
  <c r="S222" i="13"/>
  <c r="S221" i="13"/>
  <c r="S220" i="13"/>
  <c r="U220" i="13" s="1"/>
  <c r="AD220" i="13" s="1"/>
  <c r="S219" i="13"/>
  <c r="U219" i="13" s="1"/>
  <c r="AD219" i="13" s="1"/>
  <c r="S218" i="13"/>
  <c r="T218" i="13" s="1"/>
  <c r="S217" i="13"/>
  <c r="U217" i="13" s="1"/>
  <c r="AD217" i="13" s="1"/>
  <c r="S216" i="13"/>
  <c r="S215" i="13"/>
  <c r="S214" i="13"/>
  <c r="U214" i="13" s="1"/>
  <c r="AD214" i="13" s="1"/>
  <c r="S213" i="13"/>
  <c r="T213" i="13" s="1"/>
  <c r="S212" i="13"/>
  <c r="S211" i="13"/>
  <c r="U211" i="13" s="1"/>
  <c r="AD211" i="13" s="1"/>
  <c r="S210" i="13"/>
  <c r="S209" i="13"/>
  <c r="U209" i="13" s="1"/>
  <c r="AD209" i="13" s="1"/>
  <c r="S208" i="13"/>
  <c r="T208" i="13" s="1"/>
  <c r="S207" i="13"/>
  <c r="S206" i="13"/>
  <c r="T206" i="13" s="1"/>
  <c r="V206" i="13" s="1"/>
  <c r="AE206" i="13" s="1"/>
  <c r="S205" i="13"/>
  <c r="U205" i="13" s="1"/>
  <c r="AD205" i="13" s="1"/>
  <c r="S204" i="13"/>
  <c r="T204" i="13" s="1"/>
  <c r="S203" i="13"/>
  <c r="U203" i="13" s="1"/>
  <c r="AD203" i="13" s="1"/>
  <c r="S202" i="13"/>
  <c r="U202" i="13" s="1"/>
  <c r="AD202" i="13" s="1"/>
  <c r="S201" i="13"/>
  <c r="U201" i="13" s="1"/>
  <c r="AD201" i="13" s="1"/>
  <c r="S200" i="13"/>
  <c r="T200" i="13" s="1"/>
  <c r="S199" i="13"/>
  <c r="U199" i="13" s="1"/>
  <c r="AD199" i="13" s="1"/>
  <c r="S198" i="13"/>
  <c r="T198" i="13" s="1"/>
  <c r="S197" i="13"/>
  <c r="S196" i="13"/>
  <c r="U196" i="13" s="1"/>
  <c r="AD196" i="13" s="1"/>
  <c r="S195" i="13"/>
  <c r="U195" i="13" s="1"/>
  <c r="AD195" i="13" s="1"/>
  <c r="S194" i="13"/>
  <c r="S193" i="13"/>
  <c r="U193" i="13" s="1"/>
  <c r="AD193" i="13" s="1"/>
  <c r="S192" i="13"/>
  <c r="S191" i="13"/>
  <c r="T191" i="13" s="1"/>
  <c r="S190" i="13"/>
  <c r="S189" i="13"/>
  <c r="S188" i="13"/>
  <c r="U188" i="13" s="1"/>
  <c r="AD188" i="13" s="1"/>
  <c r="S187" i="13"/>
  <c r="S186" i="13"/>
  <c r="S185" i="13"/>
  <c r="U185" i="13" s="1"/>
  <c r="AD185" i="13" s="1"/>
  <c r="S184" i="13"/>
  <c r="S183" i="13"/>
  <c r="T183" i="13" s="1"/>
  <c r="S182" i="13"/>
  <c r="S181" i="13"/>
  <c r="S180" i="13"/>
  <c r="S179" i="13"/>
  <c r="T179" i="13" s="1"/>
  <c r="S178" i="13"/>
  <c r="S177" i="13"/>
  <c r="T177" i="13" s="1"/>
  <c r="S176" i="13"/>
  <c r="S175" i="13"/>
  <c r="S174" i="13"/>
  <c r="U174" i="13" s="1"/>
  <c r="AD174" i="13" s="1"/>
  <c r="S173" i="13"/>
  <c r="T173" i="13" s="1"/>
  <c r="S172" i="13"/>
  <c r="T172" i="13" s="1"/>
  <c r="V172" i="13" s="1"/>
  <c r="S171" i="13"/>
  <c r="T171" i="13" s="1"/>
  <c r="V171" i="13" s="1"/>
  <c r="AE171" i="13" s="1"/>
  <c r="S170" i="13"/>
  <c r="S169" i="13"/>
  <c r="T169" i="13" s="1"/>
  <c r="S168" i="13"/>
  <c r="S167" i="13"/>
  <c r="T167" i="13" s="1"/>
  <c r="S166" i="13"/>
  <c r="T166" i="13" s="1"/>
  <c r="S165" i="13"/>
  <c r="S164" i="13"/>
  <c r="U164" i="13" s="1"/>
  <c r="AD164" i="13" s="1"/>
  <c r="S163" i="13"/>
  <c r="T163" i="13" s="1"/>
  <c r="V163" i="13" s="1"/>
  <c r="S162" i="13"/>
  <c r="U162" i="13" s="1"/>
  <c r="AD162" i="13" s="1"/>
  <c r="S161" i="13"/>
  <c r="T161" i="13" s="1"/>
  <c r="S160" i="13"/>
  <c r="U160" i="13" s="1"/>
  <c r="AD160" i="13" s="1"/>
  <c r="S159" i="13"/>
  <c r="U159" i="13" s="1"/>
  <c r="AD159" i="13" s="1"/>
  <c r="S158" i="13"/>
  <c r="U158" i="13" s="1"/>
  <c r="AD158" i="13" s="1"/>
  <c r="S157" i="13"/>
  <c r="S156" i="13"/>
  <c r="U156" i="13" s="1"/>
  <c r="AD156" i="13" s="1"/>
  <c r="S155" i="13"/>
  <c r="S154" i="13"/>
  <c r="T154" i="13" s="1"/>
  <c r="V154" i="13" s="1"/>
  <c r="S153" i="13"/>
  <c r="T153" i="13" s="1"/>
  <c r="S152" i="13"/>
  <c r="S151" i="13"/>
  <c r="S150" i="13"/>
  <c r="U150" i="13" s="1"/>
  <c r="AD150" i="13" s="1"/>
  <c r="S149" i="13"/>
  <c r="T149" i="13" s="1"/>
  <c r="V149" i="13" s="1"/>
  <c r="S148" i="13"/>
  <c r="T148" i="13" s="1"/>
  <c r="V148" i="13" s="1"/>
  <c r="S147" i="13"/>
  <c r="U147" i="13" s="1"/>
  <c r="AD147" i="13" s="1"/>
  <c r="S146" i="13"/>
  <c r="S145" i="13"/>
  <c r="T145" i="13" s="1"/>
  <c r="V145" i="13" s="1"/>
  <c r="AE145" i="13" s="1"/>
  <c r="S144" i="13"/>
  <c r="U144" i="13" s="1"/>
  <c r="AD144" i="13" s="1"/>
  <c r="S143" i="13"/>
  <c r="T143" i="13" s="1"/>
  <c r="V143" i="13" s="1"/>
  <c r="S142" i="13"/>
  <c r="U142" i="13" s="1"/>
  <c r="AD142" i="13" s="1"/>
  <c r="S141" i="13"/>
  <c r="T141" i="13" s="1"/>
  <c r="V141" i="13" s="1"/>
  <c r="AE141" i="13" s="1"/>
  <c r="S140" i="13"/>
  <c r="U140" i="13" s="1"/>
  <c r="AD140" i="13" s="1"/>
  <c r="S139" i="13"/>
  <c r="S138" i="13"/>
  <c r="U138" i="13" s="1"/>
  <c r="AD138" i="13" s="1"/>
  <c r="S137" i="13"/>
  <c r="S136" i="13"/>
  <c r="T136" i="13" s="1"/>
  <c r="V136" i="13" s="1"/>
  <c r="W136" i="13" s="1"/>
  <c r="S135" i="13"/>
  <c r="U135" i="13" s="1"/>
  <c r="AD135" i="13" s="1"/>
  <c r="S134" i="13"/>
  <c r="S133" i="13"/>
  <c r="S132" i="13"/>
  <c r="U132" i="13" s="1"/>
  <c r="AD132" i="13" s="1"/>
  <c r="S131" i="13"/>
  <c r="S130" i="13"/>
  <c r="T130" i="13" s="1"/>
  <c r="S129" i="13"/>
  <c r="U129" i="13" s="1"/>
  <c r="AD129" i="13" s="1"/>
  <c r="S128" i="13"/>
  <c r="U128" i="13" s="1"/>
  <c r="AD128" i="13" s="1"/>
  <c r="S127" i="13"/>
  <c r="T127" i="13" s="1"/>
  <c r="S126" i="13"/>
  <c r="U126" i="13" s="1"/>
  <c r="AD126" i="13" s="1"/>
  <c r="S125" i="13"/>
  <c r="T125" i="13" s="1"/>
  <c r="S124" i="13"/>
  <c r="U124" i="13" s="1"/>
  <c r="AD124" i="13" s="1"/>
  <c r="S123" i="13"/>
  <c r="S122" i="13"/>
  <c r="T122" i="13" s="1"/>
  <c r="S121" i="13"/>
  <c r="U121" i="13" s="1"/>
  <c r="AD121" i="13" s="1"/>
  <c r="S120" i="13"/>
  <c r="U120" i="13" s="1"/>
  <c r="AD120" i="13" s="1"/>
  <c r="S119" i="13"/>
  <c r="T119" i="13" s="1"/>
  <c r="S118" i="13"/>
  <c r="U118" i="13" s="1"/>
  <c r="AD118" i="13" s="1"/>
  <c r="S117" i="13"/>
  <c r="T117" i="13" s="1"/>
  <c r="S116" i="13"/>
  <c r="U116" i="13" s="1"/>
  <c r="AD116" i="13" s="1"/>
  <c r="S115" i="13"/>
  <c r="T115" i="13" s="1"/>
  <c r="S114" i="13"/>
  <c r="U114" i="13" s="1"/>
  <c r="AD114" i="13" s="1"/>
  <c r="S113" i="13"/>
  <c r="S112" i="13"/>
  <c r="U112" i="13" s="1"/>
  <c r="AD112" i="13" s="1"/>
  <c r="S111" i="13"/>
  <c r="U111" i="13" s="1"/>
  <c r="AD111" i="13" s="1"/>
  <c r="S110" i="13"/>
  <c r="S109" i="13"/>
  <c r="U109" i="13" s="1"/>
  <c r="AD109" i="13" s="1"/>
  <c r="S108" i="13"/>
  <c r="S107" i="13"/>
  <c r="S106" i="13"/>
  <c r="U106" i="13" s="1"/>
  <c r="AD106" i="13" s="1"/>
  <c r="S105" i="13"/>
  <c r="S104" i="13"/>
  <c r="T104" i="13" s="1"/>
  <c r="S103" i="13"/>
  <c r="U103" i="13" s="1"/>
  <c r="AD103" i="13" s="1"/>
  <c r="S102" i="13"/>
  <c r="S101" i="13"/>
  <c r="S100" i="13"/>
  <c r="U100" i="13" s="1"/>
  <c r="AD100" i="13" s="1"/>
  <c r="S99" i="13"/>
  <c r="U99" i="13" s="1"/>
  <c r="AD99" i="13" s="1"/>
  <c r="S98" i="13"/>
  <c r="U98" i="13" s="1"/>
  <c r="AD98" i="13" s="1"/>
  <c r="S97" i="13"/>
  <c r="U97" i="13" s="1"/>
  <c r="AD97" i="13" s="1"/>
  <c r="S96" i="13"/>
  <c r="U96" i="13" s="1"/>
  <c r="AD96" i="13" s="1"/>
  <c r="S95" i="13"/>
  <c r="S94" i="13"/>
  <c r="T94" i="13" s="1"/>
  <c r="S93" i="13"/>
  <c r="T93" i="13" s="1"/>
  <c r="S92" i="13"/>
  <c r="S91" i="13"/>
  <c r="U91" i="13" s="1"/>
  <c r="AD91" i="13" s="1"/>
  <c r="S90" i="13"/>
  <c r="S89" i="13"/>
  <c r="S88" i="13"/>
  <c r="T88" i="13" s="1"/>
  <c r="S87" i="13"/>
  <c r="U87" i="13" s="1"/>
  <c r="AD87" i="13" s="1"/>
  <c r="S86" i="13"/>
  <c r="S85" i="13"/>
  <c r="T85" i="13" s="1"/>
  <c r="S84" i="13"/>
  <c r="S83" i="13"/>
  <c r="U83" i="13" s="1"/>
  <c r="AD83" i="13" s="1"/>
  <c r="S82" i="13"/>
  <c r="T82" i="13" s="1"/>
  <c r="S81" i="13"/>
  <c r="T81" i="13" s="1"/>
  <c r="S80" i="13"/>
  <c r="T80" i="13" s="1"/>
  <c r="V80" i="13" s="1"/>
  <c r="AE80" i="13" s="1"/>
  <c r="S79" i="13"/>
  <c r="U79" i="13" s="1"/>
  <c r="AD79" i="13" s="1"/>
  <c r="S78" i="13"/>
  <c r="U78" i="13" s="1"/>
  <c r="AD78" i="13" s="1"/>
  <c r="S77" i="13"/>
  <c r="U77" i="13" s="1"/>
  <c r="AD77" i="13" s="1"/>
  <c r="S76" i="13"/>
  <c r="T76" i="13" s="1"/>
  <c r="S75" i="13"/>
  <c r="U75" i="13" s="1"/>
  <c r="AD75" i="13" s="1"/>
  <c r="S74" i="13"/>
  <c r="U74" i="13" s="1"/>
  <c r="AD74" i="13" s="1"/>
  <c r="S73" i="13"/>
  <c r="T73" i="13" s="1"/>
  <c r="S72" i="13"/>
  <c r="U72" i="13" s="1"/>
  <c r="AD72" i="13" s="1"/>
  <c r="S71" i="13"/>
  <c r="U71" i="13" s="1"/>
  <c r="AD71" i="13" s="1"/>
  <c r="S70" i="13"/>
  <c r="T70" i="13" s="1"/>
  <c r="S69" i="13"/>
  <c r="U69" i="13" s="1"/>
  <c r="AD69" i="13" s="1"/>
  <c r="S68" i="13"/>
  <c r="S67" i="13"/>
  <c r="U67" i="13" s="1"/>
  <c r="AD67" i="13" s="1"/>
  <c r="S66" i="13"/>
  <c r="S65" i="13"/>
  <c r="U65" i="13" s="1"/>
  <c r="AD65" i="13" s="1"/>
  <c r="S64" i="13"/>
  <c r="T64" i="13" s="1"/>
  <c r="S63" i="13"/>
  <c r="U63" i="13" s="1"/>
  <c r="AD63" i="13" s="1"/>
  <c r="S62" i="13"/>
  <c r="U62" i="13" s="1"/>
  <c r="AD62" i="13" s="1"/>
  <c r="S61" i="13"/>
  <c r="U61" i="13" s="1"/>
  <c r="AD61" i="13" s="1"/>
  <c r="S60" i="13"/>
  <c r="U60" i="13" s="1"/>
  <c r="AD60" i="13" s="1"/>
  <c r="S59" i="13"/>
  <c r="U59" i="13" s="1"/>
  <c r="AD59" i="13" s="1"/>
  <c r="S58" i="13"/>
  <c r="T58" i="13" s="1"/>
  <c r="V58" i="13" s="1"/>
  <c r="W58" i="13" s="1"/>
  <c r="AF58" i="13" s="1"/>
  <c r="S57" i="13"/>
  <c r="U57" i="13" s="1"/>
  <c r="AD57" i="13" s="1"/>
  <c r="S56" i="13"/>
  <c r="U56" i="13" s="1"/>
  <c r="AD56" i="13" s="1"/>
  <c r="S55" i="13"/>
  <c r="S54" i="13"/>
  <c r="T54" i="13" s="1"/>
  <c r="S53" i="13"/>
  <c r="U53" i="13" s="1"/>
  <c r="AD53" i="13" s="1"/>
  <c r="S52" i="13"/>
  <c r="T52" i="13" s="1"/>
  <c r="S51" i="13"/>
  <c r="U51" i="13" s="1"/>
  <c r="AD51" i="13" s="1"/>
  <c r="S50" i="13"/>
  <c r="U50" i="13" s="1"/>
  <c r="AD50" i="13" s="1"/>
  <c r="S49" i="13"/>
  <c r="S48" i="13"/>
  <c r="T48" i="13" s="1"/>
  <c r="S47" i="13"/>
  <c r="T47" i="13" s="1"/>
  <c r="S46" i="13"/>
  <c r="T46" i="13" s="1"/>
  <c r="S45" i="13"/>
  <c r="T45" i="13" s="1"/>
  <c r="S44" i="13"/>
  <c r="U44" i="13" s="1"/>
  <c r="AD44" i="13" s="1"/>
  <c r="S43" i="13"/>
  <c r="S42" i="13"/>
  <c r="T42" i="13" s="1"/>
  <c r="S41" i="13"/>
  <c r="T41" i="13" s="1"/>
  <c r="S40" i="13"/>
  <c r="U40" i="13" s="1"/>
  <c r="AD40" i="13" s="1"/>
  <c r="S39" i="13"/>
  <c r="U39" i="13" s="1"/>
  <c r="AD39" i="13" s="1"/>
  <c r="S38" i="13"/>
  <c r="U38" i="13" s="1"/>
  <c r="AD38" i="13" s="1"/>
  <c r="S37" i="13"/>
  <c r="U37" i="13" s="1"/>
  <c r="AD37" i="13" s="1"/>
  <c r="S36" i="13"/>
  <c r="U36" i="13" s="1"/>
  <c r="AD36" i="13" s="1"/>
  <c r="S35" i="13"/>
  <c r="T35" i="13" s="1"/>
  <c r="S34" i="13"/>
  <c r="U34" i="13" s="1"/>
  <c r="AD34" i="13" s="1"/>
  <c r="S33" i="13"/>
  <c r="T33" i="13" s="1"/>
  <c r="V33" i="13" s="1"/>
  <c r="S32" i="13"/>
  <c r="U32" i="13" s="1"/>
  <c r="AD32" i="13" s="1"/>
  <c r="S31" i="13"/>
  <c r="U31" i="13" s="1"/>
  <c r="AD31" i="13" s="1"/>
  <c r="S30" i="13"/>
  <c r="U30" i="13" s="1"/>
  <c r="AD30" i="13" s="1"/>
  <c r="S29" i="13"/>
  <c r="T29" i="13" s="1"/>
  <c r="S28" i="13"/>
  <c r="U28" i="13" s="1"/>
  <c r="AD28" i="13" s="1"/>
  <c r="S27" i="13"/>
  <c r="T27" i="13" s="1"/>
  <c r="S26" i="13"/>
  <c r="U26" i="13" s="1"/>
  <c r="AD26" i="13" s="1"/>
  <c r="S25" i="13"/>
  <c r="U25" i="13" s="1"/>
  <c r="AD25" i="13" s="1"/>
  <c r="S24" i="13"/>
  <c r="U24" i="13" s="1"/>
  <c r="AD24" i="13" s="1"/>
  <c r="S23" i="13"/>
  <c r="U23" i="13" s="1"/>
  <c r="AD23" i="13" s="1"/>
  <c r="S22" i="13"/>
  <c r="U22" i="13" s="1"/>
  <c r="AD22" i="13" s="1"/>
  <c r="S21" i="13"/>
  <c r="T21" i="13" s="1"/>
  <c r="V21" i="13" s="1"/>
  <c r="S20" i="13"/>
  <c r="U20" i="13" s="1"/>
  <c r="AD20" i="13" s="1"/>
  <c r="S19" i="13"/>
  <c r="U19" i="13" s="1"/>
  <c r="AD19" i="13" s="1"/>
  <c r="S18" i="13"/>
  <c r="U18" i="13" s="1"/>
  <c r="AD18" i="13" s="1"/>
  <c r="S17" i="13"/>
  <c r="U17" i="13" s="1"/>
  <c r="AD17" i="13" s="1"/>
  <c r="S16" i="13"/>
  <c r="U16" i="13" s="1"/>
  <c r="AD16" i="13" s="1"/>
  <c r="S15" i="13"/>
  <c r="T15" i="13" s="1"/>
  <c r="S14" i="13"/>
  <c r="U14" i="13" s="1"/>
  <c r="AD14" i="13" s="1"/>
  <c r="S13" i="13"/>
  <c r="U13" i="13" s="1"/>
  <c r="AD13" i="13" s="1"/>
  <c r="S12" i="13"/>
  <c r="U12" i="13" s="1"/>
  <c r="AD12" i="13" s="1"/>
  <c r="S11" i="13"/>
  <c r="U11" i="13" s="1"/>
  <c r="AD11" i="13" s="1"/>
  <c r="S10" i="13"/>
  <c r="U10" i="13" s="1"/>
  <c r="AD10" i="13" s="1"/>
  <c r="S9" i="13"/>
  <c r="T9" i="13" s="1"/>
  <c r="S8" i="13"/>
  <c r="U8" i="13" s="1"/>
  <c r="AD8" i="13" s="1"/>
  <c r="S7" i="13"/>
  <c r="U7" i="13" s="1"/>
  <c r="AD7" i="13" s="1"/>
  <c r="S6" i="13"/>
  <c r="U6" i="13" s="1"/>
  <c r="AD6" i="13" s="1"/>
  <c r="B21" i="32"/>
  <c r="T60" i="13" l="1"/>
  <c r="T279" i="13"/>
  <c r="V279" i="13" s="1"/>
  <c r="AE279" i="13" s="1"/>
  <c r="T18" i="13"/>
  <c r="V18" i="13" s="1"/>
  <c r="W18" i="13" s="1"/>
  <c r="AF18" i="13" s="1"/>
  <c r="T26" i="13"/>
  <c r="V26" i="13" s="1"/>
  <c r="AE26" i="13" s="1"/>
  <c r="U224" i="13"/>
  <c r="AD224" i="13" s="1"/>
  <c r="T235" i="13"/>
  <c r="V235" i="13" s="1"/>
  <c r="T258" i="13"/>
  <c r="V258" i="13" s="1"/>
  <c r="W258" i="13" s="1"/>
  <c r="AF258" i="13" s="1"/>
  <c r="T72" i="13"/>
  <c r="V72" i="13" s="1"/>
  <c r="AE72" i="13" s="1"/>
  <c r="T91" i="13"/>
  <c r="V91" i="13" s="1"/>
  <c r="W91" i="13" s="1"/>
  <c r="AF91" i="13" s="1"/>
  <c r="T262" i="13"/>
  <c r="V262" i="13" s="1"/>
  <c r="W262" i="13" s="1"/>
  <c r="AF262" i="13" s="1"/>
  <c r="T203" i="13"/>
  <c r="V203" i="13" s="1"/>
  <c r="W203" i="13" s="1"/>
  <c r="AF203" i="13" s="1"/>
  <c r="T112" i="13"/>
  <c r="V112" i="13" s="1"/>
  <c r="AE112" i="13" s="1"/>
  <c r="T211" i="13"/>
  <c r="V211" i="13" s="1"/>
  <c r="AE211" i="13" s="1"/>
  <c r="U242" i="13"/>
  <c r="AD242" i="13" s="1"/>
  <c r="T67" i="13"/>
  <c r="V67" i="13" s="1"/>
  <c r="T118" i="13"/>
  <c r="V118" i="13" s="1"/>
  <c r="W118" i="13" s="1"/>
  <c r="AF118" i="13" s="1"/>
  <c r="T185" i="13"/>
  <c r="V185" i="13" s="1"/>
  <c r="AE185" i="13" s="1"/>
  <c r="U47" i="13"/>
  <c r="AD47" i="13" s="1"/>
  <c r="U268" i="13"/>
  <c r="AD268" i="13" s="1"/>
  <c r="U275" i="13"/>
  <c r="AD275" i="13" s="1"/>
  <c r="U85" i="13"/>
  <c r="AD85" i="13" s="1"/>
  <c r="U115" i="13"/>
  <c r="AD115" i="13" s="1"/>
  <c r="U130" i="13"/>
  <c r="AD130" i="13" s="1"/>
  <c r="U141" i="13"/>
  <c r="AD141" i="13" s="1"/>
  <c r="T238" i="13"/>
  <c r="V238" i="13" s="1"/>
  <c r="AE238" i="13" s="1"/>
  <c r="T252" i="13"/>
  <c r="V252" i="13" s="1"/>
  <c r="AE252" i="13" s="1"/>
  <c r="U271" i="13"/>
  <c r="AD271" i="13" s="1"/>
  <c r="U166" i="13"/>
  <c r="AD166" i="13" s="1"/>
  <c r="U171" i="13"/>
  <c r="AD171" i="13" s="1"/>
  <c r="T199" i="13"/>
  <c r="V199" i="13" s="1"/>
  <c r="W199" i="13" s="1"/>
  <c r="AF199" i="13" s="1"/>
  <c r="T214" i="13"/>
  <c r="V214" i="13" s="1"/>
  <c r="T30" i="13"/>
  <c r="V30" i="13" s="1"/>
  <c r="W30" i="13" s="1"/>
  <c r="AF30" i="13" s="1"/>
  <c r="U35" i="13"/>
  <c r="AD35" i="13" s="1"/>
  <c r="T51" i="13"/>
  <c r="V51" i="13" s="1"/>
  <c r="W51" i="13" s="1"/>
  <c r="AF51" i="13" s="1"/>
  <c r="U104" i="13"/>
  <c r="AD104" i="13" s="1"/>
  <c r="T109" i="13"/>
  <c r="V109" i="13" s="1"/>
  <c r="AE109" i="13" s="1"/>
  <c r="U122" i="13"/>
  <c r="AD122" i="13" s="1"/>
  <c r="T251" i="13"/>
  <c r="V251" i="13" s="1"/>
  <c r="W251" i="13" s="1"/>
  <c r="AF251" i="13" s="1"/>
  <c r="U283" i="13"/>
  <c r="AD283" i="13" s="1"/>
  <c r="T288" i="13"/>
  <c r="V288" i="13" s="1"/>
  <c r="W288" i="13" s="1"/>
  <c r="AF288" i="13" s="1"/>
  <c r="U154" i="13"/>
  <c r="AD154" i="13" s="1"/>
  <c r="U172" i="13"/>
  <c r="AD172" i="13" s="1"/>
  <c r="U208" i="13"/>
  <c r="AD208" i="13" s="1"/>
  <c r="T220" i="13"/>
  <c r="V220" i="13" s="1"/>
  <c r="T232" i="13"/>
  <c r="V232" i="13" s="1"/>
  <c r="AE232" i="13" s="1"/>
  <c r="U276" i="13"/>
  <c r="AD276" i="13" s="1"/>
  <c r="T294" i="13"/>
  <c r="V294" i="13" s="1"/>
  <c r="AE294" i="13" s="1"/>
  <c r="T97" i="13"/>
  <c r="V97" i="13" s="1"/>
  <c r="AE97" i="13" s="1"/>
  <c r="T100" i="13"/>
  <c r="V100" i="13" s="1"/>
  <c r="W100" i="13" s="1"/>
  <c r="AF100" i="13" s="1"/>
  <c r="U41" i="13"/>
  <c r="AD41" i="13" s="1"/>
  <c r="U45" i="13"/>
  <c r="AD45" i="13" s="1"/>
  <c r="U48" i="13"/>
  <c r="AD48" i="13" s="1"/>
  <c r="T78" i="13"/>
  <c r="V78" i="13" s="1"/>
  <c r="AE78" i="13" s="1"/>
  <c r="T128" i="13"/>
  <c r="V128" i="13" s="1"/>
  <c r="W128" i="13" s="1"/>
  <c r="AF128" i="13" s="1"/>
  <c r="T111" i="13"/>
  <c r="V111" i="13" s="1"/>
  <c r="T196" i="13"/>
  <c r="V196" i="13" s="1"/>
  <c r="AE196" i="13" s="1"/>
  <c r="T98" i="13"/>
  <c r="V98" i="13" s="1"/>
  <c r="W98" i="13" s="1"/>
  <c r="AF98" i="13" s="1"/>
  <c r="T114" i="13"/>
  <c r="V114" i="13" s="1"/>
  <c r="W114" i="13" s="1"/>
  <c r="AF114" i="13" s="1"/>
  <c r="U117" i="13"/>
  <c r="AD117" i="13" s="1"/>
  <c r="T121" i="13"/>
  <c r="V121" i="13" s="1"/>
  <c r="AE121" i="13" s="1"/>
  <c r="T129" i="13"/>
  <c r="V129" i="13" s="1"/>
  <c r="AE129" i="13" s="1"/>
  <c r="U136" i="13"/>
  <c r="AD136" i="13" s="1"/>
  <c r="U148" i="13"/>
  <c r="AD148" i="13" s="1"/>
  <c r="T188" i="13"/>
  <c r="V188" i="13" s="1"/>
  <c r="AE188" i="13" s="1"/>
  <c r="T205" i="13"/>
  <c r="V205" i="13" s="1"/>
  <c r="W205" i="13" s="1"/>
  <c r="AF205" i="13" s="1"/>
  <c r="T209" i="13"/>
  <c r="V209" i="13" s="1"/>
  <c r="W209" i="13" s="1"/>
  <c r="AF209" i="13" s="1"/>
  <c r="U213" i="13"/>
  <c r="AD213" i="13" s="1"/>
  <c r="T237" i="13"/>
  <c r="V237" i="13" s="1"/>
  <c r="AE237" i="13" s="1"/>
  <c r="T241" i="13"/>
  <c r="V241" i="13" s="1"/>
  <c r="AE241" i="13" s="1"/>
  <c r="U244" i="13"/>
  <c r="AD244" i="13" s="1"/>
  <c r="U257" i="13"/>
  <c r="AD257" i="13" s="1"/>
  <c r="T270" i="13"/>
  <c r="V270" i="13" s="1"/>
  <c r="AE270" i="13" s="1"/>
  <c r="T277" i="13"/>
  <c r="V277" i="13" s="1"/>
  <c r="W277" i="13" s="1"/>
  <c r="AF277" i="13" s="1"/>
  <c r="T286" i="13"/>
  <c r="V286" i="13" s="1"/>
  <c r="U295" i="13"/>
  <c r="AD295" i="13" s="1"/>
  <c r="T14" i="13"/>
  <c r="V14" i="13" s="1"/>
  <c r="W14" i="13" s="1"/>
  <c r="AF14" i="13" s="1"/>
  <c r="U64" i="13"/>
  <c r="AD64" i="13" s="1"/>
  <c r="T135" i="13"/>
  <c r="V135" i="13" s="1"/>
  <c r="AE135" i="13" s="1"/>
  <c r="T138" i="13"/>
  <c r="V138" i="13" s="1"/>
  <c r="W138" i="13" s="1"/>
  <c r="AF138" i="13" s="1"/>
  <c r="T150" i="13"/>
  <c r="V150" i="13" s="1"/>
  <c r="AE150" i="13" s="1"/>
  <c r="T24" i="13"/>
  <c r="V24" i="13" s="1"/>
  <c r="T142" i="13"/>
  <c r="V142" i="13" s="1"/>
  <c r="W142" i="13" s="1"/>
  <c r="AF142" i="13" s="1"/>
  <c r="U191" i="13"/>
  <c r="AD191" i="13" s="1"/>
  <c r="T12" i="13"/>
  <c r="V12" i="13" s="1"/>
  <c r="W12" i="13" s="1"/>
  <c r="AF12" i="13" s="1"/>
  <c r="T20" i="13"/>
  <c r="V20" i="13" s="1"/>
  <c r="W20" i="13" s="1"/>
  <c r="AF20" i="13" s="1"/>
  <c r="T28" i="13"/>
  <c r="V28" i="13" s="1"/>
  <c r="T53" i="13"/>
  <c r="V53" i="13" s="1"/>
  <c r="W53" i="13" s="1"/>
  <c r="AF53" i="13" s="1"/>
  <c r="T65" i="13"/>
  <c r="V65" i="13" s="1"/>
  <c r="AE65" i="13" s="1"/>
  <c r="T74" i="13"/>
  <c r="V74" i="13" s="1"/>
  <c r="W74" i="13" s="1"/>
  <c r="AF74" i="13" s="1"/>
  <c r="T132" i="13"/>
  <c r="V132" i="13" s="1"/>
  <c r="AE132" i="13" s="1"/>
  <c r="T159" i="13"/>
  <c r="V159" i="13" s="1"/>
  <c r="W159" i="13" s="1"/>
  <c r="AF159" i="13" s="1"/>
  <c r="T225" i="13"/>
  <c r="V225" i="13" s="1"/>
  <c r="W225" i="13" s="1"/>
  <c r="AF225" i="13" s="1"/>
  <c r="T229" i="13"/>
  <c r="V229" i="13" s="1"/>
  <c r="AE229" i="13" s="1"/>
  <c r="T8" i="13"/>
  <c r="V8" i="13" s="1"/>
  <c r="W8" i="13" s="1"/>
  <c r="AF8" i="13" s="1"/>
  <c r="T62" i="13"/>
  <c r="V62" i="13" s="1"/>
  <c r="V35" i="13"/>
  <c r="W35" i="13" s="1"/>
  <c r="AF35" i="13" s="1"/>
  <c r="U54" i="13"/>
  <c r="AD54" i="13" s="1"/>
  <c r="V104" i="13"/>
  <c r="W104" i="13" s="1"/>
  <c r="AF104" i="13" s="1"/>
  <c r="T126" i="13"/>
  <c r="V126" i="13" s="1"/>
  <c r="W126" i="13" s="1"/>
  <c r="AF126" i="13" s="1"/>
  <c r="T144" i="13"/>
  <c r="V144" i="13" s="1"/>
  <c r="W144" i="13" s="1"/>
  <c r="AF144" i="13" s="1"/>
  <c r="U153" i="13"/>
  <c r="AD153" i="13" s="1"/>
  <c r="T156" i="13"/>
  <c r="V156" i="13" s="1"/>
  <c r="AE156" i="13" s="1"/>
  <c r="T160" i="13"/>
  <c r="V160" i="13" s="1"/>
  <c r="W160" i="13" s="1"/>
  <c r="AF160" i="13" s="1"/>
  <c r="T174" i="13"/>
  <c r="V174" i="13" s="1"/>
  <c r="W174" i="13" s="1"/>
  <c r="AF174" i="13" s="1"/>
  <c r="U179" i="13"/>
  <c r="AD179" i="13" s="1"/>
  <c r="T193" i="13"/>
  <c r="V193" i="13" s="1"/>
  <c r="AE193" i="13" s="1"/>
  <c r="T202" i="13"/>
  <c r="V202" i="13" s="1"/>
  <c r="AE202" i="13" s="1"/>
  <c r="U218" i="13"/>
  <c r="AD218" i="13" s="1"/>
  <c r="T226" i="13"/>
  <c r="V226" i="13" s="1"/>
  <c r="AE226" i="13" s="1"/>
  <c r="U230" i="13"/>
  <c r="AD230" i="13" s="1"/>
  <c r="U253" i="13"/>
  <c r="AD253" i="13" s="1"/>
  <c r="U301" i="13"/>
  <c r="AD301" i="13" s="1"/>
  <c r="AF257" i="13"/>
  <c r="V60" i="13"/>
  <c r="AE60" i="13" s="1"/>
  <c r="AF224" i="13"/>
  <c r="U165" i="13"/>
  <c r="AD165" i="13" s="1"/>
  <c r="T165" i="13"/>
  <c r="U176" i="13"/>
  <c r="AD176" i="13" s="1"/>
  <c r="T176" i="13"/>
  <c r="U190" i="13"/>
  <c r="AD190" i="13" s="1"/>
  <c r="T190" i="13"/>
  <c r="U264" i="13"/>
  <c r="AD264" i="13" s="1"/>
  <c r="T264" i="13"/>
  <c r="U300" i="13"/>
  <c r="AD300" i="13" s="1"/>
  <c r="T300" i="13"/>
  <c r="T6" i="13"/>
  <c r="V6" i="13" s="1"/>
  <c r="W6" i="13" s="1"/>
  <c r="AF6" i="13" s="1"/>
  <c r="T39" i="13"/>
  <c r="V39" i="13" s="1"/>
  <c r="W39" i="13" s="1"/>
  <c r="AF39" i="13" s="1"/>
  <c r="T57" i="13"/>
  <c r="V57" i="13" s="1"/>
  <c r="AE57" i="13" s="1"/>
  <c r="T106" i="13"/>
  <c r="V106" i="13" s="1"/>
  <c r="AE106" i="13" s="1"/>
  <c r="T124" i="13"/>
  <c r="V124" i="13" s="1"/>
  <c r="W124" i="13" s="1"/>
  <c r="AF124" i="13" s="1"/>
  <c r="T151" i="13"/>
  <c r="U151" i="13"/>
  <c r="AD151" i="13" s="1"/>
  <c r="U184" i="13"/>
  <c r="AD184" i="13" s="1"/>
  <c r="T184" i="13"/>
  <c r="V184" i="13" s="1"/>
  <c r="W184" i="13" s="1"/>
  <c r="AF184" i="13" s="1"/>
  <c r="U197" i="13"/>
  <c r="AD197" i="13" s="1"/>
  <c r="T197" i="13"/>
  <c r="U246" i="13"/>
  <c r="AD246" i="13" s="1"/>
  <c r="T246" i="13"/>
  <c r="T250" i="13"/>
  <c r="U250" i="13"/>
  <c r="AD250" i="13" s="1"/>
  <c r="U273" i="13"/>
  <c r="AD273" i="13" s="1"/>
  <c r="T273" i="13"/>
  <c r="T10" i="13"/>
  <c r="V10" i="13" s="1"/>
  <c r="W10" i="13" s="1"/>
  <c r="AF10" i="13" s="1"/>
  <c r="U9" i="13"/>
  <c r="AD9" i="13" s="1"/>
  <c r="U21" i="13"/>
  <c r="AD21" i="13" s="1"/>
  <c r="T22" i="13"/>
  <c r="V22" i="13" s="1"/>
  <c r="AE22" i="13" s="1"/>
  <c r="U29" i="13"/>
  <c r="AD29" i="13" s="1"/>
  <c r="T34" i="13"/>
  <c r="V34" i="13" s="1"/>
  <c r="W34" i="13" s="1"/>
  <c r="AF34" i="13" s="1"/>
  <c r="T38" i="13"/>
  <c r="V38" i="13" s="1"/>
  <c r="U52" i="13"/>
  <c r="AD52" i="13" s="1"/>
  <c r="T63" i="13"/>
  <c r="V63" i="13" s="1"/>
  <c r="AE63" i="13" s="1"/>
  <c r="U73" i="13"/>
  <c r="AD73" i="13" s="1"/>
  <c r="T75" i="13"/>
  <c r="V75" i="13" s="1"/>
  <c r="W75" i="13" s="1"/>
  <c r="AF75" i="13" s="1"/>
  <c r="U81" i="13"/>
  <c r="AD81" i="13" s="1"/>
  <c r="U94" i="13"/>
  <c r="AD94" i="13" s="1"/>
  <c r="U33" i="13"/>
  <c r="AD33" i="13" s="1"/>
  <c r="T56" i="13"/>
  <c r="V56" i="13" s="1"/>
  <c r="W56" i="13" s="1"/>
  <c r="AF56" i="13" s="1"/>
  <c r="T79" i="13"/>
  <c r="V79" i="13" s="1"/>
  <c r="AE79" i="13" s="1"/>
  <c r="U80" i="13"/>
  <c r="AD80" i="13" s="1"/>
  <c r="T92" i="13"/>
  <c r="U92" i="13"/>
  <c r="AD92" i="13" s="1"/>
  <c r="U93" i="13"/>
  <c r="AD93" i="13" s="1"/>
  <c r="T96" i="13"/>
  <c r="V96" i="13" s="1"/>
  <c r="W96" i="13" s="1"/>
  <c r="AF96" i="13" s="1"/>
  <c r="U105" i="13"/>
  <c r="AD105" i="13" s="1"/>
  <c r="T105" i="13"/>
  <c r="U123" i="13"/>
  <c r="AD123" i="13" s="1"/>
  <c r="T123" i="13"/>
  <c r="U178" i="13"/>
  <c r="AD178" i="13" s="1"/>
  <c r="T178" i="13"/>
  <c r="T265" i="13"/>
  <c r="U265" i="13"/>
  <c r="AD265" i="13" s="1"/>
  <c r="U292" i="13"/>
  <c r="AD292" i="13" s="1"/>
  <c r="T292" i="13"/>
  <c r="U15" i="13"/>
  <c r="AD15" i="13" s="1"/>
  <c r="T16" i="13"/>
  <c r="V16" i="13" s="1"/>
  <c r="AE16" i="13" s="1"/>
  <c r="U27" i="13"/>
  <c r="AD27" i="13" s="1"/>
  <c r="T32" i="13"/>
  <c r="V32" i="13" s="1"/>
  <c r="W32" i="13" s="1"/>
  <c r="AF32" i="13" s="1"/>
  <c r="T36" i="13"/>
  <c r="V36" i="13" s="1"/>
  <c r="W36" i="13" s="1"/>
  <c r="AF36" i="13" s="1"/>
  <c r="U42" i="13"/>
  <c r="AD42" i="13" s="1"/>
  <c r="U46" i="13"/>
  <c r="AD46" i="13" s="1"/>
  <c r="T59" i="13"/>
  <c r="V59" i="13" s="1"/>
  <c r="W59" i="13" s="1"/>
  <c r="AF59" i="13" s="1"/>
  <c r="T69" i="13"/>
  <c r="V69" i="13" s="1"/>
  <c r="W69" i="13" s="1"/>
  <c r="AF69" i="13" s="1"/>
  <c r="U70" i="13"/>
  <c r="AD70" i="13" s="1"/>
  <c r="T77" i="13"/>
  <c r="V77" i="13" s="1"/>
  <c r="W77" i="13" s="1"/>
  <c r="AF77" i="13" s="1"/>
  <c r="T83" i="13"/>
  <c r="V83" i="13" s="1"/>
  <c r="AE83" i="13" s="1"/>
  <c r="T99" i="13"/>
  <c r="V99" i="13" s="1"/>
  <c r="AE99" i="13" s="1"/>
  <c r="T131" i="13"/>
  <c r="U131" i="13"/>
  <c r="AD131" i="13" s="1"/>
  <c r="U183" i="13"/>
  <c r="AD183" i="13" s="1"/>
  <c r="T247" i="13"/>
  <c r="U247" i="13"/>
  <c r="AD247" i="13" s="1"/>
  <c r="U282" i="13"/>
  <c r="AD282" i="13" s="1"/>
  <c r="T282" i="13"/>
  <c r="U228" i="13"/>
  <c r="AD228" i="13" s="1"/>
  <c r="T228" i="13"/>
  <c r="V228" i="13" s="1"/>
  <c r="W228" i="13" s="1"/>
  <c r="AF228" i="13" s="1"/>
  <c r="U88" i="13"/>
  <c r="AD88" i="13" s="1"/>
  <c r="T110" i="13"/>
  <c r="U110" i="13"/>
  <c r="AD110" i="13" s="1"/>
  <c r="AE163" i="13"/>
  <c r="W163" i="13"/>
  <c r="AF163" i="13" s="1"/>
  <c r="U168" i="13"/>
  <c r="AD168" i="13" s="1"/>
  <c r="T168" i="13"/>
  <c r="U182" i="13"/>
  <c r="AD182" i="13" s="1"/>
  <c r="T182" i="13"/>
  <c r="T219" i="13"/>
  <c r="V219" i="13" s="1"/>
  <c r="W219" i="13" s="1"/>
  <c r="AF219" i="13" s="1"/>
  <c r="T223" i="13"/>
  <c r="V223" i="13" s="1"/>
  <c r="T231" i="13"/>
  <c r="V231" i="13" s="1"/>
  <c r="W231" i="13" s="1"/>
  <c r="AF231" i="13" s="1"/>
  <c r="U236" i="13"/>
  <c r="AD236" i="13" s="1"/>
  <c r="T243" i="13"/>
  <c r="V243" i="13" s="1"/>
  <c r="AE243" i="13" s="1"/>
  <c r="T255" i="13"/>
  <c r="V255" i="13" s="1"/>
  <c r="AE255" i="13" s="1"/>
  <c r="U259" i="13"/>
  <c r="AD259" i="13" s="1"/>
  <c r="T269" i="13"/>
  <c r="V269" i="13" s="1"/>
  <c r="W269" i="13" s="1"/>
  <c r="AF269" i="13" s="1"/>
  <c r="U287" i="13"/>
  <c r="AD287" i="13" s="1"/>
  <c r="T162" i="13"/>
  <c r="V162" i="13" s="1"/>
  <c r="W162" i="13" s="1"/>
  <c r="AF162" i="13" s="1"/>
  <c r="U177" i="13"/>
  <c r="AD177" i="13" s="1"/>
  <c r="T217" i="13"/>
  <c r="V217" i="13" s="1"/>
  <c r="AE217" i="13" s="1"/>
  <c r="U233" i="13"/>
  <c r="AD233" i="13" s="1"/>
  <c r="T245" i="13"/>
  <c r="V245" i="13" s="1"/>
  <c r="W245" i="13" s="1"/>
  <c r="AF245" i="13" s="1"/>
  <c r="U281" i="13"/>
  <c r="AD281" i="13" s="1"/>
  <c r="U289" i="13"/>
  <c r="AD289" i="13" s="1"/>
  <c r="W145" i="13"/>
  <c r="AF145" i="13" s="1"/>
  <c r="AE257" i="13"/>
  <c r="W171" i="13"/>
  <c r="AF171" i="13" s="1"/>
  <c r="W206" i="13"/>
  <c r="AF206" i="13" s="1"/>
  <c r="W21" i="13"/>
  <c r="AF21" i="13" s="1"/>
  <c r="AE21" i="13"/>
  <c r="W33" i="13"/>
  <c r="AF33" i="13" s="1"/>
  <c r="AE33" i="13"/>
  <c r="U49" i="13"/>
  <c r="AD49" i="13" s="1"/>
  <c r="T49" i="13"/>
  <c r="W149" i="13"/>
  <c r="AF149" i="13" s="1"/>
  <c r="AE149" i="13"/>
  <c r="U267" i="13"/>
  <c r="AD267" i="13" s="1"/>
  <c r="T267" i="13"/>
  <c r="T7" i="13"/>
  <c r="V7" i="13" s="1"/>
  <c r="T13" i="13"/>
  <c r="V13" i="13" s="1"/>
  <c r="T19" i="13"/>
  <c r="V19" i="13" s="1"/>
  <c r="T25" i="13"/>
  <c r="V25" i="13" s="1"/>
  <c r="T31" i="13"/>
  <c r="V31" i="13" s="1"/>
  <c r="T37" i="13"/>
  <c r="V37" i="13" s="1"/>
  <c r="T40" i="13"/>
  <c r="V40" i="13" s="1"/>
  <c r="T44" i="13"/>
  <c r="V44" i="13" s="1"/>
  <c r="AE58" i="13"/>
  <c r="U66" i="13"/>
  <c r="AD66" i="13" s="1"/>
  <c r="T66" i="13"/>
  <c r="U68" i="13"/>
  <c r="AD68" i="13" s="1"/>
  <c r="T68" i="13"/>
  <c r="W80" i="13"/>
  <c r="AF80" i="13" s="1"/>
  <c r="T133" i="13"/>
  <c r="U133" i="13"/>
  <c r="AD133" i="13" s="1"/>
  <c r="U55" i="13"/>
  <c r="AD55" i="13" s="1"/>
  <c r="T55" i="13"/>
  <c r="U86" i="13"/>
  <c r="AD86" i="13" s="1"/>
  <c r="T86" i="13"/>
  <c r="V86" i="13" s="1"/>
  <c r="U146" i="13"/>
  <c r="AD146" i="13" s="1"/>
  <c r="T146" i="13"/>
  <c r="T11" i="13"/>
  <c r="V11" i="13" s="1"/>
  <c r="T17" i="13"/>
  <c r="V17" i="13" s="1"/>
  <c r="T23" i="13"/>
  <c r="V23" i="13" s="1"/>
  <c r="T50" i="13"/>
  <c r="V50" i="13" s="1"/>
  <c r="U82" i="13"/>
  <c r="AD82" i="13" s="1"/>
  <c r="U84" i="13"/>
  <c r="AD84" i="13" s="1"/>
  <c r="T84" i="13"/>
  <c r="U90" i="13"/>
  <c r="AD90" i="13" s="1"/>
  <c r="T90" i="13"/>
  <c r="V90" i="13" s="1"/>
  <c r="U108" i="13"/>
  <c r="AD108" i="13" s="1"/>
  <c r="T108" i="13"/>
  <c r="U170" i="13"/>
  <c r="AD170" i="13" s="1"/>
  <c r="T170" i="13"/>
  <c r="U43" i="13"/>
  <c r="AD43" i="13" s="1"/>
  <c r="T43" i="13"/>
  <c r="T101" i="13"/>
  <c r="U101" i="13"/>
  <c r="AD101" i="13" s="1"/>
  <c r="T107" i="13"/>
  <c r="U107" i="13"/>
  <c r="AD107" i="13" s="1"/>
  <c r="AE143" i="13"/>
  <c r="W143" i="13"/>
  <c r="AF143" i="13" s="1"/>
  <c r="T61" i="13"/>
  <c r="V61" i="13" s="1"/>
  <c r="W154" i="13"/>
  <c r="AF154" i="13" s="1"/>
  <c r="AE154" i="13"/>
  <c r="U102" i="13"/>
  <c r="AD102" i="13" s="1"/>
  <c r="T102" i="13"/>
  <c r="T116" i="13"/>
  <c r="V116" i="13" s="1"/>
  <c r="U134" i="13"/>
  <c r="AD134" i="13" s="1"/>
  <c r="T134" i="13"/>
  <c r="T147" i="13"/>
  <c r="V147" i="13" s="1"/>
  <c r="U149" i="13"/>
  <c r="AD149" i="13" s="1"/>
  <c r="T157" i="13"/>
  <c r="U157" i="13"/>
  <c r="AD157" i="13" s="1"/>
  <c r="U58" i="13"/>
  <c r="AD58" i="13" s="1"/>
  <c r="T71" i="13"/>
  <c r="V71" i="13" s="1"/>
  <c r="U76" i="13"/>
  <c r="AD76" i="13" s="1"/>
  <c r="T87" i="13"/>
  <c r="V87" i="13" s="1"/>
  <c r="T95" i="13"/>
  <c r="U95" i="13"/>
  <c r="AD95" i="13" s="1"/>
  <c r="T103" i="13"/>
  <c r="V103" i="13" s="1"/>
  <c r="U119" i="13"/>
  <c r="AD119" i="13" s="1"/>
  <c r="AE136" i="13"/>
  <c r="T139" i="13"/>
  <c r="V139" i="13" s="1"/>
  <c r="U139" i="13"/>
  <c r="AD139" i="13" s="1"/>
  <c r="W172" i="13"/>
  <c r="AF172" i="13" s="1"/>
  <c r="AE172" i="13"/>
  <c r="T113" i="13"/>
  <c r="U113" i="13"/>
  <c r="AD113" i="13" s="1"/>
  <c r="T137" i="13"/>
  <c r="V137" i="13" s="1"/>
  <c r="U137" i="13"/>
  <c r="AD137" i="13" s="1"/>
  <c r="W141" i="13"/>
  <c r="AF141" i="13" s="1"/>
  <c r="W148" i="13"/>
  <c r="AF148" i="13" s="1"/>
  <c r="AE148" i="13"/>
  <c r="U152" i="13"/>
  <c r="AD152" i="13" s="1"/>
  <c r="T152" i="13"/>
  <c r="U175" i="13"/>
  <c r="AD175" i="13" s="1"/>
  <c r="T175" i="13"/>
  <c r="T194" i="13"/>
  <c r="U194" i="13"/>
  <c r="AD194" i="13" s="1"/>
  <c r="T89" i="13"/>
  <c r="V89" i="13" s="1"/>
  <c r="U89" i="13"/>
  <c r="AD89" i="13" s="1"/>
  <c r="T155" i="13"/>
  <c r="V155" i="13" s="1"/>
  <c r="U155" i="13"/>
  <c r="AD155" i="13" s="1"/>
  <c r="U216" i="13"/>
  <c r="AD216" i="13" s="1"/>
  <c r="T216" i="13"/>
  <c r="W241" i="13"/>
  <c r="AF241" i="13" s="1"/>
  <c r="U189" i="13"/>
  <c r="AD189" i="13" s="1"/>
  <c r="T189" i="13"/>
  <c r="T192" i="13"/>
  <c r="U192" i="13"/>
  <c r="AD192" i="13" s="1"/>
  <c r="T210" i="13"/>
  <c r="V210" i="13" s="1"/>
  <c r="U210" i="13"/>
  <c r="AD210" i="13" s="1"/>
  <c r="T120" i="13"/>
  <c r="V120" i="13" s="1"/>
  <c r="U125" i="13"/>
  <c r="AD125" i="13" s="1"/>
  <c r="U127" i="13"/>
  <c r="AD127" i="13" s="1"/>
  <c r="AF136" i="13"/>
  <c r="T140" i="13"/>
  <c r="V140" i="13" s="1"/>
  <c r="U143" i="13"/>
  <c r="AD143" i="13" s="1"/>
  <c r="U145" i="13"/>
  <c r="AD145" i="13" s="1"/>
  <c r="T158" i="13"/>
  <c r="V158" i="13" s="1"/>
  <c r="U161" i="13"/>
  <c r="AD161" i="13" s="1"/>
  <c r="U163" i="13"/>
  <c r="AD163" i="13" s="1"/>
  <c r="U181" i="13"/>
  <c r="AD181" i="13" s="1"/>
  <c r="T181" i="13"/>
  <c r="V181" i="13" s="1"/>
  <c r="U187" i="13"/>
  <c r="AD187" i="13" s="1"/>
  <c r="T187" i="13"/>
  <c r="U207" i="13"/>
  <c r="AD207" i="13" s="1"/>
  <c r="T207" i="13"/>
  <c r="U249" i="13"/>
  <c r="AD249" i="13" s="1"/>
  <c r="T249" i="13"/>
  <c r="T180" i="13"/>
  <c r="U180" i="13"/>
  <c r="AD180" i="13" s="1"/>
  <c r="T186" i="13"/>
  <c r="U186" i="13"/>
  <c r="AD186" i="13" s="1"/>
  <c r="T215" i="13"/>
  <c r="U215" i="13"/>
  <c r="AD215" i="13" s="1"/>
  <c r="T164" i="13"/>
  <c r="V164" i="13" s="1"/>
  <c r="U167" i="13"/>
  <c r="AD167" i="13" s="1"/>
  <c r="U169" i="13"/>
  <c r="AD169" i="13" s="1"/>
  <c r="U173" i="13"/>
  <c r="AD173" i="13" s="1"/>
  <c r="T212" i="13"/>
  <c r="V212" i="13" s="1"/>
  <c r="U212" i="13"/>
  <c r="AD212" i="13" s="1"/>
  <c r="AE224" i="13"/>
  <c r="U234" i="13"/>
  <c r="AD234" i="13" s="1"/>
  <c r="T234" i="13"/>
  <c r="T195" i="13"/>
  <c r="V195" i="13" s="1"/>
  <c r="U198" i="13"/>
  <c r="AD198" i="13" s="1"/>
  <c r="U200" i="13"/>
  <c r="AD200" i="13" s="1"/>
  <c r="U256" i="13"/>
  <c r="AD256" i="13" s="1"/>
  <c r="T256" i="13"/>
  <c r="U263" i="13"/>
  <c r="AD263" i="13" s="1"/>
  <c r="T263" i="13"/>
  <c r="T239" i="13"/>
  <c r="U239" i="13"/>
  <c r="AD239" i="13" s="1"/>
  <c r="U240" i="13"/>
  <c r="AD240" i="13" s="1"/>
  <c r="T240" i="13"/>
  <c r="V240" i="13" s="1"/>
  <c r="U278" i="13"/>
  <c r="AD278" i="13" s="1"/>
  <c r="T278" i="13"/>
  <c r="T201" i="13"/>
  <c r="V201" i="13" s="1"/>
  <c r="U204" i="13"/>
  <c r="AD204" i="13" s="1"/>
  <c r="U206" i="13"/>
  <c r="AD206" i="13" s="1"/>
  <c r="T221" i="13"/>
  <c r="U221" i="13"/>
  <c r="AD221" i="13" s="1"/>
  <c r="U222" i="13"/>
  <c r="AD222" i="13" s="1"/>
  <c r="T222" i="13"/>
  <c r="T227" i="13"/>
  <c r="U227" i="13"/>
  <c r="AD227" i="13" s="1"/>
  <c r="U248" i="13"/>
  <c r="AD248" i="13" s="1"/>
  <c r="T248" i="13"/>
  <c r="U254" i="13"/>
  <c r="AD254" i="13" s="1"/>
  <c r="T254" i="13"/>
  <c r="U274" i="13"/>
  <c r="AD274" i="13" s="1"/>
  <c r="T274" i="13"/>
  <c r="U266" i="13"/>
  <c r="AD266" i="13" s="1"/>
  <c r="T266" i="13"/>
  <c r="T261" i="13"/>
  <c r="V261" i="13" s="1"/>
  <c r="U293" i="13"/>
  <c r="AD293" i="13" s="1"/>
  <c r="U272" i="13"/>
  <c r="AD272" i="13" s="1"/>
  <c r="T272" i="13"/>
  <c r="T291" i="13"/>
  <c r="U291" i="13"/>
  <c r="AD291" i="13" s="1"/>
  <c r="T280" i="13"/>
  <c r="V280" i="13" s="1"/>
  <c r="T285" i="13"/>
  <c r="U285" i="13"/>
  <c r="AD285" i="13" s="1"/>
  <c r="U260" i="13"/>
  <c r="AD260" i="13" s="1"/>
  <c r="T260" i="13"/>
  <c r="V260" i="13" s="1"/>
  <c r="T284" i="13"/>
  <c r="V284" i="13" s="1"/>
  <c r="T290" i="13"/>
  <c r="V290" i="13" s="1"/>
  <c r="T296" i="13"/>
  <c r="V296" i="13" s="1"/>
  <c r="U297" i="13"/>
  <c r="AD297" i="13" s="1"/>
  <c r="T302" i="13"/>
  <c r="V302" i="13" s="1"/>
  <c r="U303" i="13"/>
  <c r="AD303" i="13" s="1"/>
  <c r="T299" i="13"/>
  <c r="V299" i="13" s="1"/>
  <c r="T305" i="13"/>
  <c r="V305" i="13" s="1"/>
  <c r="T298" i="13"/>
  <c r="V298" i="13" s="1"/>
  <c r="T304" i="13"/>
  <c r="V304" i="13" s="1"/>
  <c r="G17" i="32"/>
  <c r="D17" i="32"/>
  <c r="D18" i="32"/>
  <c r="D19" i="32"/>
  <c r="D20" i="32"/>
  <c r="D21" i="32"/>
  <c r="D22" i="32"/>
  <c r="D23" i="32"/>
  <c r="AE35" i="13" l="1"/>
  <c r="AE288" i="13"/>
  <c r="W294" i="13"/>
  <c r="AF294" i="13" s="1"/>
  <c r="AE126" i="13"/>
  <c r="W111" i="13"/>
  <c r="AF111" i="13" s="1"/>
  <c r="AE111" i="13"/>
  <c r="AE138" i="13"/>
  <c r="V166" i="13"/>
  <c r="W166" i="13" s="1"/>
  <c r="AF166" i="13" s="1"/>
  <c r="V242" i="13"/>
  <c r="W242" i="13" s="1"/>
  <c r="AF242" i="13" s="1"/>
  <c r="W72" i="13"/>
  <c r="AF72" i="13" s="1"/>
  <c r="V275" i="13"/>
  <c r="W275" i="13" s="1"/>
  <c r="AF275" i="13" s="1"/>
  <c r="V213" i="13"/>
  <c r="W213" i="13" s="1"/>
  <c r="AF213" i="13" s="1"/>
  <c r="W65" i="13"/>
  <c r="AF65" i="13" s="1"/>
  <c r="AE225" i="13"/>
  <c r="AE159" i="13"/>
  <c r="V253" i="13"/>
  <c r="AE118" i="13"/>
  <c r="V54" i="13"/>
  <c r="AE54" i="13" s="1"/>
  <c r="W121" i="13"/>
  <c r="AF121" i="13" s="1"/>
  <c r="AE144" i="13"/>
  <c r="V179" i="13"/>
  <c r="W179" i="13" s="1"/>
  <c r="AF179" i="13" s="1"/>
  <c r="V122" i="13"/>
  <c r="W122" i="13" s="1"/>
  <c r="AF122" i="13" s="1"/>
  <c r="V85" i="13"/>
  <c r="W85" i="13" s="1"/>
  <c r="AF85" i="13" s="1"/>
  <c r="AE235" i="13"/>
  <c r="W235" i="13"/>
  <c r="AF235" i="13" s="1"/>
  <c r="AE20" i="13"/>
  <c r="V276" i="13"/>
  <c r="AE276" i="13" s="1"/>
  <c r="V271" i="13"/>
  <c r="W271" i="13" s="1"/>
  <c r="AF271" i="13" s="1"/>
  <c r="W229" i="13"/>
  <c r="AF229" i="13" s="1"/>
  <c r="AE209" i="13"/>
  <c r="W97" i="13"/>
  <c r="AF97" i="13" s="1"/>
  <c r="W112" i="13"/>
  <c r="AF112" i="13" s="1"/>
  <c r="AE67" i="13"/>
  <c r="W67" i="13"/>
  <c r="AF67" i="13" s="1"/>
  <c r="AE214" i="13"/>
  <c r="W214" i="13"/>
  <c r="AF214" i="13" s="1"/>
  <c r="AE51" i="13"/>
  <c r="V283" i="13"/>
  <c r="AE283" i="13" s="1"/>
  <c r="V115" i="13"/>
  <c r="AE271" i="13"/>
  <c r="V244" i="13"/>
  <c r="W244" i="13" s="1"/>
  <c r="AF244" i="13" s="1"/>
  <c r="V268" i="13"/>
  <c r="W193" i="13"/>
  <c r="AF193" i="13" s="1"/>
  <c r="AE142" i="13"/>
  <c r="W226" i="13"/>
  <c r="AF226" i="13" s="1"/>
  <c r="V130" i="13"/>
  <c r="W130" i="13" s="1"/>
  <c r="AF130" i="13" s="1"/>
  <c r="V47" i="13"/>
  <c r="W47" i="13" s="1"/>
  <c r="AF47" i="13" s="1"/>
  <c r="V41" i="13"/>
  <c r="AE41" i="13" s="1"/>
  <c r="W24" i="13"/>
  <c r="AF24" i="13" s="1"/>
  <c r="AE24" i="13"/>
  <c r="AE28" i="13"/>
  <c r="W28" i="13"/>
  <c r="AF28" i="13" s="1"/>
  <c r="AE286" i="13"/>
  <c r="W286" i="13"/>
  <c r="AF286" i="13" s="1"/>
  <c r="AE205" i="13"/>
  <c r="AE174" i="13"/>
  <c r="W150" i="13"/>
  <c r="AF150" i="13" s="1"/>
  <c r="V295" i="13"/>
  <c r="W295" i="13" s="1"/>
  <c r="AF295" i="13" s="1"/>
  <c r="AE251" i="13"/>
  <c r="W252" i="13"/>
  <c r="AF252" i="13" s="1"/>
  <c r="AE104" i="13"/>
  <c r="AE30" i="13"/>
  <c r="AE39" i="13"/>
  <c r="AE100" i="13"/>
  <c r="V48" i="13"/>
  <c r="V230" i="13"/>
  <c r="V208" i="13"/>
  <c r="AE208" i="13" s="1"/>
  <c r="V153" i="13"/>
  <c r="AE220" i="13"/>
  <c r="W220" i="13"/>
  <c r="AF220" i="13" s="1"/>
  <c r="AE62" i="13"/>
  <c r="W62" i="13"/>
  <c r="AF62" i="13" s="1"/>
  <c r="V218" i="13"/>
  <c r="W132" i="13"/>
  <c r="AF132" i="13" s="1"/>
  <c r="V301" i="13"/>
  <c r="AE14" i="13"/>
  <c r="V191" i="13"/>
  <c r="AE277" i="13"/>
  <c r="W135" i="13"/>
  <c r="AF135" i="13" s="1"/>
  <c r="AE114" i="13"/>
  <c r="W202" i="13"/>
  <c r="AF202" i="13" s="1"/>
  <c r="AE258" i="13"/>
  <c r="W208" i="13"/>
  <c r="AF208" i="13" s="1"/>
  <c r="V45" i="13"/>
  <c r="W45" i="13" s="1"/>
  <c r="AF45" i="13" s="1"/>
  <c r="V64" i="13"/>
  <c r="W64" i="13" s="1"/>
  <c r="AF64" i="13" s="1"/>
  <c r="V117" i="13"/>
  <c r="V95" i="13"/>
  <c r="AE95" i="13" s="1"/>
  <c r="W196" i="13"/>
  <c r="AF196" i="13" s="1"/>
  <c r="W99" i="13"/>
  <c r="AF99" i="13" s="1"/>
  <c r="V123" i="13"/>
  <c r="AE123" i="13" s="1"/>
  <c r="W279" i="13"/>
  <c r="AF279" i="13" s="1"/>
  <c r="V175" i="13"/>
  <c r="AE175" i="13" s="1"/>
  <c r="V101" i="13"/>
  <c r="W101" i="13" s="1"/>
  <c r="AF101" i="13" s="1"/>
  <c r="AE124" i="13"/>
  <c r="W60" i="13"/>
  <c r="AF60" i="13" s="1"/>
  <c r="V222" i="13"/>
  <c r="AE222" i="13" s="1"/>
  <c r="V68" i="13"/>
  <c r="W68" i="13" s="1"/>
  <c r="AF68" i="13" s="1"/>
  <c r="V197" i="13"/>
  <c r="W197" i="13" s="1"/>
  <c r="AF197" i="13" s="1"/>
  <c r="V133" i="13"/>
  <c r="W133" i="13" s="1"/>
  <c r="AF133" i="13" s="1"/>
  <c r="V43" i="13"/>
  <c r="W43" i="13" s="1"/>
  <c r="AF43" i="13" s="1"/>
  <c r="V207" i="13"/>
  <c r="AE207" i="13" s="1"/>
  <c r="AE128" i="13"/>
  <c r="V221" i="13"/>
  <c r="W221" i="13" s="1"/>
  <c r="AF221" i="13" s="1"/>
  <c r="V278" i="13"/>
  <c r="AE278" i="13" s="1"/>
  <c r="V194" i="13"/>
  <c r="AE194" i="13" s="1"/>
  <c r="V108" i="13"/>
  <c r="W108" i="13" s="1"/>
  <c r="AF108" i="13" s="1"/>
  <c r="AE74" i="13"/>
  <c r="AE12" i="13"/>
  <c r="V92" i="13"/>
  <c r="W92" i="13" s="1"/>
  <c r="AF92" i="13" s="1"/>
  <c r="V93" i="13"/>
  <c r="V274" i="13"/>
  <c r="W274" i="13" s="1"/>
  <c r="AF274" i="13" s="1"/>
  <c r="V102" i="13"/>
  <c r="W102" i="13" s="1"/>
  <c r="AF102" i="13" s="1"/>
  <c r="W270" i="13"/>
  <c r="AF270" i="13" s="1"/>
  <c r="AE199" i="13"/>
  <c r="V168" i="13"/>
  <c r="W168" i="13" s="1"/>
  <c r="AF168" i="13" s="1"/>
  <c r="V300" i="13"/>
  <c r="V177" i="13"/>
  <c r="V125" i="13"/>
  <c r="V216" i="13"/>
  <c r="W216" i="13" s="1"/>
  <c r="AF216" i="13" s="1"/>
  <c r="AE203" i="13"/>
  <c r="AE53" i="13"/>
  <c r="V127" i="13"/>
  <c r="V281" i="13"/>
  <c r="AE98" i="13"/>
  <c r="V176" i="13"/>
  <c r="AE176" i="13" s="1"/>
  <c r="V70" i="13"/>
  <c r="V259" i="13"/>
  <c r="W156" i="13"/>
  <c r="AF156" i="13" s="1"/>
  <c r="AE8" i="13"/>
  <c r="V169" i="13"/>
  <c r="V167" i="13"/>
  <c r="V215" i="13"/>
  <c r="AE215" i="13" s="1"/>
  <c r="AE34" i="13"/>
  <c r="V151" i="13"/>
  <c r="AE151" i="13" s="1"/>
  <c r="V273" i="13"/>
  <c r="AE273" i="13" s="1"/>
  <c r="V272" i="13"/>
  <c r="W272" i="13" s="1"/>
  <c r="AF272" i="13" s="1"/>
  <c r="V165" i="13"/>
  <c r="AE165" i="13" s="1"/>
  <c r="V227" i="13"/>
  <c r="AE227" i="13" s="1"/>
  <c r="V180" i="13"/>
  <c r="W180" i="13" s="1"/>
  <c r="AF180" i="13" s="1"/>
  <c r="V285" i="13"/>
  <c r="AE285" i="13" s="1"/>
  <c r="W83" i="13"/>
  <c r="AF83" i="13" s="1"/>
  <c r="W237" i="13"/>
  <c r="AF237" i="13" s="1"/>
  <c r="W188" i="13"/>
  <c r="AF188" i="13" s="1"/>
  <c r="AE219" i="13"/>
  <c r="AE75" i="13"/>
  <c r="V161" i="13"/>
  <c r="AE96" i="13"/>
  <c r="V170" i="13"/>
  <c r="W170" i="13" s="1"/>
  <c r="AF170" i="13" s="1"/>
  <c r="AE32" i="13"/>
  <c r="AE56" i="13"/>
  <c r="W238" i="13"/>
  <c r="AF238" i="13" s="1"/>
  <c r="W211" i="13"/>
  <c r="AF211" i="13" s="1"/>
  <c r="AE160" i="13"/>
  <c r="AE91" i="13"/>
  <c r="W57" i="13"/>
  <c r="AF57" i="13" s="1"/>
  <c r="W185" i="13"/>
  <c r="AF185" i="13" s="1"/>
  <c r="V264" i="13"/>
  <c r="V266" i="13"/>
  <c r="AE266" i="13" s="1"/>
  <c r="AE231" i="13"/>
  <c r="V134" i="13"/>
  <c r="W134" i="13" s="1"/>
  <c r="AF134" i="13" s="1"/>
  <c r="V249" i="13"/>
  <c r="AE249" i="13" s="1"/>
  <c r="W255" i="13"/>
  <c r="AF255" i="13" s="1"/>
  <c r="V248" i="13"/>
  <c r="W248" i="13" s="1"/>
  <c r="AF248" i="13" s="1"/>
  <c r="V256" i="13"/>
  <c r="W256" i="13" s="1"/>
  <c r="AF256" i="13" s="1"/>
  <c r="AE262" i="13"/>
  <c r="V107" i="13"/>
  <c r="AE107" i="13" s="1"/>
  <c r="AE59" i="13"/>
  <c r="AE179" i="13"/>
  <c r="V15" i="13"/>
  <c r="AE69" i="13"/>
  <c r="W109" i="13"/>
  <c r="AF109" i="13" s="1"/>
  <c r="V29" i="13"/>
  <c r="V82" i="13"/>
  <c r="V157" i="13"/>
  <c r="AE157" i="13" s="1"/>
  <c r="V84" i="13"/>
  <c r="AE84" i="13" s="1"/>
  <c r="V265" i="13"/>
  <c r="V52" i="13"/>
  <c r="V183" i="13"/>
  <c r="W183" i="13" s="1"/>
  <c r="AF183" i="13" s="1"/>
  <c r="AE18" i="13"/>
  <c r="W129" i="13"/>
  <c r="AF129" i="13" s="1"/>
  <c r="W79" i="13"/>
  <c r="AF79" i="13" s="1"/>
  <c r="V55" i="13"/>
  <c r="W55" i="13" s="1"/>
  <c r="AF55" i="13" s="1"/>
  <c r="W26" i="13"/>
  <c r="AF26" i="13" s="1"/>
  <c r="W232" i="13"/>
  <c r="AF232" i="13" s="1"/>
  <c r="W16" i="13"/>
  <c r="AF16" i="13" s="1"/>
  <c r="V282" i="13"/>
  <c r="W282" i="13" s="1"/>
  <c r="AF282" i="13" s="1"/>
  <c r="V119" i="13"/>
  <c r="AE245" i="13"/>
  <c r="V110" i="13"/>
  <c r="W110" i="13" s="1"/>
  <c r="AF110" i="13" s="1"/>
  <c r="V250" i="13"/>
  <c r="V292" i="13"/>
  <c r="V105" i="13"/>
  <c r="V246" i="13"/>
  <c r="V287" i="13"/>
  <c r="V76" i="13"/>
  <c r="W217" i="13"/>
  <c r="AF217" i="13" s="1"/>
  <c r="V192" i="13"/>
  <c r="W192" i="13" s="1"/>
  <c r="AF192" i="13" s="1"/>
  <c r="V113" i="13"/>
  <c r="W113" i="13" s="1"/>
  <c r="AF113" i="13" s="1"/>
  <c r="V247" i="13"/>
  <c r="V233" i="13"/>
  <c r="V9" i="13"/>
  <c r="V173" i="13"/>
  <c r="V293" i="13"/>
  <c r="V73" i="13"/>
  <c r="V27" i="13"/>
  <c r="AE269" i="13"/>
  <c r="V263" i="13"/>
  <c r="W263" i="13" s="1"/>
  <c r="AF263" i="13" s="1"/>
  <c r="V234" i="13"/>
  <c r="W234" i="13" s="1"/>
  <c r="AF234" i="13" s="1"/>
  <c r="V186" i="13"/>
  <c r="W186" i="13" s="1"/>
  <c r="AF186" i="13" s="1"/>
  <c r="V189" i="13"/>
  <c r="W189" i="13" s="1"/>
  <c r="AF189" i="13" s="1"/>
  <c r="V152" i="13"/>
  <c r="W152" i="13" s="1"/>
  <c r="AF152" i="13" s="1"/>
  <c r="V267" i="13"/>
  <c r="AE267" i="13" s="1"/>
  <c r="V49" i="13"/>
  <c r="W49" i="13" s="1"/>
  <c r="AF49" i="13" s="1"/>
  <c r="V88" i="13"/>
  <c r="V94" i="13"/>
  <c r="V46" i="13"/>
  <c r="V146" i="13"/>
  <c r="AE146" i="13" s="1"/>
  <c r="V190" i="13"/>
  <c r="V303" i="13"/>
  <c r="V81" i="13"/>
  <c r="V297" i="13"/>
  <c r="V204" i="13"/>
  <c r="V198" i="13"/>
  <c r="V200" i="13"/>
  <c r="V42" i="13"/>
  <c r="V291" i="13"/>
  <c r="AE291" i="13" s="1"/>
  <c r="V254" i="13"/>
  <c r="AE254" i="13" s="1"/>
  <c r="V239" i="13"/>
  <c r="W239" i="13" s="1"/>
  <c r="AF239" i="13" s="1"/>
  <c r="V187" i="13"/>
  <c r="AE187" i="13" s="1"/>
  <c r="V66" i="13"/>
  <c r="W66" i="13" s="1"/>
  <c r="AF66" i="13" s="1"/>
  <c r="W78" i="13"/>
  <c r="AF78" i="13" s="1"/>
  <c r="AE184" i="13"/>
  <c r="V182" i="13"/>
  <c r="AE182" i="13" s="1"/>
  <c r="V131" i="13"/>
  <c r="V178" i="13"/>
  <c r="V236" i="13"/>
  <c r="V289" i="13"/>
  <c r="AE77" i="13"/>
  <c r="AE6" i="13"/>
  <c r="W243" i="13"/>
  <c r="AF243" i="13" s="1"/>
  <c r="AE38" i="13"/>
  <c r="W38" i="13"/>
  <c r="AF38" i="13" s="1"/>
  <c r="AE223" i="13"/>
  <c r="W223" i="13"/>
  <c r="AF223" i="13" s="1"/>
  <c r="AE36" i="13"/>
  <c r="W22" i="13"/>
  <c r="AF22" i="13" s="1"/>
  <c r="AE162" i="13"/>
  <c r="W106" i="13"/>
  <c r="AF106" i="13" s="1"/>
  <c r="AE228" i="13"/>
  <c r="W63" i="13"/>
  <c r="AF63" i="13" s="1"/>
  <c r="AE10" i="13"/>
  <c r="W155" i="13"/>
  <c r="AF155" i="13" s="1"/>
  <c r="AE155" i="13"/>
  <c r="W31" i="13"/>
  <c r="AF31" i="13" s="1"/>
  <c r="AE31" i="13"/>
  <c r="W302" i="13"/>
  <c r="AF302" i="13" s="1"/>
  <c r="AE302" i="13"/>
  <c r="AE120" i="13"/>
  <c r="W120" i="13"/>
  <c r="AF120" i="13" s="1"/>
  <c r="AE89" i="13"/>
  <c r="W89" i="13"/>
  <c r="AF89" i="13" s="1"/>
  <c r="W137" i="13"/>
  <c r="AF137" i="13" s="1"/>
  <c r="AE137" i="13"/>
  <c r="AE103" i="13"/>
  <c r="W103" i="13"/>
  <c r="AF103" i="13" s="1"/>
  <c r="W71" i="13"/>
  <c r="AF71" i="13" s="1"/>
  <c r="AE71" i="13"/>
  <c r="AE147" i="13"/>
  <c r="W147" i="13"/>
  <c r="AF147" i="13" s="1"/>
  <c r="W116" i="13"/>
  <c r="AF116" i="13" s="1"/>
  <c r="AE116" i="13"/>
  <c r="AE50" i="13"/>
  <c r="W50" i="13"/>
  <c r="AF50" i="13" s="1"/>
  <c r="W25" i="13"/>
  <c r="AF25" i="13" s="1"/>
  <c r="AE25" i="13"/>
  <c r="W304" i="13"/>
  <c r="AF304" i="13" s="1"/>
  <c r="AE304" i="13"/>
  <c r="W212" i="13"/>
  <c r="AF212" i="13" s="1"/>
  <c r="AE212" i="13"/>
  <c r="W140" i="13"/>
  <c r="AF140" i="13" s="1"/>
  <c r="AE140" i="13"/>
  <c r="W61" i="13"/>
  <c r="AF61" i="13" s="1"/>
  <c r="AE61" i="13"/>
  <c r="AE23" i="13"/>
  <c r="W23" i="13"/>
  <c r="AF23" i="13" s="1"/>
  <c r="AE44" i="13"/>
  <c r="W44" i="13"/>
  <c r="AF44" i="13" s="1"/>
  <c r="W296" i="13"/>
  <c r="AF296" i="13" s="1"/>
  <c r="AE296" i="13"/>
  <c r="W164" i="13"/>
  <c r="AF164" i="13" s="1"/>
  <c r="AE164" i="13"/>
  <c r="W210" i="13"/>
  <c r="AF210" i="13" s="1"/>
  <c r="AE210" i="13"/>
  <c r="AE17" i="13"/>
  <c r="W17" i="13"/>
  <c r="AF17" i="13" s="1"/>
  <c r="W19" i="13"/>
  <c r="AF19" i="13" s="1"/>
  <c r="AE19" i="13"/>
  <c r="W201" i="13"/>
  <c r="AF201" i="13" s="1"/>
  <c r="AE201" i="13"/>
  <c r="W158" i="13"/>
  <c r="AF158" i="13" s="1"/>
  <c r="AE158" i="13"/>
  <c r="W290" i="13"/>
  <c r="AF290" i="13" s="1"/>
  <c r="AE290" i="13"/>
  <c r="W195" i="13"/>
  <c r="AF195" i="13" s="1"/>
  <c r="AE195" i="13"/>
  <c r="W181" i="13"/>
  <c r="AF181" i="13" s="1"/>
  <c r="AE181" i="13"/>
  <c r="AE11" i="13"/>
  <c r="W11" i="13"/>
  <c r="AF11" i="13" s="1"/>
  <c r="W40" i="13"/>
  <c r="AF40" i="13" s="1"/>
  <c r="AE40" i="13"/>
  <c r="W13" i="13"/>
  <c r="AF13" i="13" s="1"/>
  <c r="AE13" i="13"/>
  <c r="AE261" i="13"/>
  <c r="W261" i="13"/>
  <c r="AF261" i="13" s="1"/>
  <c r="W298" i="13"/>
  <c r="AF298" i="13" s="1"/>
  <c r="AE298" i="13"/>
  <c r="AE260" i="13"/>
  <c r="W260" i="13"/>
  <c r="AF260" i="13" s="1"/>
  <c r="AE240" i="13"/>
  <c r="W240" i="13"/>
  <c r="AF240" i="13" s="1"/>
  <c r="AE305" i="13"/>
  <c r="W305" i="13"/>
  <c r="AF305" i="13" s="1"/>
  <c r="AE299" i="13"/>
  <c r="W299" i="13"/>
  <c r="AF299" i="13" s="1"/>
  <c r="W284" i="13"/>
  <c r="AF284" i="13" s="1"/>
  <c r="AE284" i="13"/>
  <c r="W280" i="13"/>
  <c r="AF280" i="13" s="1"/>
  <c r="AE280" i="13"/>
  <c r="AE139" i="13"/>
  <c r="W139" i="13"/>
  <c r="AF139" i="13" s="1"/>
  <c r="W87" i="13"/>
  <c r="AF87" i="13" s="1"/>
  <c r="AE87" i="13"/>
  <c r="W90" i="13"/>
  <c r="AF90" i="13" s="1"/>
  <c r="AE90" i="13"/>
  <c r="W86" i="13"/>
  <c r="AF86" i="13" s="1"/>
  <c r="AE86" i="13"/>
  <c r="W37" i="13"/>
  <c r="AF37" i="13" s="1"/>
  <c r="AE37" i="13"/>
  <c r="W7" i="13"/>
  <c r="AF7" i="13" s="1"/>
  <c r="AE7" i="13"/>
  <c r="W95" i="13" l="1"/>
  <c r="AF95" i="13" s="1"/>
  <c r="AE275" i="13"/>
  <c r="AE122" i="13"/>
  <c r="W41" i="13"/>
  <c r="AF41" i="13" s="1"/>
  <c r="AE166" i="13"/>
  <c r="AE242" i="13"/>
  <c r="W54" i="13"/>
  <c r="AF54" i="13" s="1"/>
  <c r="AE213" i="13"/>
  <c r="AE101" i="13"/>
  <c r="AE85" i="13"/>
  <c r="AE43" i="13"/>
  <c r="W253" i="13"/>
  <c r="AF253" i="13" s="1"/>
  <c r="AE253" i="13"/>
  <c r="W207" i="13"/>
  <c r="AF207" i="13" s="1"/>
  <c r="AE274" i="13"/>
  <c r="AE133" i="13"/>
  <c r="W276" i="13"/>
  <c r="AF276" i="13" s="1"/>
  <c r="AE45" i="13"/>
  <c r="AE244" i="13"/>
  <c r="W123" i="13"/>
  <c r="AF123" i="13" s="1"/>
  <c r="AE295" i="13"/>
  <c r="W268" i="13"/>
  <c r="AF268" i="13" s="1"/>
  <c r="AE268" i="13"/>
  <c r="AE47" i="13"/>
  <c r="W115" i="13"/>
  <c r="AF115" i="13" s="1"/>
  <c r="AE115" i="13"/>
  <c r="W194" i="13"/>
  <c r="AF194" i="13" s="1"/>
  <c r="AE68" i="13"/>
  <c r="AE92" i="13"/>
  <c r="AE130" i="13"/>
  <c r="W283" i="13"/>
  <c r="AF283" i="13" s="1"/>
  <c r="AE102" i="13"/>
  <c r="AE64" i="13"/>
  <c r="AE153" i="13"/>
  <c r="W153" i="13"/>
  <c r="AF153" i="13" s="1"/>
  <c r="AE230" i="13"/>
  <c r="W230" i="13"/>
  <c r="AF230" i="13" s="1"/>
  <c r="W175" i="13"/>
  <c r="AF175" i="13" s="1"/>
  <c r="AE48" i="13"/>
  <c r="W48" i="13"/>
  <c r="AF48" i="13" s="1"/>
  <c r="AE218" i="13"/>
  <c r="W218" i="13"/>
  <c r="AF218" i="13" s="1"/>
  <c r="W227" i="13"/>
  <c r="AF227" i="13" s="1"/>
  <c r="W191" i="13"/>
  <c r="AF191" i="13" s="1"/>
  <c r="AE191" i="13"/>
  <c r="AE248" i="13"/>
  <c r="AE117" i="13"/>
  <c r="W117" i="13"/>
  <c r="AF117" i="13" s="1"/>
  <c r="AE197" i="13"/>
  <c r="W301" i="13"/>
  <c r="AF301" i="13" s="1"/>
  <c r="AE301" i="13"/>
  <c r="AE221" i="13"/>
  <c r="W222" i="13"/>
  <c r="AF222" i="13" s="1"/>
  <c r="AE272" i="13"/>
  <c r="AE168" i="13"/>
  <c r="W215" i="13"/>
  <c r="AF215" i="13" s="1"/>
  <c r="AE216" i="13"/>
  <c r="W278" i="13"/>
  <c r="AF278" i="13" s="1"/>
  <c r="W187" i="13"/>
  <c r="AF187" i="13" s="1"/>
  <c r="AE125" i="13"/>
  <c r="W125" i="13"/>
  <c r="AF125" i="13" s="1"/>
  <c r="W176" i="13"/>
  <c r="AF176" i="13" s="1"/>
  <c r="AE127" i="13"/>
  <c r="W127" i="13"/>
  <c r="AF127" i="13" s="1"/>
  <c r="W177" i="13"/>
  <c r="AF177" i="13" s="1"/>
  <c r="AE177" i="13"/>
  <c r="AE180" i="13"/>
  <c r="AE108" i="13"/>
  <c r="W146" i="13"/>
  <c r="AF146" i="13" s="1"/>
  <c r="W285" i="13"/>
  <c r="AF285" i="13" s="1"/>
  <c r="W249" i="13"/>
  <c r="AF249" i="13" s="1"/>
  <c r="W273" i="13"/>
  <c r="AF273" i="13" s="1"/>
  <c r="AE259" i="13"/>
  <c r="W259" i="13"/>
  <c r="AF259" i="13" s="1"/>
  <c r="W300" i="13"/>
  <c r="AF300" i="13" s="1"/>
  <c r="AE300" i="13"/>
  <c r="W93" i="13"/>
  <c r="AF93" i="13" s="1"/>
  <c r="AE93" i="13"/>
  <c r="AE183" i="13"/>
  <c r="AE281" i="13"/>
  <c r="W281" i="13"/>
  <c r="AF281" i="13" s="1"/>
  <c r="AE263" i="13"/>
  <c r="W107" i="13"/>
  <c r="AF107" i="13" s="1"/>
  <c r="AE70" i="13"/>
  <c r="W70" i="13"/>
  <c r="AF70" i="13" s="1"/>
  <c r="AE167" i="13"/>
  <c r="W167" i="13"/>
  <c r="AF167" i="13" s="1"/>
  <c r="W165" i="13"/>
  <c r="AF165" i="13" s="1"/>
  <c r="AE169" i="13"/>
  <c r="W169" i="13"/>
  <c r="AF169" i="13" s="1"/>
  <c r="W291" i="13"/>
  <c r="AF291" i="13" s="1"/>
  <c r="W151" i="13"/>
  <c r="AF151" i="13" s="1"/>
  <c r="AE55" i="13"/>
  <c r="W161" i="13"/>
  <c r="AF161" i="13" s="1"/>
  <c r="AE161" i="13"/>
  <c r="AE170" i="13"/>
  <c r="AE256" i="13"/>
  <c r="W264" i="13"/>
  <c r="AF264" i="13" s="1"/>
  <c r="AE264" i="13"/>
  <c r="W266" i="13"/>
  <c r="AF266" i="13" s="1"/>
  <c r="AE49" i="13"/>
  <c r="AE66" i="13"/>
  <c r="AE134" i="13"/>
  <c r="W84" i="13"/>
  <c r="AF84" i="13" s="1"/>
  <c r="AE15" i="13"/>
  <c r="W15" i="13"/>
  <c r="AF15" i="13" s="1"/>
  <c r="AE192" i="13"/>
  <c r="AE186" i="13"/>
  <c r="W82" i="13"/>
  <c r="AF82" i="13" s="1"/>
  <c r="AE82" i="13"/>
  <c r="AE234" i="13"/>
  <c r="W157" i="13"/>
  <c r="AF157" i="13" s="1"/>
  <c r="AE52" i="13"/>
  <c r="W52" i="13"/>
  <c r="AF52" i="13" s="1"/>
  <c r="AE29" i="13"/>
  <c r="W29" i="13"/>
  <c r="AF29" i="13" s="1"/>
  <c r="AE113" i="13"/>
  <c r="W265" i="13"/>
  <c r="AF265" i="13" s="1"/>
  <c r="AE265" i="13"/>
  <c r="AE287" i="13"/>
  <c r="W287" i="13"/>
  <c r="AF287" i="13" s="1"/>
  <c r="AE110" i="13"/>
  <c r="AE246" i="13"/>
  <c r="W246" i="13"/>
  <c r="AF246" i="13" s="1"/>
  <c r="W105" i="13"/>
  <c r="AF105" i="13" s="1"/>
  <c r="AE105" i="13"/>
  <c r="W119" i="13"/>
  <c r="AF119" i="13" s="1"/>
  <c r="AE119" i="13"/>
  <c r="AE292" i="13"/>
  <c r="W292" i="13"/>
  <c r="AF292" i="13" s="1"/>
  <c r="AE250" i="13"/>
  <c r="W250" i="13"/>
  <c r="AF250" i="13" s="1"/>
  <c r="AE282" i="13"/>
  <c r="AE76" i="13"/>
  <c r="W76" i="13"/>
  <c r="AF76" i="13" s="1"/>
  <c r="W204" i="13"/>
  <c r="AF204" i="13" s="1"/>
  <c r="AE204" i="13"/>
  <c r="AE297" i="13"/>
  <c r="W297" i="13"/>
  <c r="AF297" i="13" s="1"/>
  <c r="AE152" i="13"/>
  <c r="AE239" i="13"/>
  <c r="AE81" i="13"/>
  <c r="W81" i="13"/>
  <c r="AF81" i="13" s="1"/>
  <c r="W46" i="13"/>
  <c r="AF46" i="13" s="1"/>
  <c r="AE46" i="13"/>
  <c r="W27" i="13"/>
  <c r="AF27" i="13" s="1"/>
  <c r="AE27" i="13"/>
  <c r="AE247" i="13"/>
  <c r="W247" i="13"/>
  <c r="AF247" i="13" s="1"/>
  <c r="AE131" i="13"/>
  <c r="W131" i="13"/>
  <c r="AF131" i="13" s="1"/>
  <c r="W9" i="13"/>
  <c r="AF9" i="13" s="1"/>
  <c r="AE9" i="13"/>
  <c r="W254" i="13"/>
  <c r="AF254" i="13" s="1"/>
  <c r="W182" i="13"/>
  <c r="AF182" i="13" s="1"/>
  <c r="AE289" i="13"/>
  <c r="W289" i="13"/>
  <c r="AF289" i="13" s="1"/>
  <c r="AE42" i="13"/>
  <c r="W42" i="13"/>
  <c r="AF42" i="13" s="1"/>
  <c r="W303" i="13"/>
  <c r="AF303" i="13" s="1"/>
  <c r="AE303" i="13"/>
  <c r="W94" i="13"/>
  <c r="AF94" i="13" s="1"/>
  <c r="AE94" i="13"/>
  <c r="W73" i="13"/>
  <c r="AF73" i="13" s="1"/>
  <c r="AE73" i="13"/>
  <c r="W233" i="13"/>
  <c r="AF233" i="13" s="1"/>
  <c r="AE233" i="13"/>
  <c r="W267" i="13"/>
  <c r="AF267" i="13" s="1"/>
  <c r="AE189" i="13"/>
  <c r="W236" i="13"/>
  <c r="AF236" i="13" s="1"/>
  <c r="AE236" i="13"/>
  <c r="AE200" i="13"/>
  <c r="W200" i="13"/>
  <c r="AF200" i="13" s="1"/>
  <c r="W190" i="13"/>
  <c r="AF190" i="13" s="1"/>
  <c r="AE190" i="13"/>
  <c r="AE88" i="13"/>
  <c r="W88" i="13"/>
  <c r="AF88" i="13" s="1"/>
  <c r="AE293" i="13"/>
  <c r="W293" i="13"/>
  <c r="AF293" i="13" s="1"/>
  <c r="W178" i="13"/>
  <c r="AF178" i="13" s="1"/>
  <c r="AE178" i="13"/>
  <c r="AE198" i="13"/>
  <c r="W198" i="13"/>
  <c r="AF198" i="13" s="1"/>
  <c r="AE173" i="13"/>
  <c r="W173" i="13"/>
  <c r="AF173" i="13" s="1"/>
  <c r="G23" i="32"/>
  <c r="B23" i="32"/>
  <c r="G22" i="32"/>
  <c r="B22" i="32"/>
  <c r="G21" i="32"/>
  <c r="G20" i="32"/>
  <c r="B20" i="32"/>
  <c r="G19" i="32"/>
  <c r="B19" i="32"/>
  <c r="G18" i="32"/>
  <c r="B18" i="32"/>
  <c r="B17" i="32"/>
  <c r="F14" i="19" l="1"/>
  <c r="F15" i="19"/>
  <c r="F16" i="19"/>
  <c r="G24" i="32"/>
  <c r="S5" i="13"/>
  <c r="F17" i="19" l="1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7" i="13"/>
  <c r="P198" i="13"/>
  <c r="P199" i="13"/>
  <c r="P200" i="13"/>
  <c r="P201" i="13"/>
  <c r="P202" i="13"/>
  <c r="P203" i="13"/>
  <c r="P204" i="13"/>
  <c r="P205" i="13"/>
  <c r="P206" i="13"/>
  <c r="P207" i="13"/>
  <c r="P208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1" i="13"/>
  <c r="P262" i="13"/>
  <c r="P263" i="13"/>
  <c r="P264" i="13"/>
  <c r="P265" i="13"/>
  <c r="P266" i="13"/>
  <c r="P267" i="13"/>
  <c r="P268" i="13"/>
  <c r="P269" i="13"/>
  <c r="P270" i="13"/>
  <c r="P271" i="13"/>
  <c r="P272" i="13"/>
  <c r="P273" i="13"/>
  <c r="P274" i="13"/>
  <c r="P275" i="13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P292" i="13"/>
  <c r="P293" i="13"/>
  <c r="P294" i="13"/>
  <c r="P295" i="13"/>
  <c r="P296" i="13"/>
  <c r="P297" i="13"/>
  <c r="P298" i="13"/>
  <c r="P299" i="13"/>
  <c r="P300" i="13"/>
  <c r="P301" i="13"/>
  <c r="P302" i="13"/>
  <c r="P303" i="13"/>
  <c r="P304" i="13"/>
  <c r="P305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E305" i="13"/>
  <c r="D305" i="13"/>
  <c r="C305" i="13"/>
  <c r="B305" i="13"/>
  <c r="E304" i="13"/>
  <c r="D304" i="13"/>
  <c r="C304" i="13"/>
  <c r="B304" i="13"/>
  <c r="E303" i="13"/>
  <c r="D303" i="13"/>
  <c r="C303" i="13"/>
  <c r="B303" i="13"/>
  <c r="E302" i="13"/>
  <c r="D302" i="13"/>
  <c r="C302" i="13"/>
  <c r="B302" i="13"/>
  <c r="E301" i="13"/>
  <c r="D301" i="13"/>
  <c r="C301" i="13"/>
  <c r="B301" i="13"/>
  <c r="E300" i="13"/>
  <c r="D300" i="13"/>
  <c r="C300" i="13"/>
  <c r="B300" i="13"/>
  <c r="E299" i="13"/>
  <c r="D299" i="13"/>
  <c r="C299" i="13"/>
  <c r="B299" i="13"/>
  <c r="E298" i="13"/>
  <c r="D298" i="13"/>
  <c r="C298" i="13"/>
  <c r="B298" i="13"/>
  <c r="E297" i="13"/>
  <c r="D297" i="13"/>
  <c r="C297" i="13"/>
  <c r="B297" i="13"/>
  <c r="E296" i="13"/>
  <c r="D296" i="13"/>
  <c r="C296" i="13"/>
  <c r="B296" i="13"/>
  <c r="E295" i="13"/>
  <c r="D295" i="13"/>
  <c r="C295" i="13"/>
  <c r="B295" i="13"/>
  <c r="E294" i="13"/>
  <c r="D294" i="13"/>
  <c r="C294" i="13"/>
  <c r="B294" i="13"/>
  <c r="E293" i="13"/>
  <c r="D293" i="13"/>
  <c r="C293" i="13"/>
  <c r="B293" i="13"/>
  <c r="E292" i="13"/>
  <c r="D292" i="13"/>
  <c r="C292" i="13"/>
  <c r="B292" i="13"/>
  <c r="E291" i="13"/>
  <c r="D291" i="13"/>
  <c r="C291" i="13"/>
  <c r="B291" i="13"/>
  <c r="E290" i="13"/>
  <c r="D290" i="13"/>
  <c r="C290" i="13"/>
  <c r="B290" i="13"/>
  <c r="E289" i="13"/>
  <c r="D289" i="13"/>
  <c r="C289" i="13"/>
  <c r="B289" i="13"/>
  <c r="E288" i="13"/>
  <c r="D288" i="13"/>
  <c r="C288" i="13"/>
  <c r="B288" i="13"/>
  <c r="E287" i="13"/>
  <c r="D287" i="13"/>
  <c r="C287" i="13"/>
  <c r="B287" i="13"/>
  <c r="E286" i="13"/>
  <c r="D286" i="13"/>
  <c r="C286" i="13"/>
  <c r="B286" i="13"/>
  <c r="E285" i="13"/>
  <c r="D285" i="13"/>
  <c r="C285" i="13"/>
  <c r="B285" i="13"/>
  <c r="E284" i="13"/>
  <c r="D284" i="13"/>
  <c r="C284" i="13"/>
  <c r="B284" i="13"/>
  <c r="E283" i="13"/>
  <c r="D283" i="13"/>
  <c r="C283" i="13"/>
  <c r="B283" i="13"/>
  <c r="E282" i="13"/>
  <c r="D282" i="13"/>
  <c r="C282" i="13"/>
  <c r="B282" i="13"/>
  <c r="E281" i="13"/>
  <c r="D281" i="13"/>
  <c r="C281" i="13"/>
  <c r="B281" i="13"/>
  <c r="E280" i="13"/>
  <c r="D280" i="13"/>
  <c r="C280" i="13"/>
  <c r="B280" i="13"/>
  <c r="E279" i="13"/>
  <c r="D279" i="13"/>
  <c r="C279" i="13"/>
  <c r="B279" i="13"/>
  <c r="E278" i="13"/>
  <c r="D278" i="13"/>
  <c r="C278" i="13"/>
  <c r="B278" i="13"/>
  <c r="E277" i="13"/>
  <c r="D277" i="13"/>
  <c r="C277" i="13"/>
  <c r="B277" i="13"/>
  <c r="E276" i="13"/>
  <c r="D276" i="13"/>
  <c r="C276" i="13"/>
  <c r="B276" i="13"/>
  <c r="E275" i="13"/>
  <c r="D275" i="13"/>
  <c r="C275" i="13"/>
  <c r="B275" i="13"/>
  <c r="E274" i="13"/>
  <c r="D274" i="13"/>
  <c r="C274" i="13"/>
  <c r="B274" i="13"/>
  <c r="E273" i="13"/>
  <c r="D273" i="13"/>
  <c r="C273" i="13"/>
  <c r="B273" i="13"/>
  <c r="E272" i="13"/>
  <c r="D272" i="13"/>
  <c r="C272" i="13"/>
  <c r="B272" i="13"/>
  <c r="E271" i="13"/>
  <c r="D271" i="13"/>
  <c r="C271" i="13"/>
  <c r="B271" i="13"/>
  <c r="E270" i="13"/>
  <c r="D270" i="13"/>
  <c r="C270" i="13"/>
  <c r="B270" i="13"/>
  <c r="E269" i="13"/>
  <c r="D269" i="13"/>
  <c r="C269" i="13"/>
  <c r="B269" i="13"/>
  <c r="E268" i="13"/>
  <c r="D268" i="13"/>
  <c r="C268" i="13"/>
  <c r="B268" i="13"/>
  <c r="E267" i="13"/>
  <c r="D267" i="13"/>
  <c r="C267" i="13"/>
  <c r="B267" i="13"/>
  <c r="E266" i="13"/>
  <c r="D266" i="13"/>
  <c r="C266" i="13"/>
  <c r="B266" i="13"/>
  <c r="E265" i="13"/>
  <c r="D265" i="13"/>
  <c r="C265" i="13"/>
  <c r="B265" i="13"/>
  <c r="E264" i="13"/>
  <c r="D264" i="13"/>
  <c r="C264" i="13"/>
  <c r="B264" i="13"/>
  <c r="E263" i="13"/>
  <c r="D263" i="13"/>
  <c r="C263" i="13"/>
  <c r="B263" i="13"/>
  <c r="E262" i="13"/>
  <c r="D262" i="13"/>
  <c r="C262" i="13"/>
  <c r="B262" i="13"/>
  <c r="E261" i="13"/>
  <c r="D261" i="13"/>
  <c r="C261" i="13"/>
  <c r="B261" i="13"/>
  <c r="E260" i="13"/>
  <c r="D260" i="13"/>
  <c r="C260" i="13"/>
  <c r="B260" i="13"/>
  <c r="E259" i="13"/>
  <c r="D259" i="13"/>
  <c r="C259" i="13"/>
  <c r="B259" i="13"/>
  <c r="E258" i="13"/>
  <c r="D258" i="13"/>
  <c r="C258" i="13"/>
  <c r="B258" i="13"/>
  <c r="E257" i="13"/>
  <c r="D257" i="13"/>
  <c r="C257" i="13"/>
  <c r="B257" i="13"/>
  <c r="E256" i="13"/>
  <c r="D256" i="13"/>
  <c r="C256" i="13"/>
  <c r="B256" i="13"/>
  <c r="E255" i="13"/>
  <c r="D255" i="13"/>
  <c r="C255" i="13"/>
  <c r="B255" i="13"/>
  <c r="E254" i="13"/>
  <c r="D254" i="13"/>
  <c r="C254" i="13"/>
  <c r="B254" i="13"/>
  <c r="E253" i="13"/>
  <c r="D253" i="13"/>
  <c r="C253" i="13"/>
  <c r="B253" i="13"/>
  <c r="E252" i="13"/>
  <c r="D252" i="13"/>
  <c r="C252" i="13"/>
  <c r="B252" i="13"/>
  <c r="E251" i="13"/>
  <c r="D251" i="13"/>
  <c r="C251" i="13"/>
  <c r="B251" i="13"/>
  <c r="E250" i="13"/>
  <c r="D250" i="13"/>
  <c r="C250" i="13"/>
  <c r="B250" i="13"/>
  <c r="E249" i="13"/>
  <c r="D249" i="13"/>
  <c r="C249" i="13"/>
  <c r="B249" i="13"/>
  <c r="E248" i="13"/>
  <c r="D248" i="13"/>
  <c r="C248" i="13"/>
  <c r="B248" i="13"/>
  <c r="E247" i="13"/>
  <c r="D247" i="13"/>
  <c r="C247" i="13"/>
  <c r="B247" i="13"/>
  <c r="E246" i="13"/>
  <c r="D246" i="13"/>
  <c r="C246" i="13"/>
  <c r="B246" i="13"/>
  <c r="E245" i="13"/>
  <c r="D245" i="13"/>
  <c r="C245" i="13"/>
  <c r="B245" i="13"/>
  <c r="E244" i="13"/>
  <c r="D244" i="13"/>
  <c r="C244" i="13"/>
  <c r="B244" i="13"/>
  <c r="E243" i="13"/>
  <c r="D243" i="13"/>
  <c r="C243" i="13"/>
  <c r="B243" i="13"/>
  <c r="E242" i="13"/>
  <c r="D242" i="13"/>
  <c r="C242" i="13"/>
  <c r="B242" i="13"/>
  <c r="E241" i="13"/>
  <c r="D241" i="13"/>
  <c r="C241" i="13"/>
  <c r="B241" i="13"/>
  <c r="E240" i="13"/>
  <c r="D240" i="13"/>
  <c r="C240" i="13"/>
  <c r="B240" i="13"/>
  <c r="E239" i="13"/>
  <c r="D239" i="13"/>
  <c r="C239" i="13"/>
  <c r="B239" i="13"/>
  <c r="E238" i="13"/>
  <c r="D238" i="13"/>
  <c r="C238" i="13"/>
  <c r="B238" i="13"/>
  <c r="E237" i="13"/>
  <c r="D237" i="13"/>
  <c r="C237" i="13"/>
  <c r="B237" i="13"/>
  <c r="E236" i="13"/>
  <c r="D236" i="13"/>
  <c r="C236" i="13"/>
  <c r="B236" i="13"/>
  <c r="E235" i="13"/>
  <c r="D235" i="13"/>
  <c r="C235" i="13"/>
  <c r="B235" i="13"/>
  <c r="E234" i="13"/>
  <c r="D234" i="13"/>
  <c r="C234" i="13"/>
  <c r="B234" i="13"/>
  <c r="E233" i="13"/>
  <c r="D233" i="13"/>
  <c r="C233" i="13"/>
  <c r="B233" i="13"/>
  <c r="E232" i="13"/>
  <c r="D232" i="13"/>
  <c r="C232" i="13"/>
  <c r="B232" i="13"/>
  <c r="E231" i="13"/>
  <c r="D231" i="13"/>
  <c r="C231" i="13"/>
  <c r="B231" i="13"/>
  <c r="E230" i="13"/>
  <c r="D230" i="13"/>
  <c r="C230" i="13"/>
  <c r="B230" i="13"/>
  <c r="E229" i="13"/>
  <c r="D229" i="13"/>
  <c r="C229" i="13"/>
  <c r="B229" i="13"/>
  <c r="E228" i="13"/>
  <c r="D228" i="13"/>
  <c r="C228" i="13"/>
  <c r="B228" i="13"/>
  <c r="E227" i="13"/>
  <c r="D227" i="13"/>
  <c r="C227" i="13"/>
  <c r="B227" i="13"/>
  <c r="E226" i="13"/>
  <c r="D226" i="13"/>
  <c r="C226" i="13"/>
  <c r="B226" i="13"/>
  <c r="E225" i="13"/>
  <c r="D225" i="13"/>
  <c r="C225" i="13"/>
  <c r="B225" i="13"/>
  <c r="E224" i="13"/>
  <c r="D224" i="13"/>
  <c r="C224" i="13"/>
  <c r="B224" i="13"/>
  <c r="E223" i="13"/>
  <c r="D223" i="13"/>
  <c r="C223" i="13"/>
  <c r="B223" i="13"/>
  <c r="E222" i="13"/>
  <c r="D222" i="13"/>
  <c r="C222" i="13"/>
  <c r="B222" i="13"/>
  <c r="E221" i="13"/>
  <c r="D221" i="13"/>
  <c r="C221" i="13"/>
  <c r="B221" i="13"/>
  <c r="E220" i="13"/>
  <c r="D220" i="13"/>
  <c r="C220" i="13"/>
  <c r="B220" i="13"/>
  <c r="E219" i="13"/>
  <c r="D219" i="13"/>
  <c r="C219" i="13"/>
  <c r="B219" i="13"/>
  <c r="E218" i="13"/>
  <c r="D218" i="13"/>
  <c r="C218" i="13"/>
  <c r="B218" i="13"/>
  <c r="E217" i="13"/>
  <c r="D217" i="13"/>
  <c r="C217" i="13"/>
  <c r="B217" i="13"/>
  <c r="E216" i="13"/>
  <c r="D216" i="13"/>
  <c r="C216" i="13"/>
  <c r="B216" i="13"/>
  <c r="E215" i="13"/>
  <c r="D215" i="13"/>
  <c r="C215" i="13"/>
  <c r="B215" i="13"/>
  <c r="E214" i="13"/>
  <c r="D214" i="13"/>
  <c r="C214" i="13"/>
  <c r="B214" i="13"/>
  <c r="E213" i="13"/>
  <c r="D213" i="13"/>
  <c r="C213" i="13"/>
  <c r="B213" i="13"/>
  <c r="E212" i="13"/>
  <c r="D212" i="13"/>
  <c r="C212" i="13"/>
  <c r="B212" i="13"/>
  <c r="E211" i="13"/>
  <c r="D211" i="13"/>
  <c r="C211" i="13"/>
  <c r="B211" i="13"/>
  <c r="E210" i="13"/>
  <c r="D210" i="13"/>
  <c r="C210" i="13"/>
  <c r="B210" i="13"/>
  <c r="E209" i="13"/>
  <c r="D209" i="13"/>
  <c r="C209" i="13"/>
  <c r="B209" i="13"/>
  <c r="E208" i="13"/>
  <c r="D208" i="13"/>
  <c r="C208" i="13"/>
  <c r="B208" i="13"/>
  <c r="E207" i="13"/>
  <c r="D207" i="13"/>
  <c r="C207" i="13"/>
  <c r="B207" i="13"/>
  <c r="E206" i="13"/>
  <c r="D206" i="13"/>
  <c r="C206" i="13"/>
  <c r="B206" i="13"/>
  <c r="E205" i="13"/>
  <c r="D205" i="13"/>
  <c r="C205" i="13"/>
  <c r="B205" i="13"/>
  <c r="E204" i="13"/>
  <c r="D204" i="13"/>
  <c r="C204" i="13"/>
  <c r="B204" i="13"/>
  <c r="E203" i="13"/>
  <c r="D203" i="13"/>
  <c r="C203" i="13"/>
  <c r="B203" i="13"/>
  <c r="E202" i="13"/>
  <c r="D202" i="13"/>
  <c r="C202" i="13"/>
  <c r="B202" i="13"/>
  <c r="E201" i="13"/>
  <c r="D201" i="13"/>
  <c r="C201" i="13"/>
  <c r="B201" i="13"/>
  <c r="E200" i="13"/>
  <c r="D200" i="13"/>
  <c r="C200" i="13"/>
  <c r="B200" i="13"/>
  <c r="E199" i="13"/>
  <c r="D199" i="13"/>
  <c r="C199" i="13"/>
  <c r="B199" i="13"/>
  <c r="E198" i="13"/>
  <c r="D198" i="13"/>
  <c r="C198" i="13"/>
  <c r="B198" i="13"/>
  <c r="E197" i="13"/>
  <c r="D197" i="13"/>
  <c r="C197" i="13"/>
  <c r="B197" i="13"/>
  <c r="E196" i="13"/>
  <c r="D196" i="13"/>
  <c r="C196" i="13"/>
  <c r="B196" i="13"/>
  <c r="E195" i="13"/>
  <c r="D195" i="13"/>
  <c r="C195" i="13"/>
  <c r="B195" i="13"/>
  <c r="E194" i="13"/>
  <c r="D194" i="13"/>
  <c r="C194" i="13"/>
  <c r="B194" i="13"/>
  <c r="E193" i="13"/>
  <c r="D193" i="13"/>
  <c r="C193" i="13"/>
  <c r="B193" i="13"/>
  <c r="E192" i="13"/>
  <c r="D192" i="13"/>
  <c r="C192" i="13"/>
  <c r="B192" i="13"/>
  <c r="E191" i="13"/>
  <c r="D191" i="13"/>
  <c r="C191" i="13"/>
  <c r="B191" i="13"/>
  <c r="E190" i="13"/>
  <c r="D190" i="13"/>
  <c r="C190" i="13"/>
  <c r="B190" i="13"/>
  <c r="E189" i="13"/>
  <c r="D189" i="13"/>
  <c r="C189" i="13"/>
  <c r="B189" i="13"/>
  <c r="E188" i="13"/>
  <c r="D188" i="13"/>
  <c r="C188" i="13"/>
  <c r="B188" i="13"/>
  <c r="E187" i="13"/>
  <c r="D187" i="13"/>
  <c r="C187" i="13"/>
  <c r="B187" i="13"/>
  <c r="E186" i="13"/>
  <c r="D186" i="13"/>
  <c r="C186" i="13"/>
  <c r="B186" i="13"/>
  <c r="E185" i="13"/>
  <c r="D185" i="13"/>
  <c r="C185" i="13"/>
  <c r="B185" i="13"/>
  <c r="E184" i="13"/>
  <c r="D184" i="13"/>
  <c r="C184" i="13"/>
  <c r="B184" i="13"/>
  <c r="E183" i="13"/>
  <c r="D183" i="13"/>
  <c r="C183" i="13"/>
  <c r="B183" i="13"/>
  <c r="E182" i="13"/>
  <c r="D182" i="13"/>
  <c r="C182" i="13"/>
  <c r="B182" i="13"/>
  <c r="E181" i="13"/>
  <c r="D181" i="13"/>
  <c r="C181" i="13"/>
  <c r="B181" i="13"/>
  <c r="E180" i="13"/>
  <c r="D180" i="13"/>
  <c r="C180" i="13"/>
  <c r="B180" i="13"/>
  <c r="E179" i="13"/>
  <c r="D179" i="13"/>
  <c r="C179" i="13"/>
  <c r="B179" i="13"/>
  <c r="E178" i="13"/>
  <c r="D178" i="13"/>
  <c r="C178" i="13"/>
  <c r="B178" i="13"/>
  <c r="E177" i="13"/>
  <c r="D177" i="13"/>
  <c r="C177" i="13"/>
  <c r="B177" i="13"/>
  <c r="E176" i="13"/>
  <c r="D176" i="13"/>
  <c r="C176" i="13"/>
  <c r="B176" i="13"/>
  <c r="E175" i="13"/>
  <c r="D175" i="13"/>
  <c r="C175" i="13"/>
  <c r="B175" i="13"/>
  <c r="E174" i="13"/>
  <c r="D174" i="13"/>
  <c r="C174" i="13"/>
  <c r="B174" i="13"/>
  <c r="E173" i="13"/>
  <c r="D173" i="13"/>
  <c r="C173" i="13"/>
  <c r="B173" i="13"/>
  <c r="E172" i="13"/>
  <c r="D172" i="13"/>
  <c r="C172" i="13"/>
  <c r="B172" i="13"/>
  <c r="E171" i="13"/>
  <c r="D171" i="13"/>
  <c r="C171" i="13"/>
  <c r="B171" i="13"/>
  <c r="E170" i="13"/>
  <c r="D170" i="13"/>
  <c r="C170" i="13"/>
  <c r="B170" i="13"/>
  <c r="E169" i="13"/>
  <c r="D169" i="13"/>
  <c r="C169" i="13"/>
  <c r="B169" i="13"/>
  <c r="E168" i="13"/>
  <c r="D168" i="13"/>
  <c r="C168" i="13"/>
  <c r="B168" i="13"/>
  <c r="E167" i="13"/>
  <c r="D167" i="13"/>
  <c r="C167" i="13"/>
  <c r="B167" i="13"/>
  <c r="E166" i="13"/>
  <c r="D166" i="13"/>
  <c r="C166" i="13"/>
  <c r="B166" i="13"/>
  <c r="E165" i="13"/>
  <c r="D165" i="13"/>
  <c r="C165" i="13"/>
  <c r="B165" i="13"/>
  <c r="E164" i="13"/>
  <c r="D164" i="13"/>
  <c r="C164" i="13"/>
  <c r="B164" i="13"/>
  <c r="E163" i="13"/>
  <c r="D163" i="13"/>
  <c r="C163" i="13"/>
  <c r="B163" i="13"/>
  <c r="E162" i="13"/>
  <c r="D162" i="13"/>
  <c r="C162" i="13"/>
  <c r="B162" i="13"/>
  <c r="E161" i="13"/>
  <c r="D161" i="13"/>
  <c r="C161" i="13"/>
  <c r="B161" i="13"/>
  <c r="E160" i="13"/>
  <c r="D160" i="13"/>
  <c r="C160" i="13"/>
  <c r="B160" i="13"/>
  <c r="E159" i="13"/>
  <c r="D159" i="13"/>
  <c r="C159" i="13"/>
  <c r="B159" i="13"/>
  <c r="E158" i="13"/>
  <c r="D158" i="13"/>
  <c r="C158" i="13"/>
  <c r="B158" i="13"/>
  <c r="E157" i="13"/>
  <c r="D157" i="13"/>
  <c r="C157" i="13"/>
  <c r="B157" i="13"/>
  <c r="E156" i="13"/>
  <c r="D156" i="13"/>
  <c r="C156" i="13"/>
  <c r="B156" i="13"/>
  <c r="E155" i="13"/>
  <c r="D155" i="13"/>
  <c r="C155" i="13"/>
  <c r="B155" i="13"/>
  <c r="E154" i="13"/>
  <c r="D154" i="13"/>
  <c r="C154" i="13"/>
  <c r="B154" i="13"/>
  <c r="E153" i="13"/>
  <c r="D153" i="13"/>
  <c r="C153" i="13"/>
  <c r="B153" i="13"/>
  <c r="E152" i="13"/>
  <c r="D152" i="13"/>
  <c r="C152" i="13"/>
  <c r="B152" i="13"/>
  <c r="E151" i="13"/>
  <c r="D151" i="13"/>
  <c r="C151" i="13"/>
  <c r="B151" i="13"/>
  <c r="E150" i="13"/>
  <c r="D150" i="13"/>
  <c r="C150" i="13"/>
  <c r="B150" i="13"/>
  <c r="E149" i="13"/>
  <c r="D149" i="13"/>
  <c r="C149" i="13"/>
  <c r="B149" i="13"/>
  <c r="E148" i="13"/>
  <c r="D148" i="13"/>
  <c r="C148" i="13"/>
  <c r="B148" i="13"/>
  <c r="E147" i="13"/>
  <c r="D147" i="13"/>
  <c r="C147" i="13"/>
  <c r="B147" i="13"/>
  <c r="E146" i="13"/>
  <c r="D146" i="13"/>
  <c r="C146" i="13"/>
  <c r="B146" i="13"/>
  <c r="E145" i="13"/>
  <c r="D145" i="13"/>
  <c r="C145" i="13"/>
  <c r="B145" i="13"/>
  <c r="E144" i="13"/>
  <c r="D144" i="13"/>
  <c r="C144" i="13"/>
  <c r="B144" i="13"/>
  <c r="E143" i="13"/>
  <c r="D143" i="13"/>
  <c r="C143" i="13"/>
  <c r="B143" i="13"/>
  <c r="E142" i="13"/>
  <c r="D142" i="13"/>
  <c r="C142" i="13"/>
  <c r="B142" i="13"/>
  <c r="E141" i="13"/>
  <c r="D141" i="13"/>
  <c r="C141" i="13"/>
  <c r="B141" i="13"/>
  <c r="E140" i="13"/>
  <c r="D140" i="13"/>
  <c r="C140" i="13"/>
  <c r="B140" i="13"/>
  <c r="E139" i="13"/>
  <c r="D139" i="13"/>
  <c r="C139" i="13"/>
  <c r="B139" i="13"/>
  <c r="E138" i="13"/>
  <c r="D138" i="13"/>
  <c r="C138" i="13"/>
  <c r="B138" i="13"/>
  <c r="C7" i="19" l="1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B5" i="13"/>
  <c r="C5" i="13"/>
  <c r="D5" i="13"/>
  <c r="E5" i="13"/>
  <c r="B6" i="13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B54" i="13"/>
  <c r="C54" i="13"/>
  <c r="D54" i="13"/>
  <c r="E54" i="13"/>
  <c r="B55" i="13"/>
  <c r="C55" i="13"/>
  <c r="D55" i="13"/>
  <c r="E55" i="13"/>
  <c r="B56" i="13"/>
  <c r="C56" i="13"/>
  <c r="D56" i="13"/>
  <c r="E56" i="13"/>
  <c r="B57" i="13"/>
  <c r="C57" i="13"/>
  <c r="D57" i="13"/>
  <c r="E57" i="13"/>
  <c r="B58" i="13"/>
  <c r="C58" i="13"/>
  <c r="D58" i="13"/>
  <c r="E58" i="13"/>
  <c r="B59" i="13"/>
  <c r="C59" i="13"/>
  <c r="D59" i="13"/>
  <c r="E59" i="13"/>
  <c r="B60" i="13"/>
  <c r="C60" i="13"/>
  <c r="D60" i="13"/>
  <c r="E60" i="13"/>
  <c r="B61" i="13"/>
  <c r="C61" i="13"/>
  <c r="D61" i="13"/>
  <c r="E61" i="13"/>
  <c r="B62" i="13"/>
  <c r="C62" i="13"/>
  <c r="D62" i="13"/>
  <c r="E62" i="13"/>
  <c r="B63" i="13"/>
  <c r="C63" i="13"/>
  <c r="D63" i="13"/>
  <c r="E63" i="13"/>
  <c r="B64" i="13"/>
  <c r="C64" i="13"/>
  <c r="D64" i="13"/>
  <c r="E64" i="13"/>
  <c r="B65" i="13"/>
  <c r="C65" i="13"/>
  <c r="D65" i="13"/>
  <c r="E65" i="13"/>
  <c r="B66" i="13"/>
  <c r="C66" i="13"/>
  <c r="D66" i="13"/>
  <c r="E66" i="13"/>
  <c r="B67" i="13"/>
  <c r="C67" i="13"/>
  <c r="D67" i="13"/>
  <c r="E67" i="13"/>
  <c r="B68" i="13"/>
  <c r="C68" i="13"/>
  <c r="D68" i="13"/>
  <c r="E68" i="13"/>
  <c r="B69" i="13"/>
  <c r="C69" i="13"/>
  <c r="D69" i="13"/>
  <c r="E69" i="13"/>
  <c r="B70" i="13"/>
  <c r="C70" i="13"/>
  <c r="D70" i="13"/>
  <c r="E70" i="13"/>
  <c r="B71" i="13"/>
  <c r="C71" i="13"/>
  <c r="D71" i="13"/>
  <c r="E71" i="13"/>
  <c r="B72" i="13"/>
  <c r="C72" i="13"/>
  <c r="D72" i="13"/>
  <c r="E72" i="13"/>
  <c r="B73" i="13"/>
  <c r="C73" i="13"/>
  <c r="D73" i="13"/>
  <c r="E73" i="13"/>
  <c r="B74" i="13"/>
  <c r="C74" i="13"/>
  <c r="D74" i="13"/>
  <c r="E74" i="13"/>
  <c r="B75" i="13"/>
  <c r="C75" i="13"/>
  <c r="D75" i="13"/>
  <c r="E75" i="13"/>
  <c r="B76" i="13"/>
  <c r="C76" i="13"/>
  <c r="D76" i="13"/>
  <c r="E76" i="13"/>
  <c r="B77" i="13"/>
  <c r="C77" i="13"/>
  <c r="D77" i="13"/>
  <c r="E77" i="13"/>
  <c r="B78" i="13"/>
  <c r="C78" i="13"/>
  <c r="D78" i="13"/>
  <c r="E78" i="13"/>
  <c r="B79" i="13"/>
  <c r="C79" i="13"/>
  <c r="D79" i="13"/>
  <c r="E79" i="13"/>
  <c r="B80" i="13"/>
  <c r="C80" i="13"/>
  <c r="D80" i="13"/>
  <c r="E80" i="13"/>
  <c r="B81" i="13"/>
  <c r="C81" i="13"/>
  <c r="D81" i="13"/>
  <c r="E81" i="13"/>
  <c r="B82" i="13"/>
  <c r="C82" i="13"/>
  <c r="D82" i="13"/>
  <c r="E82" i="13"/>
  <c r="B83" i="13"/>
  <c r="C83" i="13"/>
  <c r="D83" i="13"/>
  <c r="E83" i="13"/>
  <c r="B84" i="13"/>
  <c r="C84" i="13"/>
  <c r="D84" i="13"/>
  <c r="E84" i="13"/>
  <c r="H21" i="22"/>
  <c r="I21" i="22" s="1"/>
  <c r="B7" i="19" l="1"/>
  <c r="B8" i="19"/>
  <c r="B9" i="19"/>
  <c r="B16" i="19" l="1"/>
  <c r="B15" i="19"/>
  <c r="B14" i="19"/>
  <c r="C9" i="19"/>
  <c r="C8" i="19"/>
  <c r="F36" i="25"/>
  <c r="H36" i="25" s="1"/>
  <c r="D36" i="25"/>
  <c r="B36" i="25"/>
  <c r="F35" i="25"/>
  <c r="H35" i="25" s="1"/>
  <c r="D35" i="25"/>
  <c r="B35" i="25"/>
  <c r="F34" i="25"/>
  <c r="H34" i="25" s="1"/>
  <c r="D34" i="25"/>
  <c r="B34" i="25"/>
  <c r="F33" i="25"/>
  <c r="H33" i="25" s="1"/>
  <c r="D33" i="25"/>
  <c r="B33" i="25"/>
  <c r="F32" i="25"/>
  <c r="H32" i="25" s="1"/>
  <c r="D32" i="25"/>
  <c r="B32" i="25"/>
  <c r="F31" i="25"/>
  <c r="H31" i="25" s="1"/>
  <c r="D31" i="25"/>
  <c r="B31" i="25"/>
  <c r="F30" i="25"/>
  <c r="H30" i="25" s="1"/>
  <c r="D30" i="25"/>
  <c r="B30" i="25"/>
  <c r="F29" i="25"/>
  <c r="H29" i="25" s="1"/>
  <c r="D29" i="25"/>
  <c r="B29" i="25"/>
  <c r="F28" i="25"/>
  <c r="H28" i="25" s="1"/>
  <c r="D28" i="25"/>
  <c r="B28" i="25"/>
  <c r="F27" i="25"/>
  <c r="H27" i="25" s="1"/>
  <c r="D27" i="25"/>
  <c r="B27" i="25"/>
  <c r="F26" i="25"/>
  <c r="H26" i="25" s="1"/>
  <c r="D26" i="25"/>
  <c r="B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F21" i="25"/>
  <c r="H21" i="25" s="1"/>
  <c r="D21" i="25"/>
  <c r="B21" i="25"/>
  <c r="F20" i="25"/>
  <c r="H20" i="25" s="1"/>
  <c r="D20" i="25"/>
  <c r="B20" i="25"/>
  <c r="F19" i="25"/>
  <c r="H19" i="25" s="1"/>
  <c r="D19" i="25"/>
  <c r="B19" i="25"/>
  <c r="G38" i="22"/>
  <c r="D38" i="22"/>
  <c r="B38" i="22"/>
  <c r="G36" i="22"/>
  <c r="D36" i="22"/>
  <c r="B36" i="22"/>
  <c r="G35" i="22"/>
  <c r="D35" i="22"/>
  <c r="B35" i="22"/>
  <c r="G34" i="22"/>
  <c r="D34" i="22"/>
  <c r="B34" i="22"/>
  <c r="G32" i="22"/>
  <c r="D32" i="22"/>
  <c r="B32" i="22"/>
  <c r="G31" i="22"/>
  <c r="D31" i="22"/>
  <c r="B31" i="22"/>
  <c r="G30" i="22"/>
  <c r="D30" i="22"/>
  <c r="B30" i="22"/>
  <c r="G29" i="22"/>
  <c r="D29" i="22"/>
  <c r="B29" i="22"/>
  <c r="G27" i="22"/>
  <c r="D27" i="22"/>
  <c r="B27" i="22"/>
  <c r="G26" i="22"/>
  <c r="D26" i="22"/>
  <c r="B26" i="22"/>
  <c r="D25" i="22"/>
  <c r="B25" i="22"/>
  <c r="G24" i="22"/>
  <c r="D24" i="22"/>
  <c r="B24" i="22"/>
  <c r="D16" i="19" l="1"/>
  <c r="D15" i="19"/>
  <c r="E15" i="19"/>
  <c r="E16" i="19"/>
  <c r="E14" i="19"/>
  <c r="G25" i="22"/>
  <c r="D14" i="19" s="1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D39" i="31"/>
  <c r="D41" i="31"/>
  <c r="D40" i="31"/>
  <c r="D21" i="31" l="1"/>
  <c r="D22" i="31"/>
  <c r="D23" i="31"/>
  <c r="I37" i="31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E13" i="32" l="1"/>
  <c r="F13" i="32" s="1"/>
  <c r="G13" i="32" s="1"/>
  <c r="H13" i="32" s="1"/>
  <c r="I13" i="32" s="1"/>
  <c r="E10" i="32"/>
  <c r="F10" i="32" s="1"/>
  <c r="G10" i="32" s="1"/>
  <c r="H10" i="32" s="1"/>
  <c r="I10" i="32" s="1"/>
  <c r="E9" i="32"/>
  <c r="F9" i="32" s="1"/>
  <c r="G9" i="32" s="1"/>
  <c r="H9" i="32" s="1"/>
  <c r="I9" i="32" s="1"/>
  <c r="E14" i="32"/>
  <c r="F14" i="32" s="1"/>
  <c r="G14" i="32" s="1"/>
  <c r="H14" i="32" s="1"/>
  <c r="I14" i="32" s="1"/>
  <c r="E11" i="32"/>
  <c r="F11" i="32" s="1"/>
  <c r="G11" i="32" s="1"/>
  <c r="H11" i="32" s="1"/>
  <c r="I11" i="32" s="1"/>
  <c r="E12" i="32"/>
  <c r="F12" i="32" s="1"/>
  <c r="G12" i="32" s="1"/>
  <c r="H12" i="32" s="1"/>
  <c r="I12" i="32" s="1"/>
  <c r="E15" i="25"/>
  <c r="F15" i="25" s="1"/>
  <c r="G15" i="25" s="1"/>
  <c r="H15" i="25" s="1"/>
  <c r="I15" i="25" s="1"/>
  <c r="E9" i="25"/>
  <c r="F9" i="25" s="1"/>
  <c r="G9" i="25" s="1"/>
  <c r="H9" i="25" s="1"/>
  <c r="I9" i="25" s="1"/>
  <c r="E16" i="22"/>
  <c r="F16" i="22" s="1"/>
  <c r="G16" i="22" s="1"/>
  <c r="H15" i="22" s="1"/>
  <c r="I15" i="22" s="1"/>
  <c r="E10" i="22"/>
  <c r="F10" i="22" s="1"/>
  <c r="G10" i="22" s="1"/>
  <c r="H9" i="22" s="1"/>
  <c r="I9" i="22" s="1"/>
  <c r="E11" i="22"/>
  <c r="F11" i="22" s="1"/>
  <c r="G11" i="22" s="1"/>
  <c r="H10" i="22" s="1"/>
  <c r="I10" i="22" s="1"/>
  <c r="E14" i="25"/>
  <c r="F14" i="25" s="1"/>
  <c r="G14" i="25" s="1"/>
  <c r="H14" i="25" s="1"/>
  <c r="I14" i="25" s="1"/>
  <c r="E15" i="22"/>
  <c r="F15" i="22" s="1"/>
  <c r="G15" i="22" s="1"/>
  <c r="H14" i="22" s="1"/>
  <c r="I14" i="22" s="1"/>
  <c r="E9" i="22"/>
  <c r="F9" i="22" s="1"/>
  <c r="G9" i="22" s="1"/>
  <c r="E13" i="25"/>
  <c r="F13" i="25" s="1"/>
  <c r="G13" i="25" s="1"/>
  <c r="H13" i="25" s="1"/>
  <c r="I13" i="25" s="1"/>
  <c r="E21" i="22"/>
  <c r="F21" i="22" s="1"/>
  <c r="G21" i="22" s="1"/>
  <c r="H20" i="22" s="1"/>
  <c r="I20" i="22" s="1"/>
  <c r="E14" i="22"/>
  <c r="F14" i="22" s="1"/>
  <c r="G14" i="22" s="1"/>
  <c r="H13" i="22" s="1"/>
  <c r="I13" i="22" s="1"/>
  <c r="E16" i="25"/>
  <c r="F16" i="25" s="1"/>
  <c r="G16" i="25" s="1"/>
  <c r="H16" i="25" s="1"/>
  <c r="I16" i="25" s="1"/>
  <c r="E12" i="25"/>
  <c r="F12" i="25" s="1"/>
  <c r="G12" i="25" s="1"/>
  <c r="H12" i="25" s="1"/>
  <c r="I12" i="25" s="1"/>
  <c r="E20" i="22"/>
  <c r="F20" i="22" s="1"/>
  <c r="G20" i="22" s="1"/>
  <c r="H19" i="22" s="1"/>
  <c r="I19" i="22" s="1"/>
  <c r="E13" i="22"/>
  <c r="F13" i="22" s="1"/>
  <c r="G13" i="22" s="1"/>
  <c r="H12" i="22" s="1"/>
  <c r="I12" i="22" s="1"/>
  <c r="E10" i="25"/>
  <c r="F10" i="25" s="1"/>
  <c r="G10" i="25" s="1"/>
  <c r="H10" i="25" s="1"/>
  <c r="I10" i="25" s="1"/>
  <c r="E11" i="25"/>
  <c r="F11" i="25" s="1"/>
  <c r="G11" i="25" s="1"/>
  <c r="H11" i="25" s="1"/>
  <c r="I11" i="25" s="1"/>
  <c r="E19" i="22"/>
  <c r="F19" i="22" s="1"/>
  <c r="G19" i="22" s="1"/>
  <c r="E12" i="22"/>
  <c r="F12" i="22" s="1"/>
  <c r="G12" i="22" s="1"/>
  <c r="H11" i="22" s="1"/>
  <c r="I11" i="22" s="1"/>
  <c r="H16" i="22"/>
  <c r="I16" i="22" s="1"/>
  <c r="I39" i="31"/>
  <c r="K39" i="31" s="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F29" i="24" s="1"/>
  <c r="E21" i="24"/>
  <c r="F21" i="24" s="1"/>
  <c r="E10" i="24"/>
  <c r="F10" i="24" s="1"/>
  <c r="E9" i="24"/>
  <c r="F9" i="24" s="1"/>
  <c r="O29" i="31"/>
  <c r="M33" i="31"/>
  <c r="M35" i="31" s="1"/>
  <c r="M37" i="31" s="1"/>
  <c r="H18" i="22" l="1"/>
  <c r="I18" i="22" s="1"/>
  <c r="H17" i="22"/>
  <c r="I17" i="22" s="1"/>
  <c r="G15" i="24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Q29" i="31"/>
  <c r="Q33" i="31" s="1"/>
  <c r="Q35" i="31" s="1"/>
  <c r="Q37" i="31" l="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34" i="24" l="1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T5" i="13" l="1"/>
  <c r="U5" i="13" l="1"/>
  <c r="AD5" i="13" s="1"/>
  <c r="D7" i="19" l="1"/>
  <c r="V5" i="13"/>
  <c r="W5" i="13" s="1"/>
  <c r="AF5" i="13" s="1"/>
  <c r="D8" i="19"/>
  <c r="D9" i="19" l="1"/>
  <c r="AE5" i="13"/>
  <c r="E9" i="19"/>
  <c r="E8" i="19"/>
  <c r="F8" i="19" s="1"/>
  <c r="E7" i="19" l="1"/>
  <c r="F7" i="19" s="1"/>
  <c r="F9" i="19"/>
  <c r="C10" i="19" l="1"/>
  <c r="G39" i="22" l="1"/>
  <c r="H37" i="25" l="1"/>
  <c r="E17" i="19" l="1"/>
  <c r="D17" i="19" l="1"/>
  <c r="G7" i="19" l="1"/>
  <c r="H7" i="19" s="1"/>
  <c r="C14" i="19"/>
  <c r="G14" i="19" s="1"/>
  <c r="C16" i="19"/>
  <c r="G16" i="19" s="1"/>
  <c r="G9" i="19"/>
  <c r="H9" i="19" s="1"/>
  <c r="G8" i="19"/>
  <c r="H8" i="19" s="1"/>
  <c r="C15" i="19"/>
  <c r="G15" i="19" s="1"/>
  <c r="G17" i="19" l="1"/>
  <c r="D10" i="19"/>
  <c r="E10" i="19" l="1"/>
  <c r="F10" i="19" s="1"/>
  <c r="G10" i="19"/>
  <c r="H10" i="19" l="1"/>
  <c r="C17" i="19"/>
</calcChain>
</file>

<file path=xl/sharedStrings.xml><?xml version="1.0" encoding="utf-8"?>
<sst xmlns="http://schemas.openxmlformats.org/spreadsheetml/2006/main" count="2997" uniqueCount="939">
  <si>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</si>
  <si>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</si>
  <si>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</si>
  <si>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</si>
  <si>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</si>
  <si>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</si>
  <si>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</si>
  <si>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</si>
  <si>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</si>
  <si>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</si>
  <si>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</si>
  <si>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</si>
  <si>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</si>
  <si>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</si>
  <si>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</si>
  <si>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</si>
  <si>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</si>
  <si>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</si>
  <si>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</si>
  <si>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</si>
  <si>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</si>
  <si>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</si>
  <si>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</si>
  <si>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</si>
  <si>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</si>
  <si>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</si>
  <si>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</si>
  <si>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</si>
  <si>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</si>
  <si>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</si>
  <si>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</si>
  <si>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</si>
  <si>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</si>
  <si>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</si>
  <si>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</si>
  <si>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</si>
  <si>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</si>
  <si>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</si>
  <si>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</si>
  <si>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</si>
  <si>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</si>
  <si>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</si>
  <si>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</si>
  <si>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</si>
  <si>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</si>
  <si>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</si>
  <si>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</si>
  <si>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</si>
  <si>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</si>
  <si>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</si>
  <si>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</si>
  <si>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</si>
  <si>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</si>
  <si>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</si>
  <si>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</si>
  <si>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</si>
  <si>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</si>
  <si>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</si>
  <si>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</si>
  <si>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</si>
  <si>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</si>
  <si>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</si>
  <si>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</si>
  <si>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</si>
  <si>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</si>
  <si>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</si>
  <si>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</si>
  <si>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</si>
  <si>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</si>
  <si>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</si>
  <si>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</si>
  <si>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</si>
  <si>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</si>
  <si>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</si>
  <si>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</si>
  <si>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</si>
  <si>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</si>
  <si>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</si>
  <si>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</si>
  <si>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</si>
  <si>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</si>
  <si>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</si>
  <si>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</si>
  <si>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</si>
  <si>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</si>
  <si>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</si>
  <si>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</si>
  <si>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</si>
  <si>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</si>
  <si>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</si>
  <si>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</si>
  <si>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</si>
  <si>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</si>
  <si>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</si>
  <si>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</si>
  <si>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</si>
  <si>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</si>
  <si>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</si>
  <si>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</si>
  <si>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</si>
  <si>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</si>
  <si>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</si>
  <si>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</si>
  <si>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</si>
  <si>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</si>
  <si>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</si>
  <si>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</si>
  <si>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</si>
  <si>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</si>
  <si>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</si>
  <si>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</si>
  <si>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</si>
  <si>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</si>
  <si>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</si>
  <si>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</si>
  <si>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</si>
  <si>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</si>
  <si>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</si>
  <si>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</si>
  <si>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</si>
  <si>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</si>
  <si>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</si>
  <si>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</si>
  <si>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</si>
  <si>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werkdagen</t>
  </si>
  <si>
    <t>Frequentie weekend</t>
  </si>
  <si>
    <t>Aantal weken/jr</t>
  </si>
  <si>
    <t>Frequentie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</si>
  <si>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</si>
  <si>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</si>
  <si>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</si>
  <si>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</si>
  <si>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</si>
  <si>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</si>
  <si>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</si>
  <si>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</si>
  <si>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</si>
  <si>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</si>
  <si>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</si>
  <si>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</si>
  <si>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</si>
  <si>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</si>
  <si>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</si>
  <si>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</si>
  <si>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</si>
  <si>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</si>
  <si>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</si>
  <si>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</si>
  <si>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</si>
  <si>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</si>
  <si>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</si>
  <si>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</si>
  <si>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</si>
  <si>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</si>
  <si>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</si>
  <si>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</si>
  <si>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</si>
  <si>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</si>
  <si>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</si>
  <si>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</si>
  <si>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</si>
  <si>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</si>
  <si>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</si>
  <si>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</si>
  <si>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</si>
  <si>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</si>
  <si>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</si>
  <si>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</si>
  <si>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</si>
  <si>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</si>
  <si>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</si>
  <si>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</si>
  <si>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</si>
  <si>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</si>
  <si>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</si>
  <si>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</si>
  <si>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</si>
  <si>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</si>
  <si>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</si>
  <si>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</si>
  <si>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</si>
  <si>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</si>
  <si>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</si>
  <si>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</si>
  <si>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</si>
  <si>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</si>
  <si>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</si>
  <si>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</si>
  <si>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</si>
  <si>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</si>
  <si>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</si>
  <si>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</si>
  <si>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</si>
  <si>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</si>
  <si>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</si>
  <si>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</si>
  <si>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</si>
  <si>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</si>
  <si>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</si>
  <si>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</si>
  <si>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</si>
  <si>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</si>
  <si>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</si>
  <si>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</si>
  <si>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</si>
  <si>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</si>
  <si>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</si>
  <si>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</si>
  <si>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</si>
  <si>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</si>
  <si>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</si>
  <si>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</si>
  <si>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</si>
  <si>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</si>
  <si>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</si>
  <si>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</si>
  <si>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</si>
  <si>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</si>
  <si>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</si>
  <si>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</si>
  <si>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</si>
  <si>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</si>
  <si>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</si>
  <si>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</si>
  <si>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</si>
  <si>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</si>
  <si>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</si>
  <si>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</si>
  <si>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</si>
  <si>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</si>
  <si>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</si>
  <si>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</si>
  <si>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</si>
  <si>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</si>
  <si>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</si>
  <si>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</si>
  <si>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</si>
  <si>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</si>
  <si>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Dakglas (enkel gemeten, dubbel te wassen)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</si>
  <si>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</si>
  <si>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</si>
  <si>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</si>
  <si>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</si>
  <si>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</si>
  <si>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</si>
  <si>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</si>
  <si>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</si>
  <si>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</si>
  <si>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</si>
  <si>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</si>
  <si>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</si>
  <si>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</si>
  <si>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</si>
  <si>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</si>
  <si>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</si>
  <si>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</si>
  <si>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</si>
  <si>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Garderobe</t>
  </si>
  <si>
    <t>Prijs per strekkende meter, incl materialen en middelen</t>
  </si>
  <si>
    <t>H4</t>
  </si>
  <si>
    <t>Spinhoogwerker</t>
  </si>
  <si>
    <t>Vliesgevel/boeiboord/damwand</t>
  </si>
  <si>
    <t>Trespabeplating</t>
  </si>
  <si>
    <t>Geboorte- datum</t>
  </si>
  <si>
    <t>Branche datum</t>
  </si>
  <si>
    <t>Soort  contract</t>
  </si>
  <si>
    <t>Aantal uur op object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</si>
  <si>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</si>
  <si>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</si>
  <si>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</si>
  <si>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</si>
  <si>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</si>
  <si>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</si>
  <si>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</si>
  <si>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boven CAO voor 31-12-2007 afgesproken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</si>
  <si>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</si>
  <si>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</si>
  <si>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</si>
  <si>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</si>
  <si>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</si>
  <si>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</si>
  <si>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</si>
  <si>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</si>
  <si>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</si>
  <si>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</si>
  <si>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</si>
  <si>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</si>
  <si>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</si>
  <si>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</si>
  <si>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</si>
  <si>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</si>
  <si>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</si>
  <si>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</si>
  <si>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</si>
  <si>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</si>
  <si>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</si>
  <si>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</si>
  <si>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</si>
  <si>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</si>
  <si>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</si>
  <si>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</si>
  <si>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</si>
  <si>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</si>
  <si>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</si>
  <si>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</si>
  <si>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</si>
  <si>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</si>
  <si>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</si>
  <si>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</si>
  <si>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</si>
  <si>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</si>
  <si>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</si>
  <si>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</si>
  <si>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</si>
  <si>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</si>
  <si>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</si>
  <si>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</si>
  <si>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</si>
  <si>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</si>
  <si>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</si>
  <si>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</si>
  <si>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</si>
  <si>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</si>
  <si>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</si>
  <si>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</si>
  <si>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</si>
  <si>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</si>
  <si>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</si>
  <si>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</si>
  <si>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</si>
  <si>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</si>
  <si>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</si>
  <si>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</si>
  <si>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</si>
  <si>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</si>
  <si>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</si>
  <si>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</si>
  <si>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</si>
  <si>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</si>
  <si>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</si>
  <si>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</si>
  <si>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</si>
  <si>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</si>
  <si>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</si>
  <si>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</si>
  <si>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</si>
  <si>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</si>
  <si>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</si>
  <si>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</si>
  <si>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</si>
  <si>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</si>
  <si>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</si>
  <si>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</si>
  <si>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</si>
  <si>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</si>
  <si>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</si>
  <si>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</si>
  <si>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</si>
  <si>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</si>
  <si>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</si>
  <si>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</si>
  <si>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</si>
  <si>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</si>
  <si>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</si>
  <si>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</si>
  <si>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</si>
  <si>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</si>
  <si>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</si>
  <si>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</si>
  <si>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</si>
  <si>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</si>
  <si>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</si>
  <si>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</si>
  <si>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</si>
  <si>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</si>
  <si>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</si>
  <si>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</si>
  <si>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</si>
  <si>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</si>
  <si>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</si>
  <si>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</si>
  <si>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</si>
  <si>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</si>
  <si>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</si>
  <si>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</si>
  <si>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</si>
  <si>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</si>
  <si>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</si>
  <si>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</si>
  <si>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</si>
  <si>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</si>
  <si>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</si>
  <si>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</si>
  <si>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</si>
  <si>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</si>
  <si>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</si>
  <si>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</si>
  <si>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Handvaardigheidlokaal</t>
  </si>
  <si>
    <t>Personeelsruimte</t>
  </si>
  <si>
    <t>Lokaal</t>
  </si>
  <si>
    <t>Gym - / speellokaal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</si>
  <si>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</si>
  <si>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</si>
  <si>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</si>
  <si>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</si>
  <si>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</si>
  <si>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</si>
  <si>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</si>
  <si>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</si>
  <si>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</si>
  <si>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</si>
  <si>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</si>
  <si>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</si>
  <si>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</si>
  <si>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</si>
  <si>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</si>
  <si>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</si>
  <si>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</si>
  <si>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</si>
  <si>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</si>
  <si>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</si>
  <si>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</si>
  <si>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Diepreiniging volgens programma</t>
  </si>
  <si>
    <t>Sanitaire ruimte</t>
  </si>
  <si>
    <t>Datum in dienst</t>
  </si>
  <si>
    <t>De gehele vloer en alle wanden reinigen met fantomat</t>
  </si>
  <si>
    <t>Toestel berging</t>
  </si>
  <si>
    <t>Multifunctionele ruimte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</si>
  <si>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</si>
  <si>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</si>
  <si>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</si>
  <si>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</si>
  <si>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</si>
  <si>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</si>
  <si>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t>Reiskosten netto</t>
  </si>
  <si>
    <t>Geldig tot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</si>
  <si>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</si>
  <si>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2023</t>
  </si>
  <si>
    <t>2024</t>
  </si>
  <si>
    <t>2025</t>
  </si>
  <si>
    <t>2026</t>
  </si>
  <si>
    <t>0.01</t>
  </si>
  <si>
    <t>0.02</t>
  </si>
  <si>
    <t>0.03</t>
  </si>
  <si>
    <t>0.04</t>
  </si>
  <si>
    <t>0.05</t>
  </si>
  <si>
    <t>0.06</t>
  </si>
  <si>
    <t>0.07</t>
  </si>
  <si>
    <t>0.08</t>
  </si>
  <si>
    <t>Kleedruimte meisjes</t>
  </si>
  <si>
    <t>0.09</t>
  </si>
  <si>
    <t>Kleedruimte jongens</t>
  </si>
  <si>
    <t>0.10</t>
  </si>
  <si>
    <t>0.11</t>
  </si>
  <si>
    <t>0.12</t>
  </si>
  <si>
    <t>0.13</t>
  </si>
  <si>
    <t>0.14</t>
  </si>
  <si>
    <t>0.15</t>
  </si>
  <si>
    <t>Keuken</t>
  </si>
  <si>
    <t>0.16</t>
  </si>
  <si>
    <t>0.17</t>
  </si>
  <si>
    <t>0.19</t>
  </si>
  <si>
    <t>0.20</t>
  </si>
  <si>
    <t>0.21</t>
  </si>
  <si>
    <t>Werkkast</t>
  </si>
  <si>
    <t>0.22</t>
  </si>
  <si>
    <t>0.24</t>
  </si>
  <si>
    <t>0.25</t>
  </si>
  <si>
    <t>0.26</t>
  </si>
  <si>
    <t>0.30</t>
  </si>
  <si>
    <t>0.31</t>
  </si>
  <si>
    <t>0.32</t>
  </si>
  <si>
    <t>0.40</t>
  </si>
  <si>
    <t>0.51</t>
  </si>
  <si>
    <t>0.52</t>
  </si>
  <si>
    <t>0.53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</si>
  <si>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</si>
  <si>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</si>
  <si>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</si>
  <si>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</si>
  <si>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</si>
  <si>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</si>
  <si>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</si>
  <si>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</si>
  <si>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</si>
  <si>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1.11</t>
  </si>
  <si>
    <t>1.12</t>
  </si>
  <si>
    <t>Spreekkamer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</si>
  <si>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</si>
  <si>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</si>
  <si>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</si>
  <si>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</si>
  <si>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</si>
  <si>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</si>
  <si>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</si>
  <si>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</si>
  <si>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</si>
  <si>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</si>
  <si>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1.30</t>
  </si>
  <si>
    <t>1.31</t>
  </si>
  <si>
    <t>1.32</t>
  </si>
  <si>
    <t>Trap</t>
  </si>
  <si>
    <t>Lokaal scheikunde</t>
  </si>
  <si>
    <t>archief</t>
  </si>
  <si>
    <t>Roostermaker</t>
  </si>
  <si>
    <t>Repro</t>
  </si>
  <si>
    <t>Zorg</t>
  </si>
  <si>
    <t>Lokaal handvaardigheid</t>
  </si>
  <si>
    <t>Kantoor</t>
  </si>
  <si>
    <t>Toilet dames</t>
  </si>
  <si>
    <t>0.41</t>
  </si>
  <si>
    <t>Miva toilet</t>
  </si>
  <si>
    <t>Trappenhuis</t>
  </si>
  <si>
    <t>1.10</t>
  </si>
  <si>
    <t>Leslokaal</t>
  </si>
  <si>
    <t>Gymzaal</t>
  </si>
  <si>
    <t>Toestellen berging</t>
  </si>
  <si>
    <t>Hoofdentree</t>
  </si>
  <si>
    <t>Technische ruimte</t>
  </si>
  <si>
    <t>Serverruimte</t>
  </si>
  <si>
    <t>Sterrenlaan 16</t>
  </si>
  <si>
    <t>5631 KA</t>
  </si>
  <si>
    <t>Eindhoven</t>
  </si>
  <si>
    <t>BG</t>
  </si>
  <si>
    <t>1e verd</t>
  </si>
  <si>
    <t>2e verd</t>
  </si>
  <si>
    <t>0.02A</t>
  </si>
  <si>
    <t>Centraal Trappenhuis</t>
  </si>
  <si>
    <t>Gang naar toiletgroep</t>
  </si>
  <si>
    <t>Toiletgroep jongens</t>
  </si>
  <si>
    <t>Toiletgroep meisjes</t>
  </si>
  <si>
    <t>0.09A</t>
  </si>
  <si>
    <t xml:space="preserve">Trap </t>
  </si>
  <si>
    <t>0.10A</t>
  </si>
  <si>
    <t>Zij-entree</t>
  </si>
  <si>
    <t>Opslag/werkkast</t>
  </si>
  <si>
    <t>Euritmie</t>
  </si>
  <si>
    <t>0.18</t>
  </si>
  <si>
    <t>Toneelopslag</t>
  </si>
  <si>
    <t>Kantoor administratie</t>
  </si>
  <si>
    <t>Kantoor rector</t>
  </si>
  <si>
    <t>0.23</t>
  </si>
  <si>
    <t>Toilet personeel heren</t>
  </si>
  <si>
    <t>Toilet personeel dames</t>
  </si>
  <si>
    <t>Lokaal houtbewerking</t>
  </si>
  <si>
    <t>0.42</t>
  </si>
  <si>
    <t>Lokaal metaalbewerking</t>
  </si>
  <si>
    <t>0.50</t>
  </si>
  <si>
    <t>Stilteruimte personeel</t>
  </si>
  <si>
    <t>schoonloopmat</t>
  </si>
  <si>
    <t>Hout</t>
  </si>
  <si>
    <t>Tegels</t>
  </si>
  <si>
    <t>Rubber</t>
  </si>
  <si>
    <t>hout</t>
  </si>
  <si>
    <t>steen</t>
  </si>
  <si>
    <t>Bamboe</t>
  </si>
  <si>
    <t>1.03A</t>
  </si>
  <si>
    <t>1.09A</t>
  </si>
  <si>
    <t>Decanaat</t>
  </si>
  <si>
    <t>Toa</t>
  </si>
  <si>
    <t>Lokaal natuurkunde</t>
  </si>
  <si>
    <t>Opslag natuurkunde</t>
  </si>
  <si>
    <t>Lokaal biologie</t>
  </si>
  <si>
    <t>Opslag biologie</t>
  </si>
  <si>
    <t>1.40</t>
  </si>
  <si>
    <t>1.41</t>
  </si>
  <si>
    <t>1.42</t>
  </si>
  <si>
    <t>Praktijklokaal koken</t>
  </si>
  <si>
    <t>1.50</t>
  </si>
  <si>
    <t>Vergaderruimte</t>
  </si>
  <si>
    <t>1.51</t>
  </si>
  <si>
    <t>Tekenlokaal</t>
  </si>
  <si>
    <t>2.02</t>
  </si>
  <si>
    <t>2.03</t>
  </si>
  <si>
    <t>2.03A</t>
  </si>
  <si>
    <t>Centrale Trap</t>
  </si>
  <si>
    <t>2.04</t>
  </si>
  <si>
    <t>2.05</t>
  </si>
  <si>
    <t>2.06</t>
  </si>
  <si>
    <t>2.07</t>
  </si>
  <si>
    <t>2.08</t>
  </si>
  <si>
    <t>2.09</t>
  </si>
  <si>
    <t>2.09A</t>
  </si>
  <si>
    <t>2.10</t>
  </si>
  <si>
    <t>2.10A</t>
  </si>
  <si>
    <t>2.11</t>
  </si>
  <si>
    <t>2.12</t>
  </si>
  <si>
    <t>2.13</t>
  </si>
  <si>
    <t>2.14</t>
  </si>
  <si>
    <t>2.15</t>
  </si>
  <si>
    <t>2.16</t>
  </si>
  <si>
    <t>Douche meisjes</t>
  </si>
  <si>
    <t>2.17</t>
  </si>
  <si>
    <t>2.18</t>
  </si>
  <si>
    <t>2.19</t>
  </si>
  <si>
    <t>Douches jongens</t>
  </si>
  <si>
    <t>2.20</t>
  </si>
  <si>
    <t>Kleedruimte personeel</t>
  </si>
  <si>
    <t>2.30</t>
  </si>
  <si>
    <t>2.31</t>
  </si>
  <si>
    <t>2.32</t>
  </si>
  <si>
    <t>2.40</t>
  </si>
  <si>
    <t>Handvaardigheidslokaal</t>
  </si>
  <si>
    <t>2.41</t>
  </si>
  <si>
    <t>Muzieklokaal</t>
  </si>
  <si>
    <t>2.42</t>
  </si>
  <si>
    <t>2.50</t>
  </si>
  <si>
    <t>Computerlokaal</t>
  </si>
  <si>
    <t>Nuts</t>
  </si>
  <si>
    <t>Leerlingwerkplekken</t>
  </si>
  <si>
    <t>tegels</t>
  </si>
  <si>
    <t>Nieuwbouw</t>
  </si>
  <si>
    <t>Novalis College nieuwbouw</t>
  </si>
  <si>
    <t>Hoofdgebouw</t>
  </si>
  <si>
    <t>Novalis College hoofdgebouw</t>
  </si>
  <si>
    <t>Wilhelminasingel 15</t>
  </si>
  <si>
    <t>6524 AJ</t>
  </si>
  <si>
    <t>Nijmegen</t>
  </si>
  <si>
    <t>k.00</t>
  </si>
  <si>
    <t>k.02</t>
  </si>
  <si>
    <t>k.03</t>
  </si>
  <si>
    <t>k.05</t>
  </si>
  <si>
    <t>k.07</t>
  </si>
  <si>
    <t>k.08</t>
  </si>
  <si>
    <t>k.08a</t>
  </si>
  <si>
    <t>k.09</t>
  </si>
  <si>
    <t>k.11</t>
  </si>
  <si>
    <t>k.12</t>
  </si>
  <si>
    <t>k.111</t>
  </si>
  <si>
    <t>k.112</t>
  </si>
  <si>
    <t>k.114</t>
  </si>
  <si>
    <t>toneelkelder</t>
  </si>
  <si>
    <t>berging kleikelder</t>
  </si>
  <si>
    <t>hoogspanningsruimte</t>
  </si>
  <si>
    <t>berging handvaardigheid k.12</t>
  </si>
  <si>
    <t>serverruimte</t>
  </si>
  <si>
    <t>berging serverruimte</t>
  </si>
  <si>
    <t>berging kerstspelen</t>
  </si>
  <si>
    <t>gang naar k.12</t>
  </si>
  <si>
    <t>kelder handvaardigheid</t>
  </si>
  <si>
    <t>kelder conciërge</t>
  </si>
  <si>
    <t>berging ICT</t>
  </si>
  <si>
    <t>werkplaats facilitair</t>
  </si>
  <si>
    <t>beton</t>
  </si>
  <si>
    <t>lino</t>
  </si>
  <si>
    <t>mipolam</t>
  </si>
  <si>
    <t>bg</t>
  </si>
  <si>
    <t>gietvloer</t>
  </si>
  <si>
    <t>tegel</t>
  </si>
  <si>
    <t>tapijt</t>
  </si>
  <si>
    <t>grote zaal</t>
  </si>
  <si>
    <t>podium</t>
  </si>
  <si>
    <t>omloop</t>
  </si>
  <si>
    <t>belichtingshok</t>
  </si>
  <si>
    <t>repetitieruimte toneel</t>
  </si>
  <si>
    <t>MR kantoor</t>
  </si>
  <si>
    <t>spreekkamer</t>
  </si>
  <si>
    <t xml:space="preserve">facilitair </t>
  </si>
  <si>
    <t>kooklokaal</t>
  </si>
  <si>
    <t>hal</t>
  </si>
  <si>
    <t>textiel</t>
  </si>
  <si>
    <t>administratie</t>
  </si>
  <si>
    <t>meterkast</t>
  </si>
  <si>
    <t>entrée/portaal aula</t>
  </si>
  <si>
    <t>hal aula</t>
  </si>
  <si>
    <t>miva toilet</t>
  </si>
  <si>
    <t>personeels-koffiekamer</t>
  </si>
  <si>
    <t>garderobe/gang</t>
  </si>
  <si>
    <t>keuken conciërge</t>
  </si>
  <si>
    <t>bijkeukentje</t>
  </si>
  <si>
    <t>toiletten dames/heren</t>
  </si>
  <si>
    <t>handvaardigheid</t>
  </si>
  <si>
    <t>machineruimte handvaardigheid</t>
  </si>
  <si>
    <t>leslokaal</t>
  </si>
  <si>
    <t>gang</t>
  </si>
  <si>
    <t>lockerruimte</t>
  </si>
  <si>
    <t>lift</t>
  </si>
  <si>
    <t>hal receptie</t>
  </si>
  <si>
    <t>werkkast</t>
  </si>
  <si>
    <t>kopieerruimte</t>
  </si>
  <si>
    <t>personeelstoilet</t>
  </si>
  <si>
    <t>gang repro</t>
  </si>
  <si>
    <t>receptie</t>
  </si>
  <si>
    <t>absentiemedewerker conciërge</t>
  </si>
  <si>
    <t>decanaat</t>
  </si>
  <si>
    <t>absentiecoördinator</t>
  </si>
  <si>
    <t>portaal</t>
  </si>
  <si>
    <t>spreekkamer decanaat</t>
  </si>
  <si>
    <t>gang 0.31 t/m 0.41</t>
  </si>
  <si>
    <t>toiletten heren</t>
  </si>
  <si>
    <t>toiletten dames</t>
  </si>
  <si>
    <t>talenkabinet</t>
  </si>
  <si>
    <t>euritmie</t>
  </si>
  <si>
    <t>onderdoorgang buiten</t>
  </si>
  <si>
    <t>Toa scheikunde</t>
  </si>
  <si>
    <t>entree gebouw B</t>
  </si>
  <si>
    <t>berging chemicaliën</t>
  </si>
  <si>
    <t>leslokaal scheikunde</t>
  </si>
  <si>
    <t>gang muziek</t>
  </si>
  <si>
    <t>toiletten</t>
  </si>
  <si>
    <t>muzieklokaal</t>
  </si>
  <si>
    <t>berging lokaal 0.49</t>
  </si>
  <si>
    <t>studio</t>
  </si>
  <si>
    <t>ketelruimte Wedren</t>
  </si>
  <si>
    <t>berging Facilitair/ICT</t>
  </si>
  <si>
    <t>fietsenkelder</t>
  </si>
  <si>
    <t>biologie</t>
  </si>
  <si>
    <t>toa biologie</t>
  </si>
  <si>
    <t>spoelruimte</t>
  </si>
  <si>
    <t>gang wedren</t>
  </si>
  <si>
    <t>entree wedren</t>
  </si>
  <si>
    <t>zorgteam</t>
  </si>
  <si>
    <t>0.00</t>
  </si>
  <si>
    <t>0.08a</t>
  </si>
  <si>
    <t>0.18a</t>
  </si>
  <si>
    <t>0.18b</t>
  </si>
  <si>
    <t>0.20a</t>
  </si>
  <si>
    <t>0.27a</t>
  </si>
  <si>
    <t>0.27b</t>
  </si>
  <si>
    <t>0.27c</t>
  </si>
  <si>
    <t>0.27d</t>
  </si>
  <si>
    <t>0.28</t>
  </si>
  <si>
    <t>0.29</t>
  </si>
  <si>
    <t>0.31a</t>
  </si>
  <si>
    <t>0.31b</t>
  </si>
  <si>
    <t>0.33</t>
  </si>
  <si>
    <t>0.34</t>
  </si>
  <si>
    <t>0.35</t>
  </si>
  <si>
    <t>0.36</t>
  </si>
  <si>
    <t>0.36a</t>
  </si>
  <si>
    <t>0.37</t>
  </si>
  <si>
    <t>0.37a</t>
  </si>
  <si>
    <t>0.37b</t>
  </si>
  <si>
    <t>0.38</t>
  </si>
  <si>
    <t>0.39</t>
  </si>
  <si>
    <t>0.39a</t>
  </si>
  <si>
    <t>0.43</t>
  </si>
  <si>
    <t>0.44</t>
  </si>
  <si>
    <t>0.45</t>
  </si>
  <si>
    <t>0.46</t>
  </si>
  <si>
    <t>0.47</t>
  </si>
  <si>
    <t>0.48</t>
  </si>
  <si>
    <t>0.49</t>
  </si>
  <si>
    <t>0.49a</t>
  </si>
  <si>
    <t>0.54</t>
  </si>
  <si>
    <t>0.55</t>
  </si>
  <si>
    <t>0.56</t>
  </si>
  <si>
    <t>0.57</t>
  </si>
  <si>
    <t>0.58</t>
  </si>
  <si>
    <t>w.01</t>
  </si>
  <si>
    <t>w.10</t>
  </si>
  <si>
    <t>w.02</t>
  </si>
  <si>
    <t>w.03</t>
  </si>
  <si>
    <t>w.04</t>
  </si>
  <si>
    <t>w.05</t>
  </si>
  <si>
    <t>w.05a</t>
  </si>
  <si>
    <t>w.E</t>
  </si>
  <si>
    <t>w.06</t>
  </si>
  <si>
    <t>w.07</t>
  </si>
  <si>
    <t>w.08</t>
  </si>
  <si>
    <t>w.08a</t>
  </si>
  <si>
    <t>B</t>
  </si>
  <si>
    <t>H</t>
  </si>
  <si>
    <t>A</t>
  </si>
  <si>
    <t>plavuis</t>
  </si>
  <si>
    <t>rubber</t>
  </si>
  <si>
    <t>terazzo</t>
  </si>
  <si>
    <t>pulastic</t>
  </si>
  <si>
    <t>1.00</t>
  </si>
  <si>
    <t>1.00a</t>
  </si>
  <si>
    <t>1.01a</t>
  </si>
  <si>
    <t>1.02a</t>
  </si>
  <si>
    <t>1.02b</t>
  </si>
  <si>
    <t>1.04a</t>
  </si>
  <si>
    <t>1.04b</t>
  </si>
  <si>
    <t>1.04c</t>
  </si>
  <si>
    <t>1.15a</t>
  </si>
  <si>
    <t>1.17a</t>
  </si>
  <si>
    <t>1.21a</t>
  </si>
  <si>
    <t>1.23</t>
  </si>
  <si>
    <t>1.24</t>
  </si>
  <si>
    <t>1.25</t>
  </si>
  <si>
    <t>1.25a</t>
  </si>
  <si>
    <t>1.26</t>
  </si>
  <si>
    <t>1.27</t>
  </si>
  <si>
    <t>1.28</t>
  </si>
  <si>
    <t>1.29</t>
  </si>
  <si>
    <t>1.33</t>
  </si>
  <si>
    <t>1.34</t>
  </si>
  <si>
    <t>1.35</t>
  </si>
  <si>
    <t>w.11</t>
  </si>
  <si>
    <t>w.12</t>
  </si>
  <si>
    <t>w.12a</t>
  </si>
  <si>
    <t>w.13</t>
  </si>
  <si>
    <t>w.13a</t>
  </si>
  <si>
    <t>w.14</t>
  </si>
  <si>
    <t>w.15</t>
  </si>
  <si>
    <t>w.16</t>
  </si>
  <si>
    <t>w.16a</t>
  </si>
  <si>
    <t>w.17</t>
  </si>
  <si>
    <t>w.17a</t>
  </si>
  <si>
    <t>w.18</t>
  </si>
  <si>
    <t>w.19</t>
  </si>
  <si>
    <t>w.20</t>
  </si>
  <si>
    <t>balkon toneel</t>
  </si>
  <si>
    <t>regie toneel</t>
  </si>
  <si>
    <t>roostermakers</t>
  </si>
  <si>
    <t>schoolleiding rector</t>
  </si>
  <si>
    <t>schoolleiding conrector</t>
  </si>
  <si>
    <t>portaal schoolleiding</t>
  </si>
  <si>
    <t>foyer</t>
  </si>
  <si>
    <t xml:space="preserve">portaal </t>
  </si>
  <si>
    <t>spreekkamer bestuursbureau</t>
  </si>
  <si>
    <t>bestuursbureau</t>
  </si>
  <si>
    <t>mediatheek</t>
  </si>
  <si>
    <t>gang bij 1.06/1.07</t>
  </si>
  <si>
    <t>trappenhuis</t>
  </si>
  <si>
    <t>berging pantry</t>
  </si>
  <si>
    <t>kantine</t>
  </si>
  <si>
    <t>pantry</t>
  </si>
  <si>
    <t>teamleiders</t>
  </si>
  <si>
    <t>spreekkamer teamleiders</t>
  </si>
  <si>
    <t xml:space="preserve">trappenhuis </t>
  </si>
  <si>
    <t>toilettten heren</t>
  </si>
  <si>
    <t>gang 1.22 t/m 1.24</t>
  </si>
  <si>
    <t>gang 1.24</t>
  </si>
  <si>
    <t>gang 1.27</t>
  </si>
  <si>
    <t>leslokaal biologie</t>
  </si>
  <si>
    <t>kleedruimte LO</t>
  </si>
  <si>
    <t>Toa bio/nat</t>
  </si>
  <si>
    <t>leslokaal natuurkunde</t>
  </si>
  <si>
    <t>berging natuurkunde</t>
  </si>
  <si>
    <t>gymzaal</t>
  </si>
  <si>
    <t>toestellen berging</t>
  </si>
  <si>
    <t>douche</t>
  </si>
  <si>
    <t>tekenlokaal</t>
  </si>
  <si>
    <t>kastruimte</t>
  </si>
  <si>
    <t>remedial teacher</t>
  </si>
  <si>
    <t>toilet dames</t>
  </si>
  <si>
    <t>toilet heren</t>
  </si>
  <si>
    <t>nobranda</t>
  </si>
  <si>
    <t>2.00</t>
  </si>
  <si>
    <t>2.01</t>
  </si>
  <si>
    <t>berging/werkkast</t>
  </si>
  <si>
    <t xml:space="preserve">CV ruimte </t>
  </si>
  <si>
    <t>C</t>
  </si>
  <si>
    <t>D</t>
  </si>
  <si>
    <t>A/B</t>
  </si>
  <si>
    <t>W</t>
  </si>
  <si>
    <t>Nieuw BG</t>
  </si>
  <si>
    <t>071</t>
  </si>
  <si>
    <t>Lokaal 1</t>
  </si>
  <si>
    <t>072</t>
  </si>
  <si>
    <t>Lokaal 2</t>
  </si>
  <si>
    <t>073</t>
  </si>
  <si>
    <t>074</t>
  </si>
  <si>
    <t>Lokaal 3</t>
  </si>
  <si>
    <t>076</t>
  </si>
  <si>
    <t>075</t>
  </si>
  <si>
    <t>Lokaal 4</t>
  </si>
  <si>
    <t>077</t>
  </si>
  <si>
    <t>078A</t>
  </si>
  <si>
    <t>entree</t>
  </si>
  <si>
    <t>079/079A</t>
  </si>
  <si>
    <t>080</t>
  </si>
  <si>
    <t>081</t>
  </si>
  <si>
    <t>toilet MIVA</t>
  </si>
  <si>
    <t>082</t>
  </si>
  <si>
    <t>Teamleiders/concierge</t>
  </si>
  <si>
    <t>083</t>
  </si>
  <si>
    <t>Lokaal 5</t>
  </si>
  <si>
    <t>084</t>
  </si>
  <si>
    <t>Lokaal 6</t>
  </si>
  <si>
    <t>085</t>
  </si>
  <si>
    <t>Lokaal 7</t>
  </si>
  <si>
    <t>086</t>
  </si>
  <si>
    <t>verkeersruimte</t>
  </si>
  <si>
    <t>087</t>
  </si>
  <si>
    <t>leerlingwerkplekken</t>
  </si>
  <si>
    <t>087A</t>
  </si>
  <si>
    <t>werkplekken</t>
  </si>
  <si>
    <t>089</t>
  </si>
  <si>
    <t>090</t>
  </si>
  <si>
    <t>Nieuw 1e etage</t>
  </si>
  <si>
    <t>1.71</t>
  </si>
  <si>
    <t>Lokaal 8</t>
  </si>
  <si>
    <t>1.72</t>
  </si>
  <si>
    <t>Lokaal 9</t>
  </si>
  <si>
    <t>1.73</t>
  </si>
  <si>
    <t>Lokaal 10</t>
  </si>
  <si>
    <t>1.74</t>
  </si>
  <si>
    <t>Lokaal 11</t>
  </si>
  <si>
    <t>1.75</t>
  </si>
  <si>
    <t>Lokaal 12</t>
  </si>
  <si>
    <t>1.76</t>
  </si>
  <si>
    <t>1.78</t>
  </si>
  <si>
    <t>1.79/A/B</t>
  </si>
  <si>
    <t>1.80/A</t>
  </si>
  <si>
    <t>Tolet heren</t>
  </si>
  <si>
    <t>1.81</t>
  </si>
  <si>
    <t>Lokaal 13</t>
  </si>
  <si>
    <t>1.82</t>
  </si>
  <si>
    <t>Lokaal 14</t>
  </si>
  <si>
    <t>1.83</t>
  </si>
  <si>
    <t>1.84</t>
  </si>
  <si>
    <t>1.85</t>
  </si>
  <si>
    <t>1.86</t>
  </si>
  <si>
    <t>berging/serverruimte</t>
  </si>
  <si>
    <t>Praktijklokalen</t>
  </si>
  <si>
    <t>TOA</t>
  </si>
  <si>
    <t>Vloeren zonder beschermlaag, die wel behandeling nodig hebben</t>
  </si>
  <si>
    <t>Sanitaire voorzieningen</t>
  </si>
  <si>
    <t>dameshygienebox</t>
  </si>
  <si>
    <t>Prijs per stuk 1x per 2 weken lediging</t>
  </si>
  <si>
    <t>Aantal</t>
  </si>
  <si>
    <t>Schoonloopmat 85x120</t>
  </si>
  <si>
    <t>Schoonloopmat 115x180</t>
  </si>
  <si>
    <t>Sanitaire voorzieningen kosten / jaar</t>
  </si>
  <si>
    <t>Omschrijving</t>
  </si>
  <si>
    <t>Glas waterkant</t>
  </si>
  <si>
    <t>Nameten bij eerst ronde glasbewassing</t>
  </si>
  <si>
    <t>Prijs per stuk 1x per 2 weken wisselen</t>
  </si>
  <si>
    <t>Karel de Grote College</t>
  </si>
  <si>
    <t>Ja</t>
  </si>
  <si>
    <t>Nee</t>
  </si>
  <si>
    <t>Med. Algemeen SO 1</t>
  </si>
  <si>
    <t>Onbepaalde tijd</t>
  </si>
  <si>
    <t>Novalis College</t>
  </si>
  <si>
    <t>2027</t>
  </si>
  <si>
    <t>Mdw algemeen schoonmaakonderhoud I</t>
  </si>
  <si>
    <t>11.01</t>
  </si>
  <si>
    <t>1 /22</t>
  </si>
  <si>
    <t>ja</t>
  </si>
  <si>
    <t>nee</t>
  </si>
  <si>
    <t>Ingang van arbeids ongeschiktheid</t>
  </si>
  <si>
    <t>Percentage arbeids ongeschiktheid</t>
  </si>
  <si>
    <t>Beton</t>
  </si>
  <si>
    <t>T1</t>
  </si>
  <si>
    <t>Tuckerpool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</si>
</sst>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color rgb="FFFFFFFF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58">
    <xf numFmtId="0" fontId="0" fillId="0" borderId="0"/>
    <xf numFmtId="0" fontId="12" fillId="0" borderId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>
      <alignment horizontal="center" vertical="center" textRotation="90" wrapText="1"/>
    </xf>
    <xf numFmtId="0" fontId="14" fillId="2" borderId="1"/>
    <xf numFmtId="174" fontId="8" fillId="0" borderId="0"/>
    <xf numFmtId="0" fontId="15" fillId="0" borderId="0" applyNumberFormat="0" applyBorder="0">
      <protection locked="0"/>
    </xf>
    <xf numFmtId="0" fontId="16" fillId="0" borderId="0"/>
    <xf numFmtId="0" fontId="17" fillId="3" borderId="2" applyNumberFormat="0" applyFont="0" applyFill="0" applyBorder="0" applyAlignment="0">
      <alignment horizontal="right"/>
    </xf>
    <xf numFmtId="0" fontId="14" fillId="4" borderId="3" applyNumberFormat="0" applyFont="0" applyBorder="0">
      <alignment horizontal="center"/>
    </xf>
    <xf numFmtId="0" fontId="10" fillId="0" borderId="0"/>
    <xf numFmtId="0" fontId="21" fillId="0" borderId="0"/>
    <xf numFmtId="0" fontId="4" fillId="0" borderId="0"/>
    <xf numFmtId="167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2" borderId="1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44" fillId="0" borderId="0" applyFont="0" applyFill="0" applyBorder="0" applyAlignment="0" applyProtection="0"/>
    <xf numFmtId="0" fontId="48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8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30" fillId="0" borderId="0" xfId="29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169" fontId="24" fillId="0" borderId="0" xfId="0" applyNumberFormat="1" applyFont="1"/>
    <xf numFmtId="2" fontId="24" fillId="0" borderId="0" xfId="0" applyNumberFormat="1" applyFont="1"/>
    <xf numFmtId="0" fontId="24" fillId="0" borderId="0" xfId="0" applyFont="1" applyAlignment="1">
      <alignment vertical="center" wrapText="1"/>
    </xf>
    <xf numFmtId="0" fontId="24" fillId="0" borderId="0" xfId="30" applyFont="1" applyAlignment="1">
      <alignment vertical="center"/>
    </xf>
    <xf numFmtId="164" fontId="24" fillId="5" borderId="9" xfId="0" applyNumberFormat="1" applyFont="1" applyFill="1" applyBorder="1" applyAlignment="1">
      <alignment horizontal="left" vertical="center"/>
    </xf>
    <xf numFmtId="10" fontId="24" fillId="5" borderId="9" xfId="0" applyNumberFormat="1" applyFont="1" applyFill="1" applyBorder="1" applyAlignment="1">
      <alignment horizontal="center" vertical="center"/>
    </xf>
    <xf numFmtId="173" fontId="24" fillId="0" borderId="9" xfId="0" applyNumberFormat="1" applyFont="1" applyBorder="1" applyAlignment="1">
      <alignment vertical="center"/>
    </xf>
    <xf numFmtId="10" fontId="24" fillId="0" borderId="9" xfId="0" applyNumberFormat="1" applyFont="1" applyBorder="1" applyAlignment="1">
      <alignment horizontal="center" vertical="center"/>
    </xf>
    <xf numFmtId="171" fontId="24" fillId="0" borderId="9" xfId="2" applyFont="1" applyBorder="1" applyAlignment="1" applyProtection="1">
      <alignment horizontal="left" vertical="center"/>
      <protection locked="0"/>
    </xf>
    <xf numFmtId="172" fontId="24" fillId="0" borderId="9" xfId="31" applyNumberFormat="1" applyFont="1" applyBorder="1" applyAlignment="1" applyProtection="1">
      <alignment horizontal="left" vertical="center"/>
      <protection hidden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70" fontId="24" fillId="0" borderId="0" xfId="0" applyNumberFormat="1" applyFont="1" applyAlignment="1">
      <alignment vertical="center"/>
    </xf>
    <xf numFmtId="170" fontId="24" fillId="0" borderId="0" xfId="0" applyNumberFormat="1" applyFont="1" applyAlignment="1" applyProtection="1">
      <alignment horizontal="center" vertical="center"/>
      <protection locked="0"/>
    </xf>
    <xf numFmtId="166" fontId="24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172" fontId="24" fillId="0" borderId="0" xfId="31" applyNumberFormat="1" applyFont="1" applyAlignment="1" applyProtection="1">
      <alignment horizontal="left" vertical="center"/>
      <protection hidden="1"/>
    </xf>
    <xf numFmtId="171" fontId="24" fillId="0" borderId="0" xfId="2" applyFont="1" applyAlignment="1" applyProtection="1">
      <alignment horizontal="left" vertical="center"/>
      <protection locked="0"/>
    </xf>
    <xf numFmtId="9" fontId="24" fillId="0" borderId="9" xfId="0" applyNumberFormat="1" applyFont="1" applyBorder="1" applyAlignment="1">
      <alignment horizontal="center" vertical="center"/>
    </xf>
    <xf numFmtId="173" fontId="24" fillId="0" borderId="9" xfId="0" applyNumberFormat="1" applyFont="1" applyBorder="1" applyAlignment="1" applyProtection="1">
      <alignment vertical="center"/>
      <protection locked="0"/>
    </xf>
    <xf numFmtId="173" fontId="24" fillId="0" borderId="9" xfId="2" applyNumberFormat="1" applyFont="1" applyBorder="1" applyAlignment="1" applyProtection="1">
      <alignment horizontal="left" vertical="center"/>
      <protection hidden="1"/>
    </xf>
    <xf numFmtId="173" fontId="24" fillId="0" borderId="0" xfId="0" applyNumberFormat="1" applyFont="1" applyAlignment="1">
      <alignment vertical="center"/>
    </xf>
    <xf numFmtId="0" fontId="24" fillId="0" borderId="0" xfId="30" applyFont="1" applyAlignment="1">
      <alignment vertical="center" wrapText="1"/>
    </xf>
    <xf numFmtId="0" fontId="24" fillId="0" borderId="0" xfId="30" applyFont="1" applyAlignment="1">
      <alignment horizontal="center" vertical="center"/>
    </xf>
    <xf numFmtId="0" fontId="24" fillId="0" borderId="0" xfId="0" applyFont="1" applyAlignment="1">
      <alignment wrapText="1"/>
    </xf>
    <xf numFmtId="2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8" applyFont="1" applyAlignment="1">
      <alignment vertical="center"/>
    </xf>
    <xf numFmtId="0" fontId="26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164" fontId="24" fillId="6" borderId="0" xfId="0" applyNumberFormat="1" applyFont="1" applyFill="1" applyAlignment="1">
      <alignment horizontal="center" vertical="center"/>
    </xf>
    <xf numFmtId="3" fontId="24" fillId="0" borderId="0" xfId="8" applyNumberFormat="1" applyFont="1" applyAlignment="1">
      <alignment vertical="center"/>
    </xf>
    <xf numFmtId="0" fontId="24" fillId="0" borderId="5" xfId="30" applyFont="1" applyBorder="1" applyAlignment="1">
      <alignment vertical="center"/>
    </xf>
    <xf numFmtId="0" fontId="24" fillId="0" borderId="10" xfId="30" applyFont="1" applyBorder="1" applyAlignment="1">
      <alignment vertical="center"/>
    </xf>
    <xf numFmtId="0" fontId="31" fillId="0" borderId="0" xfId="29" applyFont="1"/>
    <xf numFmtId="0" fontId="30" fillId="0" borderId="0" xfId="29" applyFont="1" applyAlignment="1">
      <alignment horizontal="center" vertical="center"/>
    </xf>
    <xf numFmtId="173" fontId="34" fillId="9" borderId="13" xfId="0" applyNumberFormat="1" applyFont="1" applyFill="1" applyBorder="1" applyAlignment="1">
      <alignment horizontal="center" vertical="center" wrapText="1"/>
    </xf>
    <xf numFmtId="1" fontId="35" fillId="8" borderId="0" xfId="30" applyNumberFormat="1" applyFont="1" applyFill="1" applyAlignment="1">
      <alignment horizontal="center" vertical="center"/>
    </xf>
    <xf numFmtId="0" fontId="35" fillId="8" borderId="0" xfId="30" applyFont="1" applyFill="1" applyAlignment="1">
      <alignment horizontal="left" vertical="center"/>
    </xf>
    <xf numFmtId="1" fontId="35" fillId="7" borderId="0" xfId="30" applyNumberFormat="1" applyFont="1" applyFill="1" applyAlignment="1">
      <alignment horizontal="center" vertical="center"/>
    </xf>
    <xf numFmtId="0" fontId="35" fillId="7" borderId="0" xfId="30" applyFont="1" applyFill="1" applyAlignment="1">
      <alignment horizontal="left" vertical="center"/>
    </xf>
    <xf numFmtId="0" fontId="34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vertical="center" wrapText="1"/>
    </xf>
    <xf numFmtId="164" fontId="34" fillId="9" borderId="0" xfId="0" applyNumberFormat="1" applyFont="1" applyFill="1" applyAlignment="1">
      <alignment horizontal="center" vertical="center" wrapText="1"/>
    </xf>
    <xf numFmtId="0" fontId="35" fillId="8" borderId="0" xfId="0" applyFont="1" applyFill="1" applyAlignment="1">
      <alignment horizontal="center" vertical="center"/>
    </xf>
    <xf numFmtId="0" fontId="35" fillId="8" borderId="0" xfId="0" applyFont="1" applyFill="1" applyAlignment="1">
      <alignment vertical="center"/>
    </xf>
    <xf numFmtId="164" fontId="35" fillId="5" borderId="0" xfId="0" applyNumberFormat="1" applyFont="1" applyFill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horizontal="left" vertical="center"/>
    </xf>
    <xf numFmtId="4" fontId="35" fillId="7" borderId="0" xfId="0" applyNumberFormat="1" applyFont="1" applyFill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4" fontId="35" fillId="8" borderId="0" xfId="0" applyNumberFormat="1" applyFont="1" applyFill="1" applyAlignment="1">
      <alignment vertical="center"/>
    </xf>
    <xf numFmtId="4" fontId="35" fillId="8" borderId="0" xfId="0" applyNumberFormat="1" applyFont="1" applyFill="1" applyAlignment="1">
      <alignment horizontal="center" vertical="center"/>
    </xf>
    <xf numFmtId="173" fontId="35" fillId="8" borderId="0" xfId="0" applyNumberFormat="1" applyFont="1" applyFill="1" applyAlignment="1">
      <alignment horizontal="center" vertical="center"/>
    </xf>
    <xf numFmtId="3" fontId="35" fillId="8" borderId="0" xfId="0" applyNumberFormat="1" applyFont="1" applyFill="1" applyAlignment="1">
      <alignment horizontal="center" vertical="center"/>
    </xf>
    <xf numFmtId="4" fontId="35" fillId="7" borderId="0" xfId="0" applyNumberFormat="1" applyFont="1" applyFill="1" applyAlignment="1">
      <alignment vertical="center"/>
    </xf>
    <xf numFmtId="4" fontId="35" fillId="7" borderId="0" xfId="0" applyNumberFormat="1" applyFont="1" applyFill="1" applyAlignment="1">
      <alignment horizontal="center" vertical="center"/>
    </xf>
    <xf numFmtId="173" fontId="35" fillId="7" borderId="0" xfId="0" applyNumberFormat="1" applyFont="1" applyFill="1" applyAlignment="1">
      <alignment horizontal="center" vertical="center"/>
    </xf>
    <xf numFmtId="3" fontId="35" fillId="7" borderId="0" xfId="0" applyNumberFormat="1" applyFont="1" applyFill="1" applyAlignment="1">
      <alignment horizontal="center" vertical="center"/>
    </xf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wrapText="1"/>
    </xf>
    <xf numFmtId="0" fontId="26" fillId="0" borderId="0" xfId="0" applyFont="1" applyAlignment="1">
      <alignment horizontal="center" vertical="center" wrapText="1"/>
    </xf>
    <xf numFmtId="0" fontId="33" fillId="9" borderId="0" xfId="0" applyFont="1" applyFill="1" applyAlignment="1">
      <alignment horizontal="center" vertical="center" wrapText="1"/>
    </xf>
    <xf numFmtId="4" fontId="33" fillId="9" borderId="0" xfId="0" applyNumberFormat="1" applyFont="1" applyFill="1" applyAlignment="1">
      <alignment horizontal="center" vertical="center" wrapText="1"/>
    </xf>
    <xf numFmtId="164" fontId="33" fillId="9" borderId="0" xfId="8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textRotation="90"/>
    </xf>
    <xf numFmtId="0" fontId="24" fillId="0" borderId="9" xfId="0" applyFont="1" applyBorder="1" applyAlignment="1">
      <alignment horizontal="center" vertical="center" textRotation="90"/>
    </xf>
    <xf numFmtId="0" fontId="32" fillId="0" borderId="0" xfId="3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173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 textRotation="90"/>
    </xf>
    <xf numFmtId="0" fontId="24" fillId="6" borderId="0" xfId="0" applyFont="1" applyFill="1" applyAlignment="1">
      <alignment vertical="center"/>
    </xf>
    <xf numFmtId="168" fontId="24" fillId="0" borderId="0" xfId="19" applyFont="1" applyAlignment="1">
      <alignment horizontal="center" vertical="center" wrapText="1"/>
    </xf>
    <xf numFmtId="173" fontId="24" fillId="0" borderId="0" xfId="0" applyNumberFormat="1" applyFont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vertical="center" wrapText="1"/>
    </xf>
    <xf numFmtId="2" fontId="24" fillId="6" borderId="0" xfId="0" applyNumberFormat="1" applyFont="1" applyFill="1"/>
    <xf numFmtId="169" fontId="24" fillId="6" borderId="0" xfId="0" applyNumberFormat="1" applyFont="1" applyFill="1"/>
    <xf numFmtId="17" fontId="24" fillId="6" borderId="0" xfId="0" applyNumberFormat="1" applyFont="1" applyFill="1" applyAlignment="1">
      <alignment horizontal="center"/>
    </xf>
    <xf numFmtId="2" fontId="26" fillId="6" borderId="0" xfId="0" applyNumberFormat="1" applyFont="1" applyFill="1" applyAlignment="1">
      <alignment vertical="center"/>
    </xf>
    <xf numFmtId="169" fontId="24" fillId="6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/>
    </xf>
    <xf numFmtId="169" fontId="24" fillId="6" borderId="0" xfId="0" applyNumberFormat="1" applyFont="1" applyFill="1" applyAlignment="1">
      <alignment wrapText="1"/>
    </xf>
    <xf numFmtId="0" fontId="38" fillId="6" borderId="10" xfId="30" applyFont="1" applyFill="1" applyBorder="1" applyAlignment="1">
      <alignment vertical="center" wrapText="1"/>
    </xf>
    <xf numFmtId="0" fontId="34" fillId="10" borderId="9" xfId="0" applyFont="1" applyFill="1" applyBorder="1" applyAlignment="1">
      <alignment horizontal="center" vertical="center" wrapText="1"/>
    </xf>
    <xf numFmtId="170" fontId="34" fillId="10" borderId="9" xfId="0" applyNumberFormat="1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vertical="center" wrapText="1"/>
    </xf>
    <xf numFmtId="0" fontId="33" fillId="10" borderId="4" xfId="0" applyFont="1" applyFill="1" applyBorder="1" applyAlignment="1">
      <alignment vertical="center" wrapText="1"/>
    </xf>
    <xf numFmtId="0" fontId="24" fillId="0" borderId="0" xfId="30" applyFont="1" applyAlignment="1">
      <alignment horizontal="center" vertical="center" wrapText="1"/>
    </xf>
    <xf numFmtId="0" fontId="26" fillId="6" borderId="0" xfId="0" applyFont="1" applyFill="1" applyAlignment="1">
      <alignment horizontal="left" vertical="center"/>
    </xf>
    <xf numFmtId="2" fontId="26" fillId="5" borderId="0" xfId="0" applyNumberFormat="1" applyFont="1" applyFill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5" fillId="0" borderId="0" xfId="30" applyFont="1" applyAlignment="1">
      <alignment horizontal="center" vertical="center"/>
    </xf>
    <xf numFmtId="9" fontId="26" fillId="5" borderId="0" xfId="38" applyFont="1" applyFill="1" applyAlignment="1">
      <alignment horizontal="center" vertical="center"/>
    </xf>
    <xf numFmtId="2" fontId="24" fillId="6" borderId="0" xfId="0" applyNumberFormat="1" applyFont="1" applyFill="1" applyAlignment="1">
      <alignment vertical="center"/>
    </xf>
    <xf numFmtId="17" fontId="24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24" fillId="6" borderId="0" xfId="0" applyNumberFormat="1" applyFont="1" applyFill="1" applyAlignment="1">
      <alignment horizontal="center" vertical="center"/>
    </xf>
    <xf numFmtId="2" fontId="24" fillId="6" borderId="0" xfId="0" applyNumberFormat="1" applyFont="1" applyFill="1" applyAlignment="1" applyProtection="1">
      <alignment vertical="center"/>
      <protection hidden="1"/>
    </xf>
    <xf numFmtId="177" fontId="24" fillId="0" borderId="0" xfId="0" applyNumberFormat="1" applyFont="1" applyAlignment="1">
      <alignment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vertical="center"/>
      <protection hidden="1"/>
    </xf>
    <xf numFmtId="169" fontId="24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vertical="center"/>
      <protection hidden="1"/>
    </xf>
    <xf numFmtId="168" fontId="24" fillId="0" borderId="0" xfId="19" applyFont="1" applyAlignment="1">
      <alignment vertical="center"/>
    </xf>
    <xf numFmtId="0" fontId="33" fillId="9" borderId="17" xfId="0" applyFont="1" applyFill="1" applyBorder="1" applyAlignment="1">
      <alignment horizontal="center" vertical="center" wrapText="1"/>
    </xf>
    <xf numFmtId="9" fontId="39" fillId="5" borderId="20" xfId="38" applyFont="1" applyFill="1" applyBorder="1" applyAlignment="1">
      <alignment horizontal="center" vertical="center"/>
    </xf>
    <xf numFmtId="2" fontId="33" fillId="0" borderId="15" xfId="0" applyNumberFormat="1" applyFont="1" applyBorder="1" applyAlignment="1">
      <alignment vertical="center" wrapText="1"/>
    </xf>
    <xf numFmtId="2" fontId="33" fillId="0" borderId="16" xfId="0" applyNumberFormat="1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169" fontId="24" fillId="0" borderId="0" xfId="0" applyNumberFormat="1" applyFont="1" applyAlignment="1">
      <alignment vertical="center"/>
    </xf>
    <xf numFmtId="0" fontId="35" fillId="0" borderId="19" xfId="30" applyFont="1" applyBorder="1" applyAlignment="1">
      <alignment vertical="center"/>
    </xf>
    <xf numFmtId="2" fontId="24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0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wrapText="1"/>
    </xf>
    <xf numFmtId="17" fontId="26" fillId="6" borderId="0" xfId="0" applyNumberFormat="1" applyFont="1" applyFill="1" applyAlignment="1">
      <alignment horizontal="center"/>
    </xf>
    <xf numFmtId="0" fontId="26" fillId="6" borderId="0" xfId="0" applyFont="1" applyFill="1" applyAlignment="1">
      <alignment horizont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left" vertical="center" wrapText="1"/>
    </xf>
    <xf numFmtId="168" fontId="34" fillId="9" borderId="9" xfId="19" applyFont="1" applyFill="1" applyBorder="1" applyAlignment="1">
      <alignment horizontal="center" vertical="center" wrapText="1"/>
    </xf>
    <xf numFmtId="173" fontId="34" fillId="9" borderId="9" xfId="0" applyNumberFormat="1" applyFont="1" applyFill="1" applyBorder="1" applyAlignment="1">
      <alignment horizontal="center" vertical="center" wrapText="1"/>
    </xf>
    <xf numFmtId="0" fontId="30" fillId="0" borderId="0" xfId="29" applyFont="1" applyAlignment="1">
      <alignment horizontal="center"/>
    </xf>
    <xf numFmtId="0" fontId="35" fillId="7" borderId="9" xfId="0" applyFont="1" applyFill="1" applyBorder="1" applyAlignment="1">
      <alignment horizontal="left" vertical="center"/>
    </xf>
    <xf numFmtId="0" fontId="35" fillId="8" borderId="9" xfId="0" applyFont="1" applyFill="1" applyBorder="1" applyAlignment="1">
      <alignment horizontal="left" vertical="center"/>
    </xf>
    <xf numFmtId="0" fontId="24" fillId="7" borderId="9" xfId="0" applyFont="1" applyFill="1" applyBorder="1" applyAlignment="1">
      <alignment vertical="center"/>
    </xf>
    <xf numFmtId="182" fontId="24" fillId="7" borderId="9" xfId="0" applyNumberFormat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vertical="center"/>
    </xf>
    <xf numFmtId="0" fontId="24" fillId="7" borderId="4" xfId="0" applyFont="1" applyFill="1" applyBorder="1" applyAlignment="1">
      <alignment vertical="center"/>
    </xf>
    <xf numFmtId="0" fontId="24" fillId="7" borderId="14" xfId="0" applyFont="1" applyFill="1" applyBorder="1" applyAlignment="1">
      <alignment vertical="center"/>
    </xf>
    <xf numFmtId="0" fontId="35" fillId="0" borderId="0" xfId="0" applyFont="1" applyAlignment="1">
      <alignment horizontal="center" vertical="center" textRotation="90"/>
    </xf>
    <xf numFmtId="0" fontId="35" fillId="13" borderId="0" xfId="0" applyFont="1" applyFill="1" applyAlignment="1">
      <alignment horizontal="left" vertical="center" wrapText="1"/>
    </xf>
    <xf numFmtId="0" fontId="35" fillId="0" borderId="0" xfId="0" applyFont="1"/>
    <xf numFmtId="173" fontId="39" fillId="13" borderId="9" xfId="0" applyNumberFormat="1" applyFont="1" applyFill="1" applyBorder="1" applyAlignment="1">
      <alignment vertical="center"/>
    </xf>
    <xf numFmtId="170" fontId="35" fillId="13" borderId="9" xfId="0" applyNumberFormat="1" applyFont="1" applyFill="1" applyBorder="1" applyAlignment="1">
      <alignment horizontal="center" vertical="center"/>
    </xf>
    <xf numFmtId="171" fontId="35" fillId="13" borderId="9" xfId="2" applyFont="1" applyFill="1" applyBorder="1" applyAlignment="1" applyProtection="1">
      <alignment horizontal="left" vertical="center"/>
      <protection locked="0"/>
    </xf>
    <xf numFmtId="172" fontId="35" fillId="13" borderId="9" xfId="31" applyNumberFormat="1" applyFont="1" applyFill="1" applyBorder="1" applyAlignment="1" applyProtection="1">
      <alignment horizontal="left" vertical="center"/>
      <protection hidden="1"/>
    </xf>
    <xf numFmtId="170" fontId="35" fillId="13" borderId="9" xfId="0" applyNumberFormat="1" applyFont="1" applyFill="1" applyBorder="1" applyAlignment="1" applyProtection="1">
      <alignment horizontal="center" vertical="center"/>
      <protection locked="0"/>
    </xf>
    <xf numFmtId="172" fontId="35" fillId="13" borderId="9" xfId="2" applyNumberFormat="1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1" fontId="24" fillId="0" borderId="0" xfId="38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24" fillId="0" borderId="0" xfId="8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34" fillId="9" borderId="0" xfId="0" applyNumberFormat="1" applyFont="1" applyFill="1" applyAlignment="1">
      <alignment horizontal="right" vertical="center" wrapText="1"/>
    </xf>
    <xf numFmtId="4" fontId="35" fillId="8" borderId="0" xfId="0" applyNumberFormat="1" applyFont="1" applyFill="1" applyAlignment="1">
      <alignment horizontal="right" vertical="center"/>
    </xf>
    <xf numFmtId="4" fontId="35" fillId="7" borderId="0" xfId="0" applyNumberFormat="1" applyFont="1" applyFill="1" applyAlignment="1">
      <alignment horizontal="right" vertical="center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left" vertical="center"/>
    </xf>
    <xf numFmtId="0" fontId="35" fillId="11" borderId="0" xfId="0" applyFont="1" applyFill="1" applyAlignment="1">
      <alignment vertical="center"/>
    </xf>
    <xf numFmtId="173" fontId="35" fillId="11" borderId="0" xfId="0" applyNumberFormat="1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left" vertical="center"/>
    </xf>
    <xf numFmtId="0" fontId="35" fillId="12" borderId="0" xfId="0" applyFont="1" applyFill="1" applyAlignment="1">
      <alignment vertical="center"/>
    </xf>
    <xf numFmtId="0" fontId="35" fillId="12" borderId="0" xfId="0" applyFont="1" applyFill="1" applyAlignment="1">
      <alignment horizontal="right" vertical="center"/>
    </xf>
    <xf numFmtId="173" fontId="35" fillId="12" borderId="0" xfId="0" applyNumberFormat="1" applyFont="1" applyFill="1" applyAlignment="1">
      <alignment horizontal="center" vertical="center"/>
    </xf>
    <xf numFmtId="0" fontId="42" fillId="0" borderId="0" xfId="30" applyFont="1" applyAlignment="1">
      <alignment horizontal="center" vertical="center"/>
    </xf>
    <xf numFmtId="0" fontId="43" fillId="13" borderId="9" xfId="0" applyFont="1" applyFill="1" applyBorder="1" applyAlignment="1">
      <alignment horizontal="center" vertical="center"/>
    </xf>
    <xf numFmtId="0" fontId="43" fillId="13" borderId="9" xfId="0" applyFont="1" applyFill="1" applyBorder="1" applyAlignment="1">
      <alignment vertical="center"/>
    </xf>
    <xf numFmtId="180" fontId="43" fillId="13" borderId="9" xfId="0" applyNumberFormat="1" applyFont="1" applyFill="1" applyBorder="1" applyAlignment="1">
      <alignment vertical="center"/>
    </xf>
    <xf numFmtId="181" fontId="43" fillId="13" borderId="9" xfId="0" applyNumberFormat="1" applyFont="1" applyFill="1" applyBorder="1" applyAlignment="1">
      <alignment vertical="center"/>
    </xf>
    <xf numFmtId="173" fontId="43" fillId="13" borderId="9" xfId="0" applyNumberFormat="1" applyFont="1" applyFill="1" applyBorder="1" applyAlignment="1">
      <alignment vertical="center"/>
    </xf>
    <xf numFmtId="173" fontId="43" fillId="13" borderId="0" xfId="0" applyNumberFormat="1" applyFont="1" applyFill="1" applyAlignment="1">
      <alignment vertical="center"/>
    </xf>
    <xf numFmtId="0" fontId="35" fillId="0" borderId="18" xfId="3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179" fontId="35" fillId="0" borderId="9" xfId="0" applyNumberFormat="1" applyFont="1" applyBorder="1" applyAlignment="1">
      <alignment vertical="center"/>
    </xf>
    <xf numFmtId="1" fontId="35" fillId="0" borderId="9" xfId="0" applyNumberFormat="1" applyFont="1" applyBorder="1" applyAlignment="1">
      <alignment vertical="center"/>
    </xf>
    <xf numFmtId="173" fontId="35" fillId="0" borderId="9" xfId="0" applyNumberFormat="1" applyFont="1" applyBorder="1" applyAlignment="1">
      <alignment vertical="center"/>
    </xf>
    <xf numFmtId="173" fontId="35" fillId="0" borderId="14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0" fontId="35" fillId="0" borderId="0" xfId="0" applyFont="1" applyAlignment="1">
      <alignment horizontal="center"/>
    </xf>
    <xf numFmtId="2" fontId="24" fillId="16" borderId="0" xfId="0" applyNumberFormat="1" applyFont="1" applyFill="1" applyAlignment="1" applyProtection="1">
      <alignment vertical="center"/>
      <protection hidden="1"/>
    </xf>
    <xf numFmtId="0" fontId="24" fillId="16" borderId="0" xfId="0" applyFont="1" applyFill="1" applyAlignment="1">
      <alignment vertical="center"/>
    </xf>
    <xf numFmtId="0" fontId="24" fillId="6" borderId="5" xfId="3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4" fillId="0" borderId="0" xfId="42" applyAlignment="1">
      <alignment wrapText="1"/>
    </xf>
    <xf numFmtId="0" fontId="4" fillId="0" borderId="9" xfId="55" applyFont="1" applyBorder="1" applyAlignment="1">
      <alignment horizontal="left" vertical="center" wrapText="1"/>
    </xf>
    <xf numFmtId="49" fontId="49" fillId="0" borderId="9" xfId="55" applyNumberFormat="1" applyFont="1" applyBorder="1" applyAlignment="1" applyProtection="1">
      <alignment horizontal="left" vertical="center" wrapText="1"/>
      <protection hidden="1"/>
    </xf>
    <xf numFmtId="0" fontId="4" fillId="6" borderId="9" xfId="55" applyFont="1" applyFill="1" applyBorder="1" applyAlignment="1">
      <alignment horizontal="left" vertical="center" wrapText="1"/>
    </xf>
    <xf numFmtId="49" fontId="49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49" fillId="0" borderId="9" xfId="55" applyFont="1" applyBorder="1" applyAlignment="1">
      <alignment horizontal="left" vertical="center" wrapText="1"/>
    </xf>
    <xf numFmtId="0" fontId="4" fillId="0" borderId="0" xfId="42" applyAlignment="1">
      <alignment horizontal="left" vertical="center" wrapText="1"/>
    </xf>
    <xf numFmtId="0" fontId="50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50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10" fontId="34" fillId="10" borderId="9" xfId="0" applyNumberFormat="1" applyFont="1" applyFill="1" applyBorder="1" applyAlignment="1">
      <alignment horizontal="center" vertical="center" wrapText="1"/>
    </xf>
    <xf numFmtId="182" fontId="24" fillId="0" borderId="9" xfId="0" applyNumberFormat="1" applyFont="1" applyBorder="1" applyAlignment="1">
      <alignment vertical="center"/>
    </xf>
    <xf numFmtId="9" fontId="24" fillId="0" borderId="9" xfId="44" applyFont="1" applyBorder="1" applyAlignment="1">
      <alignment vertical="center"/>
    </xf>
    <xf numFmtId="171" fontId="24" fillId="0" borderId="9" xfId="0" applyNumberFormat="1" applyFont="1" applyBorder="1" applyAlignment="1">
      <alignment vertical="center"/>
    </xf>
    <xf numFmtId="44" fontId="24" fillId="5" borderId="9" xfId="48" applyFont="1" applyFill="1" applyBorder="1" applyAlignment="1">
      <alignment horizontal="center" vertical="center"/>
    </xf>
    <xf numFmtId="170" fontId="24" fillId="0" borderId="9" xfId="44" applyNumberFormat="1" applyFont="1" applyFill="1" applyBorder="1" applyAlignment="1">
      <alignment horizontal="center" vertical="center"/>
    </xf>
    <xf numFmtId="9" fontId="24" fillId="0" borderId="9" xfId="0" applyNumberFormat="1" applyFont="1" applyBorder="1" applyAlignment="1">
      <alignment vertical="center"/>
    </xf>
    <xf numFmtId="170" fontId="24" fillId="0" borderId="9" xfId="0" applyNumberFormat="1" applyFont="1" applyBorder="1" applyAlignment="1">
      <alignment horizontal="center" vertical="center"/>
    </xf>
    <xf numFmtId="0" fontId="33" fillId="10" borderId="9" xfId="0" applyFont="1" applyFill="1" applyBorder="1" applyAlignment="1">
      <alignment vertical="center" wrapText="1"/>
    </xf>
    <xf numFmtId="44" fontId="35" fillId="8" borderId="20" xfId="54" applyFont="1" applyFill="1" applyBorder="1" applyAlignment="1">
      <alignment horizontal="left" vertical="center"/>
    </xf>
    <xf numFmtId="44" fontId="35" fillId="7" borderId="20" xfId="54" applyFont="1" applyFill="1" applyBorder="1" applyAlignment="1">
      <alignment horizontal="left" vertical="center"/>
    </xf>
    <xf numFmtId="44" fontId="35" fillId="8" borderId="20" xfId="0" applyNumberFormat="1" applyFont="1" applyFill="1" applyBorder="1" applyAlignment="1">
      <alignment horizontal="left" vertical="center"/>
    </xf>
    <xf numFmtId="0" fontId="39" fillId="13" borderId="24" xfId="0" applyFont="1" applyFill="1" applyBorder="1" applyAlignment="1">
      <alignment horizontal="left" vertical="center" wrapText="1"/>
    </xf>
    <xf numFmtId="173" fontId="35" fillId="8" borderId="19" xfId="0" applyNumberFormat="1" applyFont="1" applyFill="1" applyBorder="1" applyAlignment="1">
      <alignment horizontal="left" vertical="center" wrapText="1"/>
    </xf>
    <xf numFmtId="44" fontId="35" fillId="7" borderId="19" xfId="54" applyFont="1" applyFill="1" applyBorder="1" applyAlignment="1">
      <alignment horizontal="left" vertical="center" wrapText="1"/>
    </xf>
    <xf numFmtId="44" fontId="35" fillId="8" borderId="19" xfId="54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/>
    </xf>
    <xf numFmtId="168" fontId="24" fillId="6" borderId="0" xfId="19" applyFont="1" applyFill="1" applyAlignment="1">
      <alignment vertical="center"/>
    </xf>
    <xf numFmtId="168" fontId="24" fillId="0" borderId="0" xfId="19" applyFont="1" applyAlignment="1" applyProtection="1">
      <alignment vertical="center"/>
      <protection hidden="1"/>
    </xf>
    <xf numFmtId="44" fontId="24" fillId="6" borderId="0" xfId="54" applyFont="1" applyFill="1" applyAlignment="1">
      <alignment vertical="center"/>
    </xf>
    <xf numFmtId="44" fontId="24" fillId="0" borderId="0" xfId="54" applyFont="1" applyAlignment="1">
      <alignment horizontal="center" vertical="center" wrapText="1"/>
    </xf>
    <xf numFmtId="44" fontId="26" fillId="0" borderId="0" xfId="54" applyFont="1" applyAlignment="1">
      <alignment horizontal="center" vertical="center"/>
    </xf>
    <xf numFmtId="0" fontId="35" fillId="5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173" fontId="0" fillId="0" borderId="9" xfId="0" applyNumberFormat="1" applyFont="1" applyBorder="1" applyAlignment="1">
      <alignment vertical="center"/>
    </xf>
    <xf numFmtId="0" fontId="0" fillId="12" borderId="0" xfId="0" applyFill="1"/>
    <xf numFmtId="14" fontId="35" fillId="0" borderId="9" xfId="0" applyNumberFormat="1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44" fontId="35" fillId="0" borderId="9" xfId="57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45" fillId="15" borderId="9" xfId="0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168" fontId="35" fillId="0" borderId="9" xfId="19" applyFont="1" applyBorder="1" applyAlignment="1">
      <alignment horizontal="center" vertical="center"/>
    </xf>
    <xf numFmtId="173" fontId="34" fillId="9" borderId="14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168" fontId="24" fillId="0" borderId="0" xfId="19" applyFont="1" applyFill="1" applyAlignment="1">
      <alignment horizontal="center" vertical="center" wrapText="1"/>
    </xf>
    <xf numFmtId="44" fontId="24" fillId="0" borderId="0" xfId="54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0" fontId="35" fillId="6" borderId="9" xfId="0" applyFont="1" applyFill="1" applyBorder="1" applyAlignment="1">
      <alignment vertical="center"/>
    </xf>
    <xf numFmtId="14" fontId="35" fillId="6" borderId="9" xfId="0" applyNumberFormat="1" applyFont="1" applyFill="1" applyBorder="1" applyAlignment="1">
      <alignment vertical="center"/>
    </xf>
    <xf numFmtId="0" fontId="35" fillId="6" borderId="9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44" fontId="35" fillId="6" borderId="9" xfId="57" applyFont="1" applyFill="1" applyBorder="1" applyAlignment="1">
      <alignment horizontal="center" vertical="center"/>
    </xf>
    <xf numFmtId="14" fontId="35" fillId="6" borderId="9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14" fontId="35" fillId="0" borderId="9" xfId="0" applyNumberFormat="1" applyFont="1" applyFill="1" applyBorder="1" applyAlignment="1">
      <alignment vertical="center"/>
    </xf>
    <xf numFmtId="0" fontId="35" fillId="0" borderId="9" xfId="0" applyFont="1" applyFill="1" applyBorder="1" applyAlignment="1">
      <alignment vertical="center"/>
    </xf>
    <xf numFmtId="168" fontId="35" fillId="0" borderId="9" xfId="19" applyFont="1" applyFill="1" applyBorder="1" applyAlignment="1">
      <alignment horizontal="center" vertical="center"/>
    </xf>
    <xf numFmtId="44" fontId="35" fillId="0" borderId="9" xfId="57" applyFont="1" applyFill="1" applyBorder="1" applyAlignment="1">
      <alignment horizontal="center" vertical="center"/>
    </xf>
    <xf numFmtId="177" fontId="24" fillId="0" borderId="0" xfId="0" applyNumberFormat="1" applyFont="1" applyFill="1" applyAlignment="1">
      <alignment horizontal="center" vertical="center"/>
    </xf>
    <xf numFmtId="178" fontId="24" fillId="0" borderId="0" xfId="0" applyNumberFormat="1" applyFont="1" applyFill="1" applyAlignment="1">
      <alignment vertical="center"/>
    </xf>
    <xf numFmtId="0" fontId="24" fillId="0" borderId="0" xfId="30" applyFont="1" applyFill="1" applyAlignment="1">
      <alignment vertical="center"/>
    </xf>
    <xf numFmtId="44" fontId="35" fillId="0" borderId="20" xfId="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7" fillId="10" borderId="8" xfId="30" applyFont="1" applyFill="1" applyBorder="1" applyAlignment="1">
      <alignment horizontal="center" vertical="center" wrapText="1"/>
    </xf>
    <xf numFmtId="0" fontId="37" fillId="10" borderId="11" xfId="3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left" vertical="center"/>
    </xf>
    <xf numFmtId="0" fontId="39" fillId="13" borderId="4" xfId="0" applyFont="1" applyFill="1" applyBorder="1" applyAlignment="1">
      <alignment horizontal="left" vertical="center"/>
    </xf>
    <xf numFmtId="0" fontId="39" fillId="13" borderId="14" xfId="0" applyFont="1" applyFill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10" fontId="24" fillId="5" borderId="7" xfId="0" applyNumberFormat="1" applyFont="1" applyFill="1" applyBorder="1" applyAlignment="1">
      <alignment horizontal="left" vertical="center"/>
    </xf>
    <xf numFmtId="10" fontId="24" fillId="5" borderId="4" xfId="0" applyNumberFormat="1" applyFont="1" applyFill="1" applyBorder="1" applyAlignment="1">
      <alignment horizontal="left" vertical="center"/>
    </xf>
    <xf numFmtId="10" fontId="24" fillId="5" borderId="14" xfId="0" applyNumberFormat="1" applyFont="1" applyFill="1" applyBorder="1" applyAlignment="1">
      <alignment horizontal="left" vertical="center"/>
    </xf>
    <xf numFmtId="0" fontId="33" fillId="10" borderId="7" xfId="0" applyFont="1" applyFill="1" applyBorder="1" applyAlignment="1">
      <alignment horizontal="left" vertical="center" wrapText="1"/>
    </xf>
    <xf numFmtId="0" fontId="33" fillId="10" borderId="4" xfId="0" applyFont="1" applyFill="1" applyBorder="1" applyAlignment="1">
      <alignment horizontal="left" vertical="center" wrapText="1"/>
    </xf>
    <xf numFmtId="0" fontId="33" fillId="10" borderId="14" xfId="0" applyFont="1" applyFill="1" applyBorder="1" applyAlignment="1">
      <alignment horizontal="left" vertical="center" wrapText="1"/>
    </xf>
    <xf numFmtId="0" fontId="39" fillId="13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9" fontId="24" fillId="0" borderId="7" xfId="0" applyNumberFormat="1" applyFont="1" applyBorder="1" applyAlignment="1">
      <alignment horizontal="left" vertical="center"/>
    </xf>
    <xf numFmtId="9" fontId="24" fillId="0" borderId="14" xfId="0" applyNumberFormat="1" applyFont="1" applyBorder="1" applyAlignment="1">
      <alignment horizontal="left" vertical="center"/>
    </xf>
    <xf numFmtId="0" fontId="26" fillId="0" borderId="9" xfId="30" applyFont="1" applyBorder="1" applyAlignment="1">
      <alignment horizontal="center" vertical="center"/>
    </xf>
    <xf numFmtId="0" fontId="33" fillId="10" borderId="12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32" fillId="0" borderId="0" xfId="30" applyFont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9" fontId="24" fillId="0" borderId="7" xfId="0" applyNumberFormat="1" applyFont="1" applyBorder="1" applyAlignment="1">
      <alignment horizontal="left" vertical="center" wrapText="1"/>
    </xf>
    <xf numFmtId="9" fontId="24" fillId="0" borderId="14" xfId="0" applyNumberFormat="1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left" vertical="center"/>
    </xf>
    <xf numFmtId="170" fontId="26" fillId="5" borderId="7" xfId="0" applyNumberFormat="1" applyFont="1" applyFill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0" fontId="32" fillId="0" borderId="6" xfId="30" applyFont="1" applyBorder="1" applyAlignment="1">
      <alignment horizontal="center" vertical="center"/>
    </xf>
    <xf numFmtId="0" fontId="32" fillId="0" borderId="0" xfId="30" applyFont="1" applyAlignment="1">
      <alignment horizontal="left" vertical="center"/>
    </xf>
    <xf numFmtId="0" fontId="26" fillId="13" borderId="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26" fillId="13" borderId="14" xfId="0" applyFont="1" applyFill="1" applyBorder="1" applyAlignment="1">
      <alignment horizontal="center" vertical="center"/>
    </xf>
    <xf numFmtId="0" fontId="26" fillId="14" borderId="8" xfId="0" applyFont="1" applyFill="1" applyBorder="1" applyAlignment="1">
      <alignment horizontal="center" vertical="center"/>
    </xf>
    <xf numFmtId="0" fontId="26" fillId="14" borderId="21" xfId="0" applyFont="1" applyFill="1" applyBorder="1" applyAlignment="1">
      <alignment horizontal="center" vertical="center"/>
    </xf>
    <xf numFmtId="0" fontId="26" fillId="14" borderId="22" xfId="0" applyFont="1" applyFill="1" applyBorder="1" applyAlignment="1">
      <alignment horizontal="center" vertical="center"/>
    </xf>
    <xf numFmtId="0" fontId="26" fillId="13" borderId="8" xfId="0" applyFont="1" applyFill="1" applyBorder="1" applyAlignment="1">
      <alignment horizontal="center" vertical="center"/>
    </xf>
    <xf numFmtId="0" fontId="26" fillId="13" borderId="21" xfId="0" applyFont="1" applyFill="1" applyBorder="1" applyAlignment="1">
      <alignment horizontal="center" vertical="center"/>
    </xf>
    <xf numFmtId="0" fontId="26" fillId="13" borderId="22" xfId="0" applyFont="1" applyFill="1" applyBorder="1" applyAlignment="1">
      <alignment horizontal="center" vertical="center"/>
    </xf>
    <xf numFmtId="170" fontId="26" fillId="5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8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2" fontId="33" fillId="10" borderId="7" xfId="0" applyNumberFormat="1" applyFont="1" applyFill="1" applyBorder="1" applyAlignment="1">
      <alignment horizontal="left" vertical="center"/>
    </xf>
    <xf numFmtId="2" fontId="33" fillId="10" borderId="4" xfId="0" applyNumberFormat="1" applyFont="1" applyFill="1" applyBorder="1" applyAlignment="1">
      <alignment horizontal="left" vertical="center"/>
    </xf>
    <xf numFmtId="49" fontId="33" fillId="10" borderId="4" xfId="29" applyNumberFormat="1" applyFont="1" applyFill="1" applyBorder="1" applyAlignment="1">
      <alignment horizontal="left" vertical="center"/>
    </xf>
    <xf numFmtId="49" fontId="33" fillId="10" borderId="14" xfId="29" applyNumberFormat="1" applyFont="1" applyFill="1" applyBorder="1" applyAlignment="1">
      <alignment horizontal="left" vertical="center"/>
    </xf>
    <xf numFmtId="49" fontId="24" fillId="7" borderId="7" xfId="0" applyNumberFormat="1" applyFont="1" applyFill="1" applyBorder="1" applyAlignment="1">
      <alignment horizontal="center" vertical="center"/>
    </xf>
    <xf numFmtId="49" fontId="24" fillId="7" borderId="14" xfId="0" applyNumberFormat="1" applyFont="1" applyFill="1" applyBorder="1" applyAlignment="1">
      <alignment horizontal="center" vertical="center"/>
    </xf>
    <xf numFmtId="49" fontId="24" fillId="8" borderId="7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horizontal="center" vertical="center"/>
    </xf>
    <xf numFmtId="49" fontId="24" fillId="7" borderId="4" xfId="0" applyNumberFormat="1" applyFont="1" applyFill="1" applyBorder="1" applyAlignment="1">
      <alignment horizontal="center" vertical="center"/>
    </xf>
    <xf numFmtId="49" fontId="24" fillId="8" borderId="4" xfId="0" applyNumberFormat="1" applyFont="1" applyFill="1" applyBorder="1" applyAlignment="1">
      <alignment horizontal="center" vertical="center"/>
    </xf>
    <xf numFmtId="0" fontId="33" fillId="10" borderId="9" xfId="0" applyFont="1" applyFill="1" applyBorder="1" applyAlignment="1">
      <alignment horizontal="center" vertical="center" wrapText="1"/>
    </xf>
    <xf numFmtId="14" fontId="24" fillId="0" borderId="0" xfId="0" applyNumberFormat="1" applyFont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44" fontId="35" fillId="0" borderId="20" xfId="54" applyFont="1" applyFill="1" applyBorder="1" applyAlignment="1">
      <alignment horizontal="left" vertical="center"/>
    </xf>
    <xf numFmtId="44" fontId="35" fillId="0" borderId="23" xfId="54" applyFont="1" applyFill="1" applyBorder="1" applyAlignment="1">
      <alignment horizontal="left" vertical="center"/>
    </xf>
    <xf numFmtId="0" fontId="35" fillId="0" borderId="0" xfId="0" applyNumberFormat="1" applyFont="1" applyFill="1" applyAlignment="1">
      <alignment horizontal="center" vertical="center"/>
    </xf>
    <xf numFmtId="4" fontId="35" fillId="0" borderId="0" xfId="0" applyNumberFormat="1" applyFont="1" applyFill="1" applyAlignment="1">
      <alignment vertical="center"/>
    </xf>
    <xf numFmtId="4" fontId="35" fillId="0" borderId="0" xfId="0" applyNumberFormat="1" applyFont="1" applyFill="1" applyAlignment="1">
      <alignment horizontal="center" vertical="center"/>
    </xf>
    <xf numFmtId="173" fontId="35" fillId="0" borderId="0" xfId="0" applyNumberFormat="1" applyFont="1" applyFill="1" applyAlignment="1">
      <alignment horizontal="center" vertical="center"/>
    </xf>
    <xf numFmtId="0" fontId="32" fillId="0" borderId="0" xfId="30" applyFont="1" applyBorder="1" applyAlignment="1">
      <alignment horizontal="center" vertical="center"/>
    </xf>
    <xf numFmtId="170" fontId="24" fillId="5" borderId="11" xfId="0" applyNumberFormat="1" applyFont="1" applyFill="1" applyBorder="1" applyAlignment="1">
      <alignment horizontal="center" vertical="center"/>
    </xf>
    <xf numFmtId="170" fontId="24" fillId="5" borderId="0" xfId="0" applyNumberFormat="1" applyFont="1" applyFill="1" applyBorder="1" applyAlignment="1">
      <alignment horizontal="center" vertical="center"/>
    </xf>
  </cellXfs>
  <cellStyles count="5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Währung [0]_Aufmaß" xfId="32" xr:uid="{00000000-0005-0000-0000-000035000000}"/>
    <cellStyle name="Währung_Aufmaß" xfId="33" xr:uid="{00000000-0005-0000-0000-000036000000}"/>
  </cellStyles>
  <dxfs count="1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2:D33" totalsRowShown="0" headerRowDxfId="193" dataDxfId="192" headerRowCellStyle="Standaard 4">
  <autoFilter ref="A12:D33" xr:uid="{00000000-0009-0000-0100-000006000000}"/>
  <tableColumns count="4">
    <tableColumn id="1" xr3:uid="{00000000-0010-0000-0000-000001000000}" name="Code" dataDxfId="191" dataCellStyle="Standaard 4"/>
    <tableColumn id="2" xr3:uid="{00000000-0010-0000-0000-000002000000}" name="Ruimte omschrijving" dataDxfId="190" dataCellStyle="Standaard 4"/>
    <tableColumn id="3" xr3:uid="{00000000-0010-0000-0000-000003000000}" name="Norm (5w)" dataDxfId="189"/>
    <tableColumn id="4" xr3:uid="{00000000-0010-0000-0000-000004000000}" name="Inspectiecategorie" dataDxfId="1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E479500-D87C-4D61-8E44-1580D801D79F}" name="Invulsanitair" displayName="Invulsanitair" ref="A8:I14" totalsRowShown="0" headerRowDxfId="98">
  <autoFilter ref="A8:I14" xr:uid="{44353B41-E2ED-4FA6-AF24-F980C74B542F}"/>
  <tableColumns count="9">
    <tableColumn id="1" xr3:uid="{BE917DEF-A0C2-4782-9F00-24ABE02D448B}" name="Code Taak" dataDxfId="97"/>
    <tableColumn id="2" xr3:uid="{BADC8964-C453-4279-822E-8935D5292E85}" name="Werkzaamheden"/>
    <tableColumn id="3" xr3:uid="{3C27F3AB-43D2-42EB-B37F-21440ED29D61}" name="Prijs" dataDxfId="96"/>
    <tableColumn id="4" xr3:uid="{E1BEAB8F-CEF2-4AAD-85CA-891D666D99F2}" name="Omschrijving" dataDxfId="95"/>
    <tableColumn id="5" xr3:uid="{743851F7-52C9-4F84-B9B5-7FBF559C6B65}" name="2023" dataDxfId="94" dataCellStyle="Valuta">
      <calculatedColumnFormula>(Invulsanitair[[#This Row],[Prijs]]*Tariefsopbouw!$I$37)+Invulsanitair[[#This Row],[Prijs]]</calculatedColumnFormula>
    </tableColumn>
    <tableColumn id="6" xr3:uid="{0AE74121-62E5-4CC4-BFF3-E9AC0381A1FB}" name="2024" dataDxfId="93" dataCellStyle="Valuta">
      <calculatedColumnFormula>E9*Tariefsopbouw!$K$37+E9</calculatedColumnFormula>
    </tableColumn>
    <tableColumn id="7" xr3:uid="{3EFA8C02-B5EF-4724-A7F5-D0E4CB72FF79}" name="2025" dataDxfId="92" dataCellStyle="Valuta">
      <calculatedColumnFormula>F9*Tariefsopbouw!$M$37+F9</calculatedColumnFormula>
    </tableColumn>
    <tableColumn id="8" xr3:uid="{E42D5648-1912-4DB2-8B47-E7DA14D441E1}" name="2026" dataDxfId="91" dataCellStyle="Valuta">
      <calculatedColumnFormula>G9*Tariefsopbouw!$O$37+Invulsanitair[[#This Row],[2025]]</calculatedColumnFormula>
    </tableColumn>
    <tableColumn id="9" xr3:uid="{6B769926-2757-4927-BBB9-AD32AE045B4A}" name="2027" dataDxfId="90" dataCellStyle="Valuta">
      <calculatedColumnFormula>H9*Tariefsopbouw!$Q$37+Invulsanitair[[#This Row],[2026]]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72A1A1E-EA08-49C3-8008-FAE4F806AD05}" name="Overzichtsanitair" displayName="Overzichtsanitair" ref="A16:H24" totalsRowCount="1" headerRowDxfId="89" dataDxfId="88" totalsRowDxfId="87">
  <autoFilter ref="A16:H23" xr:uid="{B715F61F-4218-4B2A-9D66-D03D6DA9271A}"/>
  <tableColumns count="8">
    <tableColumn id="11" xr3:uid="{94349621-E6BA-414B-95F3-A60534840595}" name="Code Locatie" dataDxfId="86" totalsRowDxfId="85"/>
    <tableColumn id="1" xr3:uid="{481DDA12-7B79-4547-9F1F-C6C5B61617E7}" name="Locatie" totalsRowLabel="Totaal" dataDxfId="84" totalsRowDxfId="83">
      <calculatedColumnFormula>VLOOKUP(Overzichtsanitair[[#This Row],[Code Locatie]],Locaties[],2,0)</calculatedColumnFormula>
    </tableColumn>
    <tableColumn id="3" xr3:uid="{A981DAD7-8B3A-4D4B-BC1D-D40C2BF116F8}" name="Code Taak" dataDxfId="82" totalsRowDxfId="81"/>
    <tableColumn id="4" xr3:uid="{288FDFCE-A5EF-4C8F-8258-56677739C361}" name="Vloersoort / toelichting" dataDxfId="80" totalsRowDxfId="79">
      <calculatedColumnFormula>IF(Overzichtsanitair[[#This Row],[Code Taak]]&gt;0,VLOOKUP(Overzichtsanitair[[#This Row],[Code Taak]],$A$8:$B$14,2,FALSE),"")</calculatedColumnFormula>
    </tableColumn>
    <tableColumn id="6" xr3:uid="{4F7FC5FB-7FD2-4380-8D09-A870E32533E5}" name="Aantal" dataDxfId="78" totalsRowDxfId="77">
      <calculatedColumnFormula>SUMIFS('Ruimtestaat'!$N:$N,'Ruimtestaat'!L:L,Vloeronderhoud!E19,'Ruimtestaat'!A:A,Vloeronderhoud!A19)</calculatedColumnFormula>
    </tableColumn>
    <tableColumn id="8" xr3:uid="{E6E81386-4A5E-48DC-918B-A84373B79FC0}" name="Frequentie (uitv./jaar)" dataDxfId="76" totalsRowDxfId="75"/>
    <tableColumn id="9" xr3:uid="{4ADC555E-5B49-4DE9-8366-B0577AFC4EA6}" name="Kosten/jaar excl. BTW" totalsRowFunction="sum" dataDxfId="74" totalsRowDxfId="73">
      <calculatedColumnFormula>VLOOKUP(Overzichtsanitair[[#This Row],[Code Taak]],Invulsanitair[],3,3)*E17*F17</calculatedColumnFormula>
    </tableColumn>
    <tableColumn id="2" xr3:uid="{F060EE6C-6C05-4406-9121-381E86248132}" name="Opmerking" dataDxfId="72" totalsRowDxfId="71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70" dataDxfId="69" totalsRowDxfId="68">
  <autoFilter ref="B8:D36" xr:uid="{00000000-0009-0000-0100-00000B000000}"/>
  <tableColumns count="3">
    <tableColumn id="1" xr3:uid="{00000000-0010-0000-0B00-000001000000}" name="Werkzaamheid" totalsRowLabel="Totaal" totalsRowDxfId="67"/>
    <tableColumn id="2" xr3:uid="{00000000-0010-0000-0B00-000002000000}" name="Eenheid" totalsRowDxfId="66"/>
    <tableColumn id="3" xr3:uid="{00000000-0010-0000-0B00-000003000000}" name="Prijs excl. BTW" dataDxfId="65" totalsRowDxfId="6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10" totalsRowCount="1" headerRowDxfId="63" dataDxfId="61" totalsRowDxfId="59" headerRowBorderDxfId="62" tableBorderDxfId="60">
  <autoFilter ref="A6:H9" xr:uid="{00000000-0009-0000-0100-00000E000000}"/>
  <tableColumns count="8">
    <tableColumn id="8" xr3:uid="{00000000-0010-0000-0C00-000008000000}" name="Code Locatie" dataDxfId="58" totalsRowDxfId="57"/>
    <tableColumn id="1" xr3:uid="{00000000-0010-0000-0C00-000001000000}" name="Locatie" totalsRowLabel="Totaal" dataDxfId="56" totalsRowDxfId="55"/>
    <tableColumn id="2" xr3:uid="{00000000-0010-0000-0C00-000002000000}" name="Oppervlakte i/o" totalsRowFunction="sum" dataDxfId="54" totalsRowDxfId="53"/>
    <tableColumn id="3" xr3:uid="{00000000-0010-0000-0C00-000003000000}" name="Prest. (m2 /jaar)" totalsRowFunction="sum" dataDxfId="52" totalsRowDxfId="51"/>
    <tableColumn id="4" xr3:uid="{00000000-0010-0000-0C00-000004000000}" name="Uren / jaar" totalsRowFunction="sum" dataDxfId="50" totalsRowDxfId="49"/>
    <tableColumn id="5" xr3:uid="{00000000-0010-0000-0C00-000005000000}" name="Norm (m2/uur)" totalsRowFunction="custom" dataDxfId="48" totalsRowDxfId="47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46" totalsRowDxfId="45"/>
    <tableColumn id="7" xr3:uid="{00000000-0010-0000-0C00-000007000000}" name="Kosten / m2" totalsRowFunction="custom" dataDxfId="44" totalsRowDxfId="43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3:G17" totalsRowCount="1" headerRowDxfId="42" dataDxfId="40" totalsRowDxfId="38" headerRowBorderDxfId="41" tableBorderDxfId="39">
  <autoFilter ref="A13:G16" xr:uid="{00000000-0009-0000-0100-00000F000000}"/>
  <tableColumns count="7">
    <tableColumn id="8" xr3:uid="{00000000-0010-0000-0D00-000008000000}" name="Code Locatie" dataDxfId="37" totalsRowDxfId="36"/>
    <tableColumn id="1" xr3:uid="{00000000-0010-0000-0D00-000001000000}" name="Locaties" totalsRowLabel="Totaal" dataDxfId="35" totalsRowDxfId="34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33" totalsRowDxfId="32">
      <calculatedColumnFormula>SUMIF('Ruimtestaat'!A:A,Totalisatie[[#This Row],[Code Locatie]],'Ruimtestaat'!AF:AF)</calculatedColumnFormula>
    </tableColumn>
    <tableColumn id="6" xr3:uid="{00000000-0010-0000-0D00-000006000000}" name="Glasbewassing_x000a_Kosten / jaar" totalsRowFunction="sum" dataDxfId="31" totalsRowDxfId="30">
      <calculatedColumnFormula>SUMIF(Glasbewassing!$A$23:$A$38,Totalisatie[[#This Row],[Code Locatie]],Glasbewassing!$G$23:$G$38)</calculatedColumnFormula>
    </tableColumn>
    <tableColumn id="2" xr3:uid="{00000000-0010-0000-0D00-000002000000}" name="Vloeronderhoud_x000a_Kosten / jaar" totalsRowFunction="sum" dataDxfId="29" totalsRowDxfId="28">
      <calculatedColumnFormula>SUMIF(Vloeronderhoud!$A$19:$A$37,Totalisatie[[#This Row],[Code Locatie]],Vloeronderhoud!$H$19:$H$37)</calculatedColumnFormula>
    </tableColumn>
    <tableColumn id="3" xr3:uid="{EF4BA977-D3C4-4FA9-A730-B119E548569A}" name="Sanitaire voorzieningen kosten / jaar" totalsRowFunction="sum" dataDxfId="27" totalsRowDxfId="26">
      <calculatedColumnFormula>SUMIF(Overzichtsanitair[[Code Locatie]:[Kosten/jaar excl. BTW]],Totalisatie[[#This Row],[Code Locatie]],Overzichtsanitair[Kosten/jaar excl. BTW])</calculatedColumnFormula>
    </tableColumn>
    <tableColumn id="5" xr3:uid="{2A8C3CF1-513F-4CAD-A439-3F5FCA3E0363}" name="Totaalprijs_x000a_Kosten / jaar" totalsRowFunction="sum" dataDxfId="25" totalsRowDxfId="24">
      <calculatedColumnFormula>SUM(Totalisatie[[#This Row],[Schoonmaakonderhoud
Kosten / jaar]:[Sanitaire voorzieningen 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6:F41" totalsRowShown="0" headerRowDxfId="187" dataDxfId="186">
  <autoFilter ref="A36:F41" xr:uid="{00000000-0009-0000-0100-000007000000}"/>
  <tableColumns count="6">
    <tableColumn id="1" xr3:uid="{00000000-0010-0000-0100-000001000000}" name="Code" dataDxfId="185"/>
    <tableColumn id="4" xr3:uid="{00000000-0010-0000-0100-000004000000}" name="Naam" dataDxfId="184"/>
    <tableColumn id="5" xr3:uid="{00000000-0010-0000-0100-000005000000}" name="Aanpassing norm" dataDxfId="183" dataCellStyle="Procent"/>
    <tableColumn id="2" xr3:uid="{00000000-0010-0000-0100-000002000000}" name="Vloersoort omschrijving" dataDxfId="182" dataCellStyle="Standaard 4"/>
    <tableColumn id="7" xr3:uid="{00000000-0010-0000-0100-000007000000}" name="Kolom2" dataDxfId="181" dataCellStyle="Standaard 4"/>
    <tableColumn id="6" xr3:uid="{00000000-0010-0000-0100-000006000000}" name="Kolom1" dataDxfId="180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4:D54" totalsRowShown="0" headerRowDxfId="179" dataDxfId="178">
  <autoFilter ref="A44:D54" xr:uid="{00000000-0009-0000-0100-000008000000}"/>
  <tableColumns count="4">
    <tableColumn id="1" xr3:uid="{00000000-0010-0000-0200-000001000000}" name="Code" dataDxfId="177" dataCellStyle="Standaard 4"/>
    <tableColumn id="2" xr3:uid="{00000000-0010-0000-0200-000002000000}" name="Frequentie omschrijving" dataDxfId="176" dataCellStyle="Standaard 4"/>
    <tableColumn id="3" xr3:uid="{00000000-0010-0000-0200-000003000000}" name="Aanpassing norm" dataDxfId="175" dataCellStyle="Procent"/>
    <tableColumn id="4" xr3:uid="{00000000-0010-0000-0200-000004000000}" name="Uitvoeringen" dataDxfId="174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9" totalsRowShown="0" dataDxfId="173">
  <autoFilter ref="A6:F9" xr:uid="{00000000-0009-0000-0100-00000D000000}"/>
  <tableColumns count="6">
    <tableColumn id="1" xr3:uid="{00000000-0010-0000-0300-000001000000}" name="Code" dataDxfId="172"/>
    <tableColumn id="2" xr3:uid="{00000000-0010-0000-0300-000002000000}" name="Locatie" dataDxfId="171"/>
    <tableColumn id="7" xr3:uid="{00000000-0010-0000-0300-000007000000}" name="Aanpassing norm" dataDxfId="170"/>
    <tableColumn id="3" xr3:uid="{00000000-0010-0000-0300-000003000000}" name="Adres" dataDxfId="169"/>
    <tableColumn id="4" xr3:uid="{00000000-0010-0000-0300-000004000000}" name="Postcode" dataDxfId="168"/>
    <tableColumn id="5" xr3:uid="{00000000-0010-0000-0300-000005000000}" name="Plaats" dataDxfId="16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F305" totalsRowShown="0" headerRowDxfId="166" dataDxfId="165">
  <autoFilter ref="A4:AF305" xr:uid="{B78C5E8C-24C7-4A23-AB0F-63FB43A90518}"/>
  <tableColumns count="32">
    <tableColumn id="32" xr3:uid="{00000000-0010-0000-0400-000020000000}" name="Code" dataDxfId="164"/>
    <tableColumn id="1" xr3:uid="{00000000-0010-0000-0400-000001000000}" name="Locatie" dataDxfId="163"/>
    <tableColumn id="3" xr3:uid="{00000000-0010-0000-0400-000003000000}" name="Adres" dataDxfId="162">
      <calculatedColumnFormula>VLOOKUP(Ruimtestaat[[#This Row],[Code]],Locaties[#All],4,FALSE)</calculatedColumnFormula>
    </tableColumn>
    <tableColumn id="4" xr3:uid="{00000000-0010-0000-0400-000004000000}" name="Postcode" dataDxfId="161">
      <calculatedColumnFormula>VLOOKUP(Ruimtestaat[[#This Row],[Code]],Locaties[#All],5,FALSE)</calculatedColumnFormula>
    </tableColumn>
    <tableColumn id="5" xr3:uid="{00000000-0010-0000-0400-000005000000}" name="Plaats" dataDxfId="160">
      <calculatedColumnFormula>VLOOKUP(Ruimtestaat[[#This Row],[Code]],Locaties[#All],6,FALSE)</calculatedColumnFormula>
    </tableColumn>
    <tableColumn id="2" xr3:uid="{00000000-0010-0000-0400-000002000000}" name="Gebouw gedeelte" dataDxfId="159"/>
    <tableColumn id="6" xr3:uid="{00000000-0010-0000-0400-000006000000}" name="Etage" dataDxfId="158"/>
    <tableColumn id="7" xr3:uid="{00000000-0010-0000-0400-000007000000}" name="Ruimte- _x000a_nummer" dataDxfId="157"/>
    <tableColumn id="8" xr3:uid="{00000000-0010-0000-0400-000008000000}" name="Ruimte omschrijving" dataDxfId="156"/>
    <tableColumn id="9" xr3:uid="{00000000-0010-0000-0400-000009000000}" name="Ruimte code" dataDxfId="155"/>
    <tableColumn id="10" xr3:uid="{00000000-0010-0000-0400-00000A000000}" name="Ruimtesoort" dataDxfId="154">
      <calculatedColumnFormula>VLOOKUP(Ruimtestaat[[#This Row],[Ruimte code]],Ruimtegroepen[#All],2,FALSE)</calculatedColumnFormula>
    </tableColumn>
    <tableColumn id="11" xr3:uid="{00000000-0010-0000-0400-00000B000000}" name="Vloer code" dataDxfId="153"/>
    <tableColumn id="12" xr3:uid="{00000000-0010-0000-0400-00000C000000}" name="Vloer afwerking" dataDxfId="152"/>
    <tableColumn id="13" xr3:uid="{00000000-0010-0000-0400-00000D000000}" name="Oppervlak (netto)" dataDxfId="151"/>
    <tableColumn id="14" xr3:uid="{00000000-0010-0000-0400-00000E000000}" name="Oppervlakte n.i.o." dataDxfId="150"/>
    <tableColumn id="15" xr3:uid="{00000000-0010-0000-0400-00000F000000}" name="Inspectie categorie" dataDxfId="149">
      <calculatedColumnFormula>VLOOKUP(Ruimtestaat[[#This Row],[Ruimte code]],Ruimtegroepen[#All],4,FALSE)</calculatedColumnFormula>
    </tableColumn>
    <tableColumn id="17" xr3:uid="{00000000-0010-0000-0400-000011000000}" name="Aantal weken/jr" dataDxfId="148"/>
    <tableColumn id="18" xr3:uid="{00000000-0010-0000-0400-000012000000}" name="Frequentie werkdagen" dataDxfId="147"/>
    <tableColumn id="19" xr3:uid="{00000000-0010-0000-0400-000013000000}" name="Uitvoeringen werkdagen" dataDxfId="146">
      <calculatedColumnFormula>IF(Q5&gt;0,IF(RIGHT(Ruimtestaat[[#This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45">
      <calculatedColumnFormula>IF(S5&gt;0,VLOOKUP($J5,Ruimtegroepen[],3,FALSE)*VLOOKUP($L5,Vloersoorten[],3,FALSE)*VLOOKUP($R5,Frequenties[],3,FALSE)*VLOOKUP($A5,Locaties[],3,FALSE),0)</calculatedColumnFormula>
    </tableColumn>
    <tableColumn id="21" xr3:uid="{00000000-0010-0000-0400-000015000000}" name="Prest. (m2 /jaar) werkdagen" dataDxfId="144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43" dataCellStyle="Komma">
      <calculatedColumnFormula>IF(T5&gt;0,Ruimtestaat[[#This Row],[Prest. (m2 /jaar) werkdagen]]/Ruimtestaat[[#This Row],[Norm (m2/uur) werkdagen]],0)</calculatedColumnFormula>
    </tableColumn>
    <tableColumn id="23" xr3:uid="{00000000-0010-0000-0400-000017000000}" name="kosten / jaar werkdagen" dataDxfId="142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41"/>
    <tableColumn id="38" xr3:uid="{00000000-0010-0000-0400-000026000000}" name="Uitvoeringen weekend" dataDxfId="140">
      <calculatedColumnFormula>IF(Ruimtestaat[[#This Row],[Frequentie weekend]]&gt;0,VALUE(LEFT(X5,1))*Q5,0)</calculatedColumnFormula>
    </tableColumn>
    <tableColumn id="25" xr3:uid="{00000000-0010-0000-0400-000019000000}" name="Norm (m2/uur) weekend" dataDxfId="139">
      <calculatedColumnFormula>IF($Y5&gt;0,VLOOKUP($J5,Ruimtegroepen[],3,FALSE)*VLOOKUP($L5,Vloersoorten[],3,FALSE)*VLOOKUP($X5,Frequenties[],3,FALSE)*VLOOKUP(#REF!,Locaties[],3,FALSE),0)</calculatedColumnFormula>
    </tableColumn>
    <tableColumn id="26" xr3:uid="{00000000-0010-0000-0400-00001A000000}" name="Prest. (m2 /jaar) weekend" dataDxfId="138"/>
    <tableColumn id="27" xr3:uid="{00000000-0010-0000-0400-00001B000000}" name="uren / jaar weekend" dataDxfId="137"/>
    <tableColumn id="28" xr3:uid="{00000000-0010-0000-0400-00001C000000}" name="kosten / jaar weekend" dataDxfId="136">
      <calculatedColumnFormula>Ruimtestaat[[#This Row],[uren / jaar weekend]]*Tariefsopbouw!$D$40</calculatedColumnFormula>
    </tableColumn>
    <tableColumn id="29" xr3:uid="{00000000-0010-0000-0400-00001D000000}" name="Prest. (m2 /jaar)" dataDxfId="135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34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33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21" totalsRowShown="0" headerRowDxfId="132">
  <autoFilter ref="A8:I21" xr:uid="{00000000-0009-0000-0100-000003000000}"/>
  <tableColumns count="9">
    <tableColumn id="1" xr3:uid="{00000000-0010-0000-0500-000001000000}" name="Code taak" dataDxfId="23"/>
    <tableColumn id="2" xr3:uid="{00000000-0010-0000-0500-000002000000}" name="Glassoort/voorziening" dataDxfId="21"/>
    <tableColumn id="3" xr3:uid="{00000000-0010-0000-0500-000003000000}" name="Prijs excl. BTW" dataDxfId="22"/>
    <tableColumn id="4" xr3:uid="{00000000-0010-0000-0500-000004000000}" name="Eenheid" dataDxfId="20"/>
    <tableColumn id="5" xr3:uid="{CC43D47B-51D1-48C7-9FBE-6228B4D72C08}" name="2023" dataDxfId="19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4" dataDxfId="18" dataCellStyle="Valuta">
      <calculatedColumnFormula>E9*Tariefsopbouw!$K$35+Glasbewassing!E9</calculatedColumnFormula>
    </tableColumn>
    <tableColumn id="7" xr3:uid="{C18EB174-680A-4DCC-A57F-327D4F1C3675}" name="2025" dataDxfId="17" dataCellStyle="Valuta">
      <calculatedColumnFormula>F9*Tariefsopbouw!$M$35+Glasbewassing!F9</calculatedColumnFormula>
    </tableColumn>
    <tableColumn id="8" xr3:uid="{2002E41E-1578-4095-8CE5-943025AA110B}" name="2026" dataDxfId="16" dataCellStyle="Valuta">
      <calculatedColumnFormula>G10*Tariefsopbouw!$O$35+Glasbewassing!G10</calculatedColumnFormula>
    </tableColumn>
    <tableColumn id="9" xr3:uid="{95B9447D-2760-430F-8929-530FC65F506E}" name="2027" dataDxfId="15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3:G39" totalsRowCount="1" headerRowDxfId="131" dataDxfId="130" totalsRowDxfId="129">
  <autoFilter ref="A23:G38" xr:uid="{00000000-0009-0000-0100-000004000000}"/>
  <tableColumns count="7">
    <tableColumn id="1" xr3:uid="{00000000-0010-0000-0600-000001000000}" name="Code Locatie" totalsRowLabel="Totaal" dataDxfId="13" totalsRowDxfId="12"/>
    <tableColumn id="2" xr3:uid="{00000000-0010-0000-0600-000002000000}" name="Locatie" dataDxfId="11" totalsRowDxfId="10">
      <calculatedColumnFormula>VLOOKUP(OverzichtGlas[[#This Row],[Code Locatie]],Locaties[],2,0)</calculatedColumnFormula>
    </tableColumn>
    <tableColumn id="3" xr3:uid="{00000000-0010-0000-0600-000003000000}" name="Code taak" dataDxfId="9" totalsRowDxfId="8"/>
    <tableColumn id="4" xr3:uid="{00000000-0010-0000-0600-000004000000}" name="Glassoort/voorziening" dataDxfId="7" totalsRowDxfId="6">
      <calculatedColumnFormula>IF(Glasbewassing!$C24&gt;0,VLOOKUP(Glasbewassing!$C24,$A$8:$B$21,2,FALSE),"Hier vult u de inzet van eventuele hoogwerkers in")</calculatedColumnFormula>
    </tableColumn>
    <tableColumn id="5" xr3:uid="{00000000-0010-0000-0600-000005000000}" name="Oppervlakte of dagen" dataDxfId="5" totalsRowDxfId="4"/>
    <tableColumn id="7" xr3:uid="{00000000-0010-0000-0600-000007000000}" name="Frequentie" dataDxfId="3" totalsRowDxfId="2"/>
    <tableColumn id="8" xr3:uid="{00000000-0010-0000-0600-000008000000}" name="Kosten/jaar excl. BTW" totalsRowFunction="sum" dataDxfId="1" totalsRowDxfId="0">
      <calculatedColumnFormula>IF(C24&gt;0,VLOOKUP(OverzichtGlas[[#This Row],[Code taak]],InvulGlas[],3,0)*E24*F24,0)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128">
  <autoFilter ref="A8:I16" xr:uid="{00000000-0009-0000-0100-000001000000}"/>
  <tableColumns count="9">
    <tableColumn id="1" xr3:uid="{00000000-0010-0000-0700-000001000000}" name="Code Taak" dataDxfId="127"/>
    <tableColumn id="2" xr3:uid="{00000000-0010-0000-0700-000002000000}" name="Werkzaamheden"/>
    <tableColumn id="3" xr3:uid="{00000000-0010-0000-0700-000003000000}" name="Prijs" dataDxfId="126"/>
    <tableColumn id="4" xr3:uid="{00000000-0010-0000-0700-000004000000}" name="Omschrijving2" dataDxfId="125"/>
    <tableColumn id="5" xr3:uid="{8DD3E179-6B7B-4CB1-A28F-5B8ADA215124}" name="2023" dataDxfId="124" dataCellStyle="Valuta"/>
    <tableColumn id="6" xr3:uid="{BB6E692A-46D1-42B6-A2AC-B4AAABCA88E4}" name="2024" dataDxfId="123" dataCellStyle="Valuta"/>
    <tableColumn id="7" xr3:uid="{6BFC02B3-9153-4384-A0A7-3FBFD6F25134}" name="2025" dataDxfId="122" dataCellStyle="Valuta"/>
    <tableColumn id="8" xr3:uid="{228E54AD-BFA8-4C70-8624-B963D0DBB212}" name="2026" dataDxfId="121" dataCellStyle="Valuta"/>
    <tableColumn id="9" xr3:uid="{2398F346-59C2-4DEF-820B-7FDF89228FD6}" name="2027" dataDxfId="120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37" totalsRowCount="1" headerRowDxfId="119" dataDxfId="118" totalsRowDxfId="117">
  <autoFilter ref="A18:I36" xr:uid="{00000000-0009-0000-0100-000002000000}"/>
  <tableColumns count="9">
    <tableColumn id="11" xr3:uid="{00000000-0010-0000-0800-00000B000000}" name="Code Locatie" dataDxfId="116" totalsRowDxfId="115"/>
    <tableColumn id="1" xr3:uid="{00000000-0010-0000-0800-000001000000}" name="Locatie" totalsRowLabel="Totaal" dataDxfId="114" totalsRowDxfId="113"/>
    <tableColumn id="3" xr3:uid="{00000000-0010-0000-0800-000003000000}" name="Code Taak" dataDxfId="112" totalsRowDxfId="111"/>
    <tableColumn id="4" xr3:uid="{00000000-0010-0000-0800-000004000000}" name="Vloersoort / toelichting" dataDxfId="110" totalsRowDxfId="109">
      <calculatedColumnFormula>IF(Vloeronderhoud!$C19&gt;0,VLOOKUP(Vloeronderhoud!$C19,$A$8:$B$16,2,FALSE),"")</calculatedColumnFormula>
    </tableColumn>
    <tableColumn id="5" xr3:uid="{00000000-0010-0000-0800-000005000000}" name="Vloersoort" dataDxfId="108" totalsRowDxfId="107"/>
    <tableColumn id="6" xr3:uid="{00000000-0010-0000-0800-000006000000}" name="Oppervlakte" dataDxfId="106" totalsRowDxfId="105">
      <calculatedColumnFormula>SUMIFS('Ruimtestaat'!$N:$N,'Ruimtestaat'!L:L,Vloeronderhoud!E19,'Ruimtestaat'!A:A,Vloeronderhoud!A19)</calculatedColumnFormula>
    </tableColumn>
    <tableColumn id="8" xr3:uid="{00000000-0010-0000-0800-000008000000}" name="Frequentie (uitv./jaar)" dataDxfId="104" totalsRowDxfId="103"/>
    <tableColumn id="9" xr3:uid="{00000000-0010-0000-0800-000009000000}" name="Kosten/jaar excl. BTW" totalsRowFunction="sum" dataDxfId="102" totalsRowDxfId="101">
      <calculatedColumnFormula>G19*#REF!*F19</calculatedColumnFormula>
    </tableColumn>
    <tableColumn id="2" xr3:uid="{3D57AF76-12E7-4FE8-AC08-4DCCC94E1733}" name="Opmerking" dataDxfId="100" totalsRowDxfId="9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zoomScaleNormal="100" workbookViewId="0"/>
  </sheetViews>
  <sheetFormatPr defaultColWidth="9" defaultRowHeight="12.75"/>
  <cols>
    <col min="1" max="1" width="29.5703125" style="208" customWidth="1"/>
    <col min="2" max="2" width="33.28515625" style="208" customWidth="1"/>
    <col min="3" max="3" width="45.42578125" style="208" bestFit="1" customWidth="1"/>
    <col min="4" max="4" width="54" style="208" customWidth="1"/>
    <col min="5" max="16384" width="9" style="202"/>
  </cols>
  <sheetData>
    <row r="1" spans="1:4">
      <c r="A1" s="225" t="s">
        <v>278</v>
      </c>
      <c r="B1" s="225"/>
      <c r="C1" s="225"/>
      <c r="D1" s="225"/>
    </row>
    <row r="2" spans="1:4">
      <c r="A2" s="225" t="s">
        <v>279</v>
      </c>
      <c r="B2" s="225" t="s">
        <v>280</v>
      </c>
      <c r="C2" s="225" t="s">
        <v>281</v>
      </c>
      <c r="D2" s="225" t="s">
        <v>282</v>
      </c>
    </row>
    <row r="3" spans="1:4">
      <c r="A3" s="225"/>
      <c r="B3" s="225"/>
      <c r="C3" s="225"/>
      <c r="D3" s="225" t="s">
        <v>283</v>
      </c>
    </row>
    <row r="4" spans="1:4">
      <c r="A4" s="225" t="s">
        <v>284</v>
      </c>
      <c r="B4" s="225"/>
      <c r="C4" s="225"/>
      <c r="D4" s="225"/>
    </row>
    <row r="5" spans="1:4" ht="25.5">
      <c r="A5" s="203" t="s">
        <v>285</v>
      </c>
      <c r="B5" s="203"/>
      <c r="C5" s="204" t="s">
        <v>286</v>
      </c>
      <c r="D5" s="204"/>
    </row>
    <row r="6" spans="1:4" ht="25.5">
      <c r="A6" s="203" t="s">
        <v>287</v>
      </c>
      <c r="B6" s="203" t="s">
        <v>288</v>
      </c>
      <c r="C6" s="204" t="s">
        <v>289</v>
      </c>
      <c r="D6" s="204" t="s">
        <v>290</v>
      </c>
    </row>
    <row r="7" spans="1:4">
      <c r="A7" s="203" t="s">
        <v>291</v>
      </c>
      <c r="B7" s="203" t="s">
        <v>288</v>
      </c>
      <c r="C7" s="204" t="s">
        <v>289</v>
      </c>
      <c r="D7" s="204" t="s">
        <v>292</v>
      </c>
    </row>
    <row r="8" spans="1:4" ht="25.5">
      <c r="A8" s="203" t="s">
        <v>293</v>
      </c>
      <c r="B8" s="203" t="s">
        <v>294</v>
      </c>
      <c r="C8" s="204" t="s">
        <v>295</v>
      </c>
      <c r="D8" s="204" t="s">
        <v>296</v>
      </c>
    </row>
    <row r="9" spans="1:4" ht="25.5">
      <c r="A9" s="203" t="s">
        <v>293</v>
      </c>
      <c r="B9" s="203" t="s">
        <v>297</v>
      </c>
      <c r="C9" s="204" t="s">
        <v>298</v>
      </c>
      <c r="D9" s="204" t="s">
        <v>296</v>
      </c>
    </row>
    <row r="10" spans="1:4">
      <c r="A10" s="203" t="s">
        <v>299</v>
      </c>
      <c r="B10" s="203" t="s">
        <v>297</v>
      </c>
      <c r="C10" s="204" t="s">
        <v>300</v>
      </c>
      <c r="D10" s="204"/>
    </row>
    <row r="11" spans="1:4" ht="30" customHeight="1">
      <c r="A11" s="203" t="s">
        <v>301</v>
      </c>
      <c r="B11" s="203" t="s">
        <v>288</v>
      </c>
      <c r="C11" s="204" t="s">
        <v>289</v>
      </c>
      <c r="D11" s="204" t="s">
        <v>302</v>
      </c>
    </row>
    <row r="12" spans="1:4">
      <c r="A12" s="203" t="s">
        <v>303</v>
      </c>
      <c r="B12" s="203" t="s">
        <v>288</v>
      </c>
      <c r="C12" s="204" t="s">
        <v>289</v>
      </c>
      <c r="D12" s="203" t="s">
        <v>304</v>
      </c>
    </row>
    <row r="13" spans="1:4" ht="25.5">
      <c r="A13" s="205" t="s">
        <v>305</v>
      </c>
      <c r="B13" s="205" t="s">
        <v>288</v>
      </c>
      <c r="C13" s="206" t="s">
        <v>289</v>
      </c>
      <c r="D13" s="206" t="s">
        <v>306</v>
      </c>
    </row>
    <row r="14" spans="1:4" ht="25.5">
      <c r="A14" s="203" t="s">
        <v>307</v>
      </c>
      <c r="B14" s="203" t="s">
        <v>288</v>
      </c>
      <c r="C14" s="204" t="s">
        <v>289</v>
      </c>
      <c r="D14" s="204" t="s">
        <v>308</v>
      </c>
    </row>
    <row r="15" spans="1:4">
      <c r="A15" s="203" t="s">
        <v>299</v>
      </c>
      <c r="B15" s="203" t="s">
        <v>297</v>
      </c>
      <c r="C15" s="204" t="s">
        <v>300</v>
      </c>
      <c r="D15" s="207"/>
    </row>
    <row r="16" spans="1:4" ht="25.5">
      <c r="A16" s="203" t="s">
        <v>309</v>
      </c>
      <c r="B16" s="203" t="s">
        <v>297</v>
      </c>
      <c r="C16" s="204" t="s">
        <v>289</v>
      </c>
      <c r="D16" s="204" t="s">
        <v>310</v>
      </c>
    </row>
    <row r="17" spans="1:4" ht="25.5">
      <c r="A17" s="203" t="s">
        <v>311</v>
      </c>
      <c r="B17" s="203" t="s">
        <v>288</v>
      </c>
      <c r="C17" s="204" t="s">
        <v>289</v>
      </c>
      <c r="D17" s="207" t="s">
        <v>312</v>
      </c>
    </row>
    <row r="18" spans="1:4" ht="25.5">
      <c r="A18" s="203" t="s">
        <v>313</v>
      </c>
      <c r="B18" s="203" t="s">
        <v>288</v>
      </c>
      <c r="C18" s="204" t="s">
        <v>289</v>
      </c>
      <c r="D18" s="207" t="s">
        <v>314</v>
      </c>
    </row>
    <row r="19" spans="1:4" ht="25.5">
      <c r="A19" s="203" t="s">
        <v>315</v>
      </c>
      <c r="B19" s="203" t="s">
        <v>297</v>
      </c>
      <c r="C19" s="204" t="s">
        <v>289</v>
      </c>
      <c r="D19" s="207" t="s">
        <v>308</v>
      </c>
    </row>
    <row r="20" spans="1:4" ht="25.5">
      <c r="A20" s="203" t="s">
        <v>316</v>
      </c>
      <c r="B20" s="203" t="s">
        <v>288</v>
      </c>
      <c r="C20" s="204" t="s">
        <v>289</v>
      </c>
      <c r="D20" s="207" t="s">
        <v>314</v>
      </c>
    </row>
    <row r="21" spans="1:4">
      <c r="A21" s="203" t="s">
        <v>317</v>
      </c>
      <c r="B21" s="203" t="s">
        <v>318</v>
      </c>
      <c r="C21" s="204" t="s">
        <v>319</v>
      </c>
      <c r="D21" s="207"/>
    </row>
    <row r="22" spans="1:4" ht="25.5">
      <c r="A22" s="203" t="s">
        <v>317</v>
      </c>
      <c r="B22" s="203" t="s">
        <v>297</v>
      </c>
      <c r="C22" s="204" t="s">
        <v>289</v>
      </c>
      <c r="D22" s="207" t="s">
        <v>312</v>
      </c>
    </row>
    <row r="23" spans="1:4" ht="25.5">
      <c r="A23" s="203" t="s">
        <v>320</v>
      </c>
      <c r="B23" s="203" t="s">
        <v>288</v>
      </c>
      <c r="C23" s="204" t="s">
        <v>289</v>
      </c>
      <c r="D23" s="207" t="s">
        <v>321</v>
      </c>
    </row>
    <row r="24" spans="1:4" ht="25.5">
      <c r="A24" s="203" t="s">
        <v>322</v>
      </c>
      <c r="B24" s="203" t="s">
        <v>288</v>
      </c>
      <c r="C24" s="204" t="s">
        <v>289</v>
      </c>
      <c r="D24" s="207" t="s">
        <v>323</v>
      </c>
    </row>
    <row r="25" spans="1:4" ht="38.25">
      <c r="A25" s="203" t="s">
        <v>324</v>
      </c>
      <c r="B25" s="203" t="s">
        <v>288</v>
      </c>
      <c r="C25" s="204" t="s">
        <v>289</v>
      </c>
      <c r="D25" s="207" t="s">
        <v>325</v>
      </c>
    </row>
    <row r="26" spans="1:4" ht="25.5">
      <c r="A26" s="203" t="s">
        <v>326</v>
      </c>
      <c r="B26" s="203" t="s">
        <v>288</v>
      </c>
      <c r="C26" s="204" t="s">
        <v>289</v>
      </c>
      <c r="D26" s="207" t="s">
        <v>321</v>
      </c>
    </row>
    <row r="27" spans="1:4" ht="25.5">
      <c r="A27" s="203" t="s">
        <v>327</v>
      </c>
      <c r="B27" s="203" t="s">
        <v>297</v>
      </c>
      <c r="C27" s="204" t="s">
        <v>289</v>
      </c>
      <c r="D27" s="207" t="s">
        <v>328</v>
      </c>
    </row>
    <row r="28" spans="1:4" ht="25.5">
      <c r="A28" s="203" t="s">
        <v>329</v>
      </c>
      <c r="B28" s="203" t="s">
        <v>297</v>
      </c>
      <c r="C28" s="204" t="s">
        <v>289</v>
      </c>
      <c r="D28" s="207" t="s">
        <v>312</v>
      </c>
    </row>
    <row r="29" spans="1:4" ht="25.5">
      <c r="A29" s="203" t="s">
        <v>330</v>
      </c>
      <c r="B29" s="203" t="s">
        <v>288</v>
      </c>
      <c r="C29" s="204" t="s">
        <v>289</v>
      </c>
      <c r="D29" s="207" t="s">
        <v>312</v>
      </c>
    </row>
    <row r="30" spans="1:4" ht="25.5">
      <c r="A30" s="203" t="s">
        <v>331</v>
      </c>
      <c r="B30" s="203" t="s">
        <v>297</v>
      </c>
      <c r="C30" s="204" t="s">
        <v>289</v>
      </c>
      <c r="D30" s="207" t="s">
        <v>312</v>
      </c>
    </row>
    <row r="31" spans="1:4">
      <c r="A31" s="225" t="s">
        <v>279</v>
      </c>
      <c r="B31" s="225" t="s">
        <v>280</v>
      </c>
      <c r="C31" s="225" t="s">
        <v>281</v>
      </c>
      <c r="D31" s="225" t="s">
        <v>282</v>
      </c>
    </row>
    <row r="32" spans="1:4">
      <c r="A32" s="225"/>
      <c r="B32" s="225"/>
      <c r="C32" s="225"/>
      <c r="D32" s="225" t="s">
        <v>283</v>
      </c>
    </row>
    <row r="33" spans="1:4">
      <c r="A33" s="225" t="s">
        <v>332</v>
      </c>
      <c r="B33" s="225"/>
      <c r="C33" s="225"/>
      <c r="D33" s="225"/>
    </row>
    <row r="34" spans="1:4" ht="25.5">
      <c r="A34" s="203" t="s">
        <v>285</v>
      </c>
      <c r="B34" s="203"/>
      <c r="C34" s="204" t="s">
        <v>333</v>
      </c>
      <c r="D34" s="207"/>
    </row>
    <row r="35" spans="1:4" ht="25.5">
      <c r="A35" s="203" t="s">
        <v>334</v>
      </c>
      <c r="B35" s="203" t="s">
        <v>297</v>
      </c>
      <c r="C35" s="204" t="s">
        <v>289</v>
      </c>
      <c r="D35" s="207" t="s">
        <v>335</v>
      </c>
    </row>
    <row r="36" spans="1:4" ht="25.5">
      <c r="A36" s="203" t="s">
        <v>336</v>
      </c>
      <c r="B36" s="203" t="s">
        <v>297</v>
      </c>
      <c r="C36" s="204" t="s">
        <v>289</v>
      </c>
      <c r="D36" s="207" t="s">
        <v>337</v>
      </c>
    </row>
    <row r="37" spans="1:4" ht="38.25">
      <c r="A37" s="203" t="s">
        <v>338</v>
      </c>
      <c r="B37" s="203" t="s">
        <v>288</v>
      </c>
      <c r="C37" s="204" t="s">
        <v>289</v>
      </c>
      <c r="D37" s="207" t="s">
        <v>339</v>
      </c>
    </row>
    <row r="38" spans="1:4" ht="25.5">
      <c r="A38" s="203" t="s">
        <v>309</v>
      </c>
      <c r="B38" s="203" t="s">
        <v>297</v>
      </c>
      <c r="C38" s="204" t="s">
        <v>289</v>
      </c>
      <c r="D38" s="204" t="s">
        <v>310</v>
      </c>
    </row>
    <row r="39" spans="1:4" ht="25.5">
      <c r="A39" s="203" t="s">
        <v>276</v>
      </c>
      <c r="B39" s="203" t="s">
        <v>297</v>
      </c>
      <c r="C39" s="204" t="s">
        <v>289</v>
      </c>
      <c r="D39" s="204" t="s">
        <v>335</v>
      </c>
    </row>
    <row r="40" spans="1:4" ht="25.5">
      <c r="A40" s="203" t="s">
        <v>340</v>
      </c>
      <c r="B40" s="203" t="s">
        <v>297</v>
      </c>
      <c r="C40" s="204" t="s">
        <v>289</v>
      </c>
      <c r="D40" s="204" t="s">
        <v>341</v>
      </c>
    </row>
    <row r="41" spans="1:4" ht="25.5">
      <c r="A41" s="203" t="s">
        <v>342</v>
      </c>
      <c r="B41" s="203" t="s">
        <v>297</v>
      </c>
      <c r="C41" s="204" t="s">
        <v>289</v>
      </c>
      <c r="D41" s="204" t="s">
        <v>343</v>
      </c>
    </row>
    <row r="42" spans="1:4">
      <c r="A42" s="203" t="s">
        <v>344</v>
      </c>
      <c r="B42" s="203" t="s">
        <v>288</v>
      </c>
      <c r="C42" s="204" t="s">
        <v>289</v>
      </c>
      <c r="D42" s="207" t="s">
        <v>304</v>
      </c>
    </row>
    <row r="43" spans="1:4" ht="25.5">
      <c r="A43" s="203" t="s">
        <v>345</v>
      </c>
      <c r="B43" s="203" t="s">
        <v>288</v>
      </c>
      <c r="C43" s="204" t="s">
        <v>289</v>
      </c>
      <c r="D43" s="207" t="s">
        <v>312</v>
      </c>
    </row>
    <row r="44" spans="1:4" ht="25.5">
      <c r="A44" s="203" t="s">
        <v>346</v>
      </c>
      <c r="B44" s="203" t="s">
        <v>297</v>
      </c>
      <c r="C44" s="204" t="s">
        <v>289</v>
      </c>
      <c r="D44" s="207" t="s">
        <v>347</v>
      </c>
    </row>
    <row r="45" spans="1:4" ht="25.5">
      <c r="A45" s="203" t="s">
        <v>348</v>
      </c>
      <c r="B45" s="203" t="s">
        <v>297</v>
      </c>
      <c r="C45" s="204" t="s">
        <v>289</v>
      </c>
      <c r="D45" s="207" t="s">
        <v>349</v>
      </c>
    </row>
    <row r="46" spans="1:4" ht="25.5">
      <c r="A46" s="203" t="s">
        <v>350</v>
      </c>
      <c r="B46" s="203" t="s">
        <v>297</v>
      </c>
      <c r="C46" s="204" t="s">
        <v>289</v>
      </c>
      <c r="D46" s="204" t="s">
        <v>351</v>
      </c>
    </row>
    <row r="47" spans="1:4" ht="25.5">
      <c r="A47" s="203" t="s">
        <v>352</v>
      </c>
      <c r="B47" s="203" t="s">
        <v>297</v>
      </c>
      <c r="C47" s="204" t="s">
        <v>289</v>
      </c>
      <c r="D47" s="207" t="s">
        <v>312</v>
      </c>
    </row>
    <row r="48" spans="1:4">
      <c r="A48" s="203" t="s">
        <v>353</v>
      </c>
      <c r="B48" s="203" t="s">
        <v>288</v>
      </c>
      <c r="C48" s="204" t="s">
        <v>289</v>
      </c>
      <c r="D48" s="207" t="s">
        <v>304</v>
      </c>
    </row>
    <row r="49" spans="1:4" ht="25.5">
      <c r="A49" s="203" t="s">
        <v>354</v>
      </c>
      <c r="B49" s="203" t="s">
        <v>288</v>
      </c>
      <c r="C49" s="204" t="s">
        <v>289</v>
      </c>
      <c r="D49" s="207" t="s">
        <v>310</v>
      </c>
    </row>
    <row r="50" spans="1:4" ht="38.25">
      <c r="A50" s="203" t="s">
        <v>355</v>
      </c>
      <c r="B50" s="203" t="s">
        <v>297</v>
      </c>
      <c r="C50" s="204" t="s">
        <v>289</v>
      </c>
      <c r="D50" s="207" t="s">
        <v>356</v>
      </c>
    </row>
    <row r="51" spans="1:4">
      <c r="A51" s="225" t="s">
        <v>279</v>
      </c>
      <c r="B51" s="225" t="s">
        <v>280</v>
      </c>
      <c r="C51" s="225" t="s">
        <v>281</v>
      </c>
      <c r="D51" s="225" t="s">
        <v>282</v>
      </c>
    </row>
    <row r="52" spans="1:4">
      <c r="A52" s="225"/>
      <c r="B52" s="225"/>
      <c r="C52" s="225"/>
      <c r="D52" s="225" t="s">
        <v>283</v>
      </c>
    </row>
    <row r="53" spans="1:4">
      <c r="A53" s="225" t="s">
        <v>357</v>
      </c>
      <c r="B53" s="225"/>
      <c r="C53" s="225"/>
      <c r="D53" s="225"/>
    </row>
    <row r="54" spans="1:4" ht="38.25">
      <c r="A54" s="203" t="s">
        <v>285</v>
      </c>
      <c r="B54" s="203"/>
      <c r="C54" s="204" t="s">
        <v>358</v>
      </c>
      <c r="D54" s="204"/>
    </row>
    <row r="55" spans="1:4" ht="25.5">
      <c r="A55" s="203" t="s">
        <v>359</v>
      </c>
      <c r="B55" s="203" t="s">
        <v>297</v>
      </c>
      <c r="C55" s="204" t="s">
        <v>360</v>
      </c>
      <c r="D55" s="207" t="s">
        <v>361</v>
      </c>
    </row>
    <row r="56" spans="1:4" ht="25.5">
      <c r="A56" s="203" t="s">
        <v>362</v>
      </c>
      <c r="B56" s="203" t="s">
        <v>297</v>
      </c>
      <c r="C56" s="204" t="s">
        <v>289</v>
      </c>
      <c r="D56" s="207" t="s">
        <v>363</v>
      </c>
    </row>
    <row r="57" spans="1:4">
      <c r="A57" s="203" t="s">
        <v>364</v>
      </c>
      <c r="B57" s="203" t="s">
        <v>297</v>
      </c>
      <c r="C57" s="204" t="s">
        <v>289</v>
      </c>
      <c r="D57" s="207" t="s">
        <v>365</v>
      </c>
    </row>
    <row r="58" spans="1:4">
      <c r="A58" s="203" t="s">
        <v>364</v>
      </c>
      <c r="B58" s="203" t="s">
        <v>297</v>
      </c>
      <c r="C58" s="204" t="s">
        <v>366</v>
      </c>
      <c r="D58" s="207"/>
    </row>
    <row r="59" spans="1:4">
      <c r="A59" s="203" t="s">
        <v>367</v>
      </c>
      <c r="B59" s="203" t="s">
        <v>297</v>
      </c>
      <c r="C59" s="204" t="s">
        <v>289</v>
      </c>
      <c r="D59" s="207" t="s">
        <v>365</v>
      </c>
    </row>
    <row r="60" spans="1:4" ht="25.5">
      <c r="A60" s="203" t="s">
        <v>368</v>
      </c>
      <c r="B60" s="203" t="s">
        <v>297</v>
      </c>
      <c r="C60" s="204" t="s">
        <v>289</v>
      </c>
      <c r="D60" s="207" t="s">
        <v>312</v>
      </c>
    </row>
    <row r="61" spans="1:4">
      <c r="A61" s="203" t="s">
        <v>369</v>
      </c>
      <c r="B61" s="203" t="s">
        <v>297</v>
      </c>
      <c r="C61" s="204" t="s">
        <v>289</v>
      </c>
      <c r="D61" s="207" t="s">
        <v>365</v>
      </c>
    </row>
    <row r="62" spans="1:4">
      <c r="A62" s="203" t="s">
        <v>369</v>
      </c>
      <c r="B62" s="203" t="s">
        <v>297</v>
      </c>
      <c r="C62" s="204" t="s">
        <v>366</v>
      </c>
      <c r="D62" s="207"/>
    </row>
    <row r="63" spans="1:4" ht="25.5">
      <c r="A63" s="203" t="s">
        <v>370</v>
      </c>
      <c r="B63" s="203" t="s">
        <v>297</v>
      </c>
      <c r="C63" s="204" t="s">
        <v>289</v>
      </c>
      <c r="D63" s="207" t="s">
        <v>371</v>
      </c>
    </row>
    <row r="64" spans="1:4">
      <c r="A64" s="203" t="s">
        <v>370</v>
      </c>
      <c r="B64" s="203" t="s">
        <v>297</v>
      </c>
      <c r="C64" s="204" t="s">
        <v>366</v>
      </c>
      <c r="D64" s="207"/>
    </row>
    <row r="65" spans="1:4" ht="25.5">
      <c r="A65" s="203" t="s">
        <v>372</v>
      </c>
      <c r="B65" s="203" t="s">
        <v>297</v>
      </c>
      <c r="C65" s="204" t="s">
        <v>289</v>
      </c>
      <c r="D65" s="207" t="s">
        <v>373</v>
      </c>
    </row>
    <row r="66" spans="1:4" ht="25.5">
      <c r="A66" s="203" t="s">
        <v>372</v>
      </c>
      <c r="B66" s="203" t="s">
        <v>297</v>
      </c>
      <c r="C66" s="204" t="s">
        <v>366</v>
      </c>
      <c r="D66" s="207"/>
    </row>
    <row r="67" spans="1:4" ht="25.5">
      <c r="A67" s="203" t="s">
        <v>374</v>
      </c>
      <c r="B67" s="203" t="s">
        <v>297</v>
      </c>
      <c r="C67" s="204" t="s">
        <v>289</v>
      </c>
      <c r="D67" s="207" t="s">
        <v>375</v>
      </c>
    </row>
    <row r="68" spans="1:4" ht="25.5">
      <c r="A68" s="203" t="s">
        <v>376</v>
      </c>
      <c r="B68" s="203" t="s">
        <v>297</v>
      </c>
      <c r="C68" s="204" t="s">
        <v>289</v>
      </c>
      <c r="D68" s="207" t="s">
        <v>323</v>
      </c>
    </row>
    <row r="69" spans="1:4">
      <c r="A69" s="203" t="s">
        <v>376</v>
      </c>
      <c r="B69" s="203" t="s">
        <v>297</v>
      </c>
      <c r="C69" s="204" t="s">
        <v>366</v>
      </c>
      <c r="D69" s="207"/>
    </row>
    <row r="70" spans="1:4" ht="25.5">
      <c r="A70" s="203" t="s">
        <v>377</v>
      </c>
      <c r="B70" s="203" t="s">
        <v>297</v>
      </c>
      <c r="C70" s="204" t="s">
        <v>378</v>
      </c>
      <c r="D70" s="207" t="s">
        <v>337</v>
      </c>
    </row>
    <row r="71" spans="1:4">
      <c r="A71" s="203" t="s">
        <v>377</v>
      </c>
      <c r="B71" s="203" t="s">
        <v>297</v>
      </c>
      <c r="C71" s="204" t="s">
        <v>366</v>
      </c>
      <c r="D71" s="207"/>
    </row>
    <row r="72" spans="1:4">
      <c r="A72" s="225" t="s">
        <v>279</v>
      </c>
      <c r="B72" s="225" t="s">
        <v>280</v>
      </c>
      <c r="C72" s="225" t="s">
        <v>281</v>
      </c>
      <c r="D72" s="225" t="s">
        <v>282</v>
      </c>
    </row>
    <row r="73" spans="1:4">
      <c r="A73" s="225"/>
      <c r="B73" s="225"/>
      <c r="C73" s="225"/>
      <c r="D73" s="225" t="s">
        <v>283</v>
      </c>
    </row>
    <row r="74" spans="1:4">
      <c r="A74" s="225" t="s">
        <v>379</v>
      </c>
      <c r="B74" s="225"/>
      <c r="C74" s="225"/>
      <c r="D74" s="225"/>
    </row>
    <row r="75" spans="1:4" ht="25.5">
      <c r="A75" s="203" t="s">
        <v>285</v>
      </c>
      <c r="B75" s="203"/>
      <c r="C75" s="204" t="s">
        <v>380</v>
      </c>
      <c r="D75" s="204"/>
    </row>
    <row r="76" spans="1:4">
      <c r="A76" s="225" t="s">
        <v>381</v>
      </c>
      <c r="B76" s="225"/>
      <c r="C76" s="225"/>
      <c r="D76" s="225"/>
    </row>
    <row r="77" spans="1:4" ht="25.5">
      <c r="A77" s="203" t="s">
        <v>382</v>
      </c>
      <c r="B77" s="203" t="s">
        <v>297</v>
      </c>
      <c r="C77" s="204" t="s">
        <v>383</v>
      </c>
      <c r="D77" s="207" t="s">
        <v>384</v>
      </c>
    </row>
    <row r="78" spans="1:4" ht="25.5">
      <c r="A78" s="203" t="s">
        <v>385</v>
      </c>
      <c r="B78" s="203" t="s">
        <v>297</v>
      </c>
      <c r="C78" s="204" t="s">
        <v>383</v>
      </c>
      <c r="D78" s="207" t="s">
        <v>384</v>
      </c>
    </row>
    <row r="79" spans="1:4" ht="25.5">
      <c r="A79" s="203" t="s">
        <v>386</v>
      </c>
      <c r="B79" s="203" t="s">
        <v>297</v>
      </c>
      <c r="C79" s="204" t="s">
        <v>383</v>
      </c>
      <c r="D79" s="207" t="s">
        <v>387</v>
      </c>
    </row>
    <row r="80" spans="1:4" ht="25.5">
      <c r="A80" s="203" t="s">
        <v>388</v>
      </c>
      <c r="B80" s="203" t="s">
        <v>297</v>
      </c>
      <c r="C80" s="204" t="s">
        <v>383</v>
      </c>
      <c r="D80" s="207" t="s">
        <v>389</v>
      </c>
    </row>
    <row r="81" spans="1:4" ht="25.5">
      <c r="A81" s="203" t="s">
        <v>428</v>
      </c>
      <c r="B81" s="203" t="s">
        <v>297</v>
      </c>
      <c r="C81" s="204" t="s">
        <v>383</v>
      </c>
      <c r="D81" s="207" t="s">
        <v>389</v>
      </c>
    </row>
    <row r="82" spans="1:4">
      <c r="A82" s="225" t="s">
        <v>277</v>
      </c>
      <c r="B82" s="225"/>
      <c r="C82" s="225"/>
      <c r="D82" s="225"/>
    </row>
    <row r="83" spans="1:4" ht="25.5">
      <c r="A83" s="203" t="s">
        <v>382</v>
      </c>
      <c r="B83" s="203" t="s">
        <v>297</v>
      </c>
      <c r="C83" s="204" t="s">
        <v>383</v>
      </c>
      <c r="D83" s="207" t="s">
        <v>384</v>
      </c>
    </row>
    <row r="84" spans="1:4" ht="25.5">
      <c r="A84" s="203" t="s">
        <v>385</v>
      </c>
      <c r="B84" s="203" t="s">
        <v>297</v>
      </c>
      <c r="C84" s="204" t="s">
        <v>383</v>
      </c>
      <c r="D84" s="207" t="s">
        <v>384</v>
      </c>
    </row>
    <row r="85" spans="1:4" ht="25.5">
      <c r="A85" s="203" t="s">
        <v>386</v>
      </c>
      <c r="B85" s="203" t="s">
        <v>297</v>
      </c>
      <c r="C85" s="204" t="s">
        <v>383</v>
      </c>
      <c r="D85" s="207" t="s">
        <v>387</v>
      </c>
    </row>
    <row r="86" spans="1:4" ht="25.5">
      <c r="A86" s="203" t="s">
        <v>388</v>
      </c>
      <c r="B86" s="203" t="s">
        <v>297</v>
      </c>
      <c r="C86" s="204" t="s">
        <v>383</v>
      </c>
      <c r="D86" s="207" t="s">
        <v>389</v>
      </c>
    </row>
    <row r="87" spans="1:4" ht="25.5">
      <c r="A87" s="203" t="s">
        <v>428</v>
      </c>
      <c r="B87" s="203" t="s">
        <v>297</v>
      </c>
      <c r="C87" s="204" t="s">
        <v>383</v>
      </c>
      <c r="D87" s="207" t="s">
        <v>389</v>
      </c>
    </row>
    <row r="88" spans="1:4">
      <c r="A88" s="225" t="s">
        <v>38</v>
      </c>
      <c r="B88" s="225"/>
      <c r="C88" s="225"/>
      <c r="D88" s="225"/>
    </row>
    <row r="89" spans="1:4" ht="25.5">
      <c r="A89" s="203" t="s">
        <v>382</v>
      </c>
      <c r="B89" s="203" t="s">
        <v>297</v>
      </c>
      <c r="C89" s="204" t="s">
        <v>390</v>
      </c>
      <c r="D89" s="207" t="s">
        <v>384</v>
      </c>
    </row>
    <row r="90" spans="1:4" ht="25.5">
      <c r="A90" s="203" t="s">
        <v>385</v>
      </c>
      <c r="B90" s="203" t="s">
        <v>297</v>
      </c>
      <c r="C90" s="204" t="s">
        <v>390</v>
      </c>
      <c r="D90" s="207" t="s">
        <v>384</v>
      </c>
    </row>
    <row r="91" spans="1:4" ht="25.5">
      <c r="A91" s="203" t="s">
        <v>386</v>
      </c>
      <c r="B91" s="203" t="s">
        <v>297</v>
      </c>
      <c r="C91" s="204" t="s">
        <v>390</v>
      </c>
      <c r="D91" s="207" t="s">
        <v>387</v>
      </c>
    </row>
  </sheetData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93F8-F877-412D-A52A-2B118427E388}">
  <sheetPr>
    <tabColor theme="0" tint="-0.14999847407452621"/>
    <pageSetUpPr fitToPage="1"/>
  </sheetPr>
  <dimension ref="A1:I63"/>
  <sheetViews>
    <sheetView view="pageBreakPreview" zoomScaleNormal="100" zoomScaleSheetLayoutView="100" workbookViewId="0">
      <selection sqref="A1:H1"/>
    </sheetView>
  </sheetViews>
  <sheetFormatPr defaultColWidth="9.140625" defaultRowHeight="11.25"/>
  <cols>
    <col min="1" max="1" width="9.7109375" style="4" customWidth="1"/>
    <col min="2" max="2" width="34.85546875" style="4" customWidth="1"/>
    <col min="3" max="3" width="14.85546875" style="21" customWidth="1"/>
    <col min="4" max="4" width="35.85546875" style="4" bestFit="1" customWidth="1"/>
    <col min="5" max="5" width="17.7109375" style="4" bestFit="1" customWidth="1"/>
    <col min="6" max="6" width="17.7109375" style="161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6384" width="9.140625" style="4"/>
  </cols>
  <sheetData>
    <row r="1" spans="1:9" s="9" customFormat="1" ht="26.25" customHeight="1">
      <c r="A1" s="296" t="s">
        <v>911</v>
      </c>
      <c r="B1" s="296"/>
      <c r="C1" s="296"/>
      <c r="D1" s="296"/>
      <c r="E1" s="296"/>
      <c r="F1" s="296"/>
      <c r="G1" s="296"/>
      <c r="H1" s="296"/>
    </row>
    <row r="2" spans="1:9" s="9" customFormat="1" ht="15" customHeight="1">
      <c r="A2" s="314" t="s">
        <v>436</v>
      </c>
      <c r="B2" s="297"/>
      <c r="C2" s="297"/>
      <c r="D2" s="297"/>
      <c r="E2" s="297"/>
      <c r="F2" s="297"/>
      <c r="G2" s="297"/>
      <c r="H2" s="297"/>
    </row>
    <row r="3" spans="1:9" ht="15" customHeight="1">
      <c r="B3" s="21"/>
      <c r="C3" s="4"/>
    </row>
    <row r="4" spans="1:9" ht="15" customHeight="1">
      <c r="A4" s="4" t="s">
        <v>184</v>
      </c>
      <c r="B4" s="35"/>
      <c r="C4" s="35"/>
      <c r="D4" s="35"/>
      <c r="E4" s="35"/>
      <c r="F4" s="162"/>
      <c r="G4" s="36"/>
    </row>
    <row r="5" spans="1:9" ht="15" customHeight="1">
      <c r="A5" s="4" t="s">
        <v>251</v>
      </c>
      <c r="B5" s="35"/>
      <c r="C5" s="35"/>
      <c r="D5" s="35"/>
      <c r="E5" s="35"/>
      <c r="F5" s="162"/>
      <c r="G5" s="36"/>
    </row>
    <row r="6" spans="1:9" ht="15" customHeight="1">
      <c r="A6" s="4" t="s">
        <v>244</v>
      </c>
      <c r="B6" s="38"/>
      <c r="C6" s="39"/>
      <c r="D6" s="39"/>
      <c r="E6" s="39"/>
      <c r="F6" s="163"/>
    </row>
    <row r="7" spans="1:9" ht="15" customHeight="1">
      <c r="B7" s="38"/>
      <c r="C7" s="38"/>
      <c r="D7" s="34"/>
      <c r="E7" s="315" t="s">
        <v>407</v>
      </c>
      <c r="F7" s="315"/>
      <c r="G7" s="315"/>
      <c r="H7" s="315"/>
      <c r="I7" s="315"/>
    </row>
    <row r="8" spans="1:9" s="8" customFormat="1" ht="26.25" customHeight="1">
      <c r="A8" s="51" t="s">
        <v>215</v>
      </c>
      <c r="B8" s="52" t="s">
        <v>162</v>
      </c>
      <c r="C8" s="53" t="s">
        <v>154</v>
      </c>
      <c r="D8" s="51" t="s">
        <v>918</v>
      </c>
      <c r="E8" s="51" t="s">
        <v>437</v>
      </c>
      <c r="F8" s="51" t="s">
        <v>438</v>
      </c>
      <c r="G8" s="51" t="s">
        <v>439</v>
      </c>
      <c r="H8" s="51" t="s">
        <v>440</v>
      </c>
      <c r="I8" s="51" t="s">
        <v>928</v>
      </c>
    </row>
    <row r="9" spans="1:9" ht="15" customHeight="1">
      <c r="A9" s="54">
        <v>1</v>
      </c>
      <c r="B9" s="55" t="s">
        <v>912</v>
      </c>
      <c r="C9" s="56">
        <v>0</v>
      </c>
      <c r="D9" s="272" t="s">
        <v>913</v>
      </c>
      <c r="E9" s="226" t="e">
        <f>(Invulsanitair[[#This Row],[Prijs]]*Tariefsopbouw!$I$37)+Invulsanitair[[#This Row],[Prijs]]</f>
        <v>#DIV/0!</v>
      </c>
      <c r="F9" s="228" t="e">
        <f>E9*Tariefsopbouw!$K$37+E9</f>
        <v>#DIV/0!</v>
      </c>
      <c r="G9" s="228" t="e">
        <f>F9*Tariefsopbouw!$M$37+F9</f>
        <v>#DIV/0!</v>
      </c>
      <c r="H9" s="228" t="e">
        <f>G9*Tariefsopbouw!$O$37+Invulsanitair[[#This Row],[2025]]</f>
        <v>#DIV/0!</v>
      </c>
      <c r="I9" s="228" t="e">
        <f>H9*Tariefsopbouw!$Q$37+Invulsanitair[[#This Row],[2026]]</f>
        <v>#DIV/0!</v>
      </c>
    </row>
    <row r="10" spans="1:9" ht="15" customHeight="1">
      <c r="A10" s="57">
        <v>2</v>
      </c>
      <c r="B10" s="58" t="s">
        <v>915</v>
      </c>
      <c r="C10" s="56">
        <v>0</v>
      </c>
      <c r="D10" s="272" t="s">
        <v>921</v>
      </c>
      <c r="E10" s="227" t="e">
        <f>(Invulsanitair[[#This Row],[Prijs]]*Tariefsopbouw!$I$37)+Invulsanitair[[#This Row],[Prijs]]</f>
        <v>#DIV/0!</v>
      </c>
      <c r="F10" s="227" t="e">
        <f>E10*Tariefsopbouw!$K$37+E10</f>
        <v>#DIV/0!</v>
      </c>
      <c r="G10" s="227" t="e">
        <f>F10*Tariefsopbouw!$M$37+F10</f>
        <v>#DIV/0!</v>
      </c>
      <c r="H10" s="227" t="e">
        <f>G10*Tariefsopbouw!$O$37+Invulsanitair[[#This Row],[2025]]</f>
        <v>#DIV/0!</v>
      </c>
      <c r="I10" s="227" t="e">
        <f>H10*Tariefsopbouw!$Q$37+Invulsanitair[[#This Row],[2026]]</f>
        <v>#DIV/0!</v>
      </c>
    </row>
    <row r="11" spans="1:9" ht="15" customHeight="1">
      <c r="A11" s="54">
        <v>3</v>
      </c>
      <c r="B11" s="55" t="s">
        <v>916</v>
      </c>
      <c r="C11" s="56">
        <v>0</v>
      </c>
      <c r="D11" s="272" t="s">
        <v>921</v>
      </c>
      <c r="E11" s="226" t="e">
        <f>(Invulsanitair[[#This Row],[Prijs]]*Tariefsopbouw!$I$37)+Invulsanitair[[#This Row],[Prijs]]</f>
        <v>#DIV/0!</v>
      </c>
      <c r="F11" s="226" t="e">
        <f>E11*Tariefsopbouw!$K$37+E11</f>
        <v>#DIV/0!</v>
      </c>
      <c r="G11" s="226" t="e">
        <f>F11*Tariefsopbouw!$M$37+F11</f>
        <v>#DIV/0!</v>
      </c>
      <c r="H11" s="226" t="e">
        <f>G11*Tariefsopbouw!$O$37+Invulsanitair[[#This Row],[2025]]</f>
        <v>#DIV/0!</v>
      </c>
      <c r="I11" s="226" t="e">
        <f>H11*Tariefsopbouw!$Q$37+Invulsanitair[[#This Row],[2026]]</f>
        <v>#DIV/0!</v>
      </c>
    </row>
    <row r="12" spans="1:9" ht="15" hidden="1" customHeight="1">
      <c r="A12" s="57">
        <v>6</v>
      </c>
      <c r="B12" s="58"/>
      <c r="C12" s="56">
        <v>0</v>
      </c>
      <c r="D12" s="61"/>
      <c r="E12" s="227" t="e">
        <f>(Invulsanitair[[#This Row],[Prijs]]*Tariefsopbouw!$I$37)+Invulsanitair[[#This Row],[Prijs]]</f>
        <v>#DIV/0!</v>
      </c>
      <c r="F12" s="227" t="e">
        <f>E12*Tariefsopbouw!$K$37+E12</f>
        <v>#DIV/0!</v>
      </c>
      <c r="G12" s="227" t="e">
        <f>F12*Tariefsopbouw!$M$37+F12</f>
        <v>#DIV/0!</v>
      </c>
      <c r="H12" s="227" t="e">
        <f>G12*Tariefsopbouw!$O$37+Invulsanitair[[#This Row],[2025]]</f>
        <v>#DIV/0!</v>
      </c>
      <c r="I12" s="227" t="e">
        <f>H12*Tariefsopbouw!$Q$37+Invulsanitair[[#This Row],[2026]]</f>
        <v>#DIV/0!</v>
      </c>
    </row>
    <row r="13" spans="1:9" ht="15" hidden="1" customHeight="1">
      <c r="A13" s="54">
        <v>7</v>
      </c>
      <c r="B13" s="59"/>
      <c r="C13" s="56">
        <v>0</v>
      </c>
      <c r="D13" s="59"/>
      <c r="E13" s="226" t="e">
        <f>(Invulsanitair[[#This Row],[Prijs]]*Tariefsopbouw!$I$37)+Invulsanitair[[#This Row],[Prijs]]</f>
        <v>#DIV/0!</v>
      </c>
      <c r="F13" s="226" t="e">
        <f>E13*Tariefsopbouw!$K$37+E13</f>
        <v>#DIV/0!</v>
      </c>
      <c r="G13" s="226" t="e">
        <f>F13*Tariefsopbouw!$M$37+F13</f>
        <v>#DIV/0!</v>
      </c>
      <c r="H13" s="226" t="e">
        <f>G13*Tariefsopbouw!$O$37+Invulsanitair[[#This Row],[2025]]</f>
        <v>#DIV/0!</v>
      </c>
      <c r="I13" s="226" t="e">
        <f>H13*Tariefsopbouw!$Q$37+Invulsanitair[[#This Row],[2026]]</f>
        <v>#DIV/0!</v>
      </c>
    </row>
    <row r="14" spans="1:9" ht="15" hidden="1" customHeight="1">
      <c r="A14" s="57">
        <v>8</v>
      </c>
      <c r="B14" s="60"/>
      <c r="C14" s="56">
        <v>0</v>
      </c>
      <c r="D14" s="61"/>
      <c r="E14" s="227" t="e">
        <f>(Invulsanitair[[#This Row],[Prijs]]*Tariefsopbouw!$I$37)+Invulsanitair[[#This Row],[Prijs]]</f>
        <v>#DIV/0!</v>
      </c>
      <c r="F14" s="227" t="e">
        <f>E14*Tariefsopbouw!$K$37+E14</f>
        <v>#DIV/0!</v>
      </c>
      <c r="G14" s="227" t="e">
        <f>F14*Tariefsopbouw!$M$37+F14</f>
        <v>#DIV/0!</v>
      </c>
      <c r="H14" s="227" t="e">
        <f>G14*Tariefsopbouw!$O$37+Invulsanitair[[#This Row],[2025]]</f>
        <v>#DIV/0!</v>
      </c>
      <c r="I14" s="227" t="e">
        <f>H14*Tariefsopbouw!$Q$37+Invulsanitair[[#This Row],[2026]]</f>
        <v>#DIV/0!</v>
      </c>
    </row>
    <row r="15" spans="1:9" ht="15" customHeight="1">
      <c r="B15" s="21"/>
      <c r="E15" s="40"/>
      <c r="F15" s="164"/>
      <c r="G15" s="40"/>
      <c r="H15" s="40"/>
    </row>
    <row r="16" spans="1:9" s="33" customFormat="1" ht="26.25" customHeight="1">
      <c r="A16" s="51" t="s">
        <v>214</v>
      </c>
      <c r="B16" s="52" t="s">
        <v>147</v>
      </c>
      <c r="C16" s="51" t="s">
        <v>215</v>
      </c>
      <c r="D16" s="62" t="s">
        <v>256</v>
      </c>
      <c r="E16" s="165" t="s">
        <v>914</v>
      </c>
      <c r="F16" s="62" t="s">
        <v>170</v>
      </c>
      <c r="G16" s="63" t="s">
        <v>149</v>
      </c>
      <c r="H16" s="62" t="s">
        <v>429</v>
      </c>
    </row>
    <row r="17" spans="1:8" ht="15" customHeight="1">
      <c r="A17" s="54">
        <v>1</v>
      </c>
      <c r="B17" s="59" t="str">
        <f>VLOOKUP(Overzichtsanitair[[#This Row],[Code Locatie]],Locaties[],2,0)</f>
        <v>Novalis College hoofdgebouw</v>
      </c>
      <c r="C17" s="54">
        <v>1</v>
      </c>
      <c r="D17" s="64" t="str">
        <f>IF(Overzichtsanitair[[#This Row],[Code Taak]]&gt;0,VLOOKUP(Overzichtsanitair[[#This Row],[Code Taak]],$A$8:$B$14,2,FALSE),"")</f>
        <v>dameshygienebox</v>
      </c>
      <c r="E17" s="166">
        <v>18</v>
      </c>
      <c r="F17" s="67">
        <v>20</v>
      </c>
      <c r="G17" s="66">
        <f>VLOOKUP(Overzichtsanitair[[#This Row],[Code Taak]],Invulsanitair[],3,3)*E17*F17</f>
        <v>0</v>
      </c>
      <c r="H17" s="54"/>
    </row>
    <row r="18" spans="1:8" ht="15" customHeight="1">
      <c r="A18" s="57">
        <v>1</v>
      </c>
      <c r="B18" s="61" t="str">
        <f>VLOOKUP(Overzichtsanitair[[#This Row],[Code Locatie]],Locaties[],2,0)</f>
        <v>Novalis College hoofdgebouw</v>
      </c>
      <c r="C18" s="57">
        <v>2</v>
      </c>
      <c r="D18" s="68" t="str">
        <f>IF(Overzichtsanitair[[#This Row],[Code Taak]]&gt;0,VLOOKUP(Overzichtsanitair[[#This Row],[Code Taak]],$A$8:$B$14,2,FALSE),"")</f>
        <v>Schoonloopmat 85x120</v>
      </c>
      <c r="E18" s="167">
        <v>3</v>
      </c>
      <c r="F18" s="71">
        <v>20</v>
      </c>
      <c r="G18" s="70">
        <f>VLOOKUP(Overzichtsanitair[[#This Row],[Code Taak]],Invulsanitair[],3,3)*E18*F18</f>
        <v>0</v>
      </c>
      <c r="H18" s="68"/>
    </row>
    <row r="19" spans="1:8" ht="15" customHeight="1">
      <c r="A19" s="54">
        <v>1</v>
      </c>
      <c r="B19" s="59" t="str">
        <f>VLOOKUP(Overzichtsanitair[[#This Row],[Code Locatie]],Locaties[],2,0)</f>
        <v>Novalis College hoofdgebouw</v>
      </c>
      <c r="C19" s="54">
        <v>3</v>
      </c>
      <c r="D19" s="64" t="str">
        <f>IF(Overzichtsanitair[[#This Row],[Code Taak]]&gt;0,VLOOKUP(Overzichtsanitair[[#This Row],[Code Taak]],$A$8:$B$14,2,FALSE),"")</f>
        <v>Schoonloopmat 115x180</v>
      </c>
      <c r="E19" s="166">
        <v>3</v>
      </c>
      <c r="F19" s="67">
        <v>20</v>
      </c>
      <c r="G19" s="66">
        <f>VLOOKUP(Overzichtsanitair[[#This Row],[Code Taak]],Invulsanitair[],3,3)*E19*F19</f>
        <v>0</v>
      </c>
      <c r="H19" s="54"/>
    </row>
    <row r="20" spans="1:8" ht="15" customHeight="1">
      <c r="A20" s="57">
        <v>2</v>
      </c>
      <c r="B20" s="61" t="str">
        <f>VLOOKUP(Overzichtsanitair[[#This Row],[Code Locatie]],Locaties[],2,0)</f>
        <v>Novalis College nieuwbouw</v>
      </c>
      <c r="C20" s="57">
        <v>1</v>
      </c>
      <c r="D20" s="68" t="str">
        <f>IF(Overzichtsanitair[[#This Row],[Code Taak]]&gt;0,VLOOKUP(Overzichtsanitair[[#This Row],[Code Taak]],$A$8:$B$14,2,FALSE),"")</f>
        <v>dameshygienebox</v>
      </c>
      <c r="E20" s="167">
        <v>5</v>
      </c>
      <c r="F20" s="71">
        <v>20</v>
      </c>
      <c r="G20" s="70">
        <f>VLOOKUP(Overzichtsanitair[[#This Row],[Code Taak]],Invulsanitair[],3,3)*E20*F20</f>
        <v>0</v>
      </c>
      <c r="H20" s="68"/>
    </row>
    <row r="21" spans="1:8" ht="15" customHeight="1">
      <c r="A21" s="54">
        <v>2</v>
      </c>
      <c r="B21" s="59" t="str">
        <f>VLOOKUP(Overzichtsanitair[[#This Row],[Code Locatie]],Locaties[],2,0)</f>
        <v>Novalis College nieuwbouw</v>
      </c>
      <c r="C21" s="54">
        <v>2</v>
      </c>
      <c r="D21" s="64" t="str">
        <f>IF(Overzichtsanitair[[#This Row],[Code Taak]]&gt;0,VLOOKUP(Overzichtsanitair[[#This Row],[Code Taak]],$A$8:$B$14,2,FALSE),"")</f>
        <v>Schoonloopmat 85x120</v>
      </c>
      <c r="E21" s="166"/>
      <c r="F21" s="67">
        <v>20</v>
      </c>
      <c r="G21" s="66">
        <f>VLOOKUP(Overzichtsanitair[[#This Row],[Code Taak]],Invulsanitair[],3,3)*E21*F21</f>
        <v>0</v>
      </c>
      <c r="H21" s="54"/>
    </row>
    <row r="22" spans="1:8" ht="15" customHeight="1">
      <c r="A22" s="57">
        <v>2</v>
      </c>
      <c r="B22" s="61" t="str">
        <f>VLOOKUP(Overzichtsanitair[[#This Row],[Code Locatie]],Locaties[],2,0)</f>
        <v>Novalis College nieuwbouw</v>
      </c>
      <c r="C22" s="57">
        <v>3</v>
      </c>
      <c r="D22" s="68" t="str">
        <f>IF(Overzichtsanitair[[#This Row],[Code Taak]]&gt;0,VLOOKUP(Overzichtsanitair[[#This Row],[Code Taak]],$A$8:$B$14,2,FALSE),"")</f>
        <v>Schoonloopmat 115x180</v>
      </c>
      <c r="E22" s="167"/>
      <c r="F22" s="71">
        <v>20</v>
      </c>
      <c r="G22" s="70">
        <f>VLOOKUP(Overzichtsanitair[[#This Row],[Code Taak]],Invulsanitair[],3,3)*E22*F22</f>
        <v>0</v>
      </c>
      <c r="H22" s="68"/>
    </row>
    <row r="23" spans="1:8" ht="15" customHeight="1">
      <c r="A23" s="54">
        <v>3</v>
      </c>
      <c r="B23" s="59" t="str">
        <f>VLOOKUP(Overzichtsanitair[[#This Row],[Code Locatie]],Locaties[],2,0)</f>
        <v>Karel de Grote College</v>
      </c>
      <c r="C23" s="54">
        <v>1</v>
      </c>
      <c r="D23" s="64" t="str">
        <f>IF(Overzichtsanitair[[#This Row],[Code Taak]]&gt;0,VLOOKUP(Overzichtsanitair[[#This Row],[Code Taak]],$A$8:$B$14,2,FALSE),"")</f>
        <v>dameshygienebox</v>
      </c>
      <c r="E23" s="166">
        <v>31</v>
      </c>
      <c r="F23" s="67">
        <v>20</v>
      </c>
      <c r="G23" s="66">
        <f>VLOOKUP(Overzichtsanitair[[#This Row],[Code Taak]],Invulsanitair[],3,3)*E23*F23</f>
        <v>0</v>
      </c>
      <c r="H23" s="54"/>
    </row>
    <row r="24" spans="1:8" ht="15" customHeight="1">
      <c r="A24" s="175"/>
      <c r="B24" s="176" t="s">
        <v>33</v>
      </c>
      <c r="C24" s="175"/>
      <c r="D24" s="177"/>
      <c r="E24" s="178"/>
      <c r="F24" s="175"/>
      <c r="G24" s="179">
        <f>SUBTOTAL(109,Overzichtsanitair[Kosten/jaar excl. BTW])</f>
        <v>0</v>
      </c>
      <c r="H24" s="243"/>
    </row>
    <row r="25" spans="1:8" ht="15" customHeight="1">
      <c r="A25" s="37"/>
      <c r="C25" s="35"/>
      <c r="D25" s="35"/>
      <c r="E25" s="35"/>
      <c r="F25" s="164"/>
      <c r="G25" s="41"/>
      <c r="H25" s="36"/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3">
    <mergeCell ref="A1:H1"/>
    <mergeCell ref="A2:H2"/>
    <mergeCell ref="E7:I7"/>
  </mergeCells>
  <pageMargins left="0.7" right="0.7" top="0.75" bottom="0.75" header="0.3" footer="0.3"/>
  <pageSetup paperSize="9" scale="72" orientation="landscape" r:id="rId1"/>
  <ignoredErrors>
    <ignoredError sqref="E18:E19" calculatedColumn="1"/>
  </ignoredErrors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zoomScaleNormal="100" zoomScaleSheetLayoutView="100" workbookViewId="0">
      <selection activeCell="G30" sqref="G30"/>
    </sheetView>
  </sheetViews>
  <sheetFormatPr defaultColWidth="9.140625" defaultRowHeight="18.75" customHeight="1"/>
  <cols>
    <col min="1" max="1" width="9.140625" style="79"/>
    <col min="2" max="2" width="73.2851562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9" customFormat="1" ht="26.25" customHeight="1">
      <c r="A1" s="345" t="s">
        <v>185</v>
      </c>
      <c r="B1" s="345"/>
      <c r="C1" s="345"/>
      <c r="D1" s="345"/>
      <c r="E1" s="345"/>
      <c r="F1" s="345"/>
      <c r="G1" s="345"/>
      <c r="H1" s="345"/>
      <c r="I1" s="345"/>
    </row>
    <row r="2" spans="1:9" s="9" customFormat="1" ht="18.75" customHeight="1">
      <c r="A2" s="346" t="s">
        <v>219</v>
      </c>
      <c r="B2" s="347"/>
      <c r="C2" s="347"/>
      <c r="D2" s="347"/>
      <c r="E2" s="347"/>
      <c r="F2" s="347"/>
      <c r="G2" s="347"/>
      <c r="H2" s="347"/>
      <c r="I2" s="347"/>
    </row>
    <row r="3" spans="1:9" s="87" customFormat="1" ht="18.75" customHeight="1">
      <c r="A3" s="86"/>
    </row>
    <row r="4" spans="1:9" s="87" customFormat="1" ht="18.75" customHeight="1">
      <c r="A4" s="87" t="s">
        <v>184</v>
      </c>
    </row>
    <row r="5" spans="1:9" s="87" customFormat="1" ht="18.75" customHeight="1">
      <c r="A5" s="87" t="s">
        <v>186</v>
      </c>
    </row>
    <row r="6" spans="1:9" s="87" customFormat="1" ht="18.75" customHeight="1">
      <c r="A6" s="87" t="s">
        <v>233</v>
      </c>
    </row>
    <row r="7" spans="1:9" s="87" customFormat="1" ht="18.75" customHeight="1">
      <c r="A7" s="86"/>
      <c r="E7" s="315" t="s">
        <v>407</v>
      </c>
      <c r="F7" s="315"/>
      <c r="G7" s="315"/>
      <c r="H7" s="315"/>
      <c r="I7" s="315"/>
    </row>
    <row r="8" spans="1:9" s="31" customFormat="1" ht="26.25" customHeight="1">
      <c r="A8" s="84"/>
      <c r="B8" s="83" t="s">
        <v>187</v>
      </c>
      <c r="C8" s="83" t="s">
        <v>153</v>
      </c>
      <c r="D8" s="33" t="s">
        <v>183</v>
      </c>
      <c r="E8" s="76">
        <v>2023</v>
      </c>
      <c r="F8" s="76">
        <v>2024</v>
      </c>
      <c r="G8" s="76">
        <v>2025</v>
      </c>
      <c r="H8" s="76">
        <v>2026</v>
      </c>
      <c r="I8" s="76">
        <v>2027</v>
      </c>
    </row>
    <row r="9" spans="1:9" ht="18.75" customHeight="1">
      <c r="A9" s="316" t="s">
        <v>201</v>
      </c>
      <c r="B9" s="83" t="s">
        <v>189</v>
      </c>
      <c r="C9" s="83" t="s">
        <v>188</v>
      </c>
      <c r="D9" s="85">
        <v>0</v>
      </c>
      <c r="E9" s="230" t="e">
        <f>InvulRegie[[#This Row],[Prijs excl. BTW]]*Tariefsopbouw!$I$37+InvulRegie[[#This Row],[Prijs excl. BTW]]</f>
        <v>#DIV/0!</v>
      </c>
      <c r="F9" s="230" t="e">
        <f>E9*Tariefsopbouw!$K$37+'Regie en afroep'!E9</f>
        <v>#DIV/0!</v>
      </c>
      <c r="G9" s="230" t="e">
        <f>F9*Tariefsopbouw!$M$37+'Regie en afroep'!F9</f>
        <v>#DIV/0!</v>
      </c>
      <c r="H9" s="230" t="e">
        <f>G9*Tariefsopbouw!$O$37+'Regie en afroep'!G9</f>
        <v>#DIV/0!</v>
      </c>
      <c r="I9" s="230" t="e">
        <f>H9*Tariefsopbouw!$Q$37+H9</f>
        <v>#DIV/0!</v>
      </c>
    </row>
    <row r="10" spans="1:9" ht="18.75" customHeight="1">
      <c r="A10" s="317"/>
      <c r="B10" s="83" t="s">
        <v>190</v>
      </c>
      <c r="C10" s="83" t="s">
        <v>188</v>
      </c>
      <c r="D10" s="85">
        <v>0</v>
      </c>
      <c r="E10" s="231" t="e">
        <f>InvulRegie[[#This Row],[Prijs excl. BTW]]*Tariefsopbouw!$I$37+InvulRegie[[#This Row],[Prijs excl. BTW]]</f>
        <v>#DIV/0!</v>
      </c>
      <c r="F10" s="231" t="e">
        <f>E10*Tariefsopbouw!$K$37+'Regie en afroep'!E10</f>
        <v>#DIV/0!</v>
      </c>
      <c r="G10" s="231" t="e">
        <f>F10*Tariefsopbouw!$M$37+'Regie en afroep'!F10</f>
        <v>#DIV/0!</v>
      </c>
      <c r="H10" s="231" t="e">
        <f>G10*Tariefsopbouw!$O$37+'Regie en afroep'!G10</f>
        <v>#DIV/0!</v>
      </c>
      <c r="I10" s="231" t="e">
        <f>H10*Tariefsopbouw!$Q$37+H10</f>
        <v>#DIV/0!</v>
      </c>
    </row>
    <row r="11" spans="1:9" ht="18.75" customHeight="1">
      <c r="A11" s="317"/>
      <c r="B11" s="82" t="s">
        <v>191</v>
      </c>
      <c r="C11" s="83" t="s">
        <v>188</v>
      </c>
      <c r="D11" s="85">
        <v>0</v>
      </c>
      <c r="E11" s="231" t="e">
        <f>InvulRegie[[#This Row],[Prijs excl. BTW]]*Tariefsopbouw!$I$37+InvulRegie[[#This Row],[Prijs excl. BTW]]</f>
        <v>#DIV/0!</v>
      </c>
      <c r="F11" s="231" t="e">
        <f>E11*Tariefsopbouw!$K$37+'Regie en afroep'!E11</f>
        <v>#DIV/0!</v>
      </c>
      <c r="G11" s="231" t="e">
        <f>F11*Tariefsopbouw!$M$37+'Regie en afroep'!F11</f>
        <v>#DIV/0!</v>
      </c>
      <c r="H11" s="231" t="e">
        <f>G11*Tariefsopbouw!$O$37+'Regie en afroep'!G11</f>
        <v>#DIV/0!</v>
      </c>
      <c r="I11" s="231" t="e">
        <f>H11*Tariefsopbouw!$Q$37+H11</f>
        <v>#DIV/0!</v>
      </c>
    </row>
    <row r="12" spans="1:9" ht="18.75" customHeight="1">
      <c r="A12" s="317"/>
      <c r="B12" s="82" t="s">
        <v>208</v>
      </c>
      <c r="C12" s="83" t="s">
        <v>188</v>
      </c>
      <c r="D12" s="85">
        <v>0</v>
      </c>
      <c r="E12" s="232" t="e">
        <f>InvulRegie[[#This Row],[Prijs excl. BTW]]*Tariefsopbouw!$I$37+InvulRegie[[#This Row],[Prijs excl. BTW]]</f>
        <v>#DIV/0!</v>
      </c>
      <c r="F12" s="232" t="e">
        <f>E12*Tariefsopbouw!$K$37+'Regie en afroep'!E12</f>
        <v>#DIV/0!</v>
      </c>
      <c r="G12" s="232" t="e">
        <f>F12*Tariefsopbouw!$M$37+'Regie en afroep'!F12</f>
        <v>#DIV/0!</v>
      </c>
      <c r="H12" s="232" t="e">
        <f>G12*Tariefsopbouw!$O$37+'Regie en afroep'!G12</f>
        <v>#DIV/0!</v>
      </c>
      <c r="I12" s="232" t="e">
        <f>H12*Tariefsopbouw!$Q$37+H12</f>
        <v>#DIV/0!</v>
      </c>
    </row>
    <row r="13" spans="1:9" ht="18.75" customHeight="1">
      <c r="A13" s="318"/>
      <c r="B13" s="83" t="s">
        <v>197</v>
      </c>
      <c r="C13" s="83" t="s">
        <v>188</v>
      </c>
      <c r="D13" s="85">
        <v>0</v>
      </c>
      <c r="E13" s="231" t="e">
        <f>InvulRegie[[#This Row],[Prijs excl. BTW]]*Tariefsopbouw!$I$37+InvulRegie[[#This Row],[Prijs excl. BTW]]</f>
        <v>#DIV/0!</v>
      </c>
      <c r="F13" s="231" t="e">
        <f>E13*Tariefsopbouw!$K$37+'Regie en afroep'!E13</f>
        <v>#DIV/0!</v>
      </c>
      <c r="G13" s="231" t="e">
        <f>F13*Tariefsopbouw!$M$37+'Regie en afroep'!F13</f>
        <v>#DIV/0!</v>
      </c>
      <c r="H13" s="231" t="e">
        <f>G13*Tariefsopbouw!$O$37+'Regie en afroep'!G13</f>
        <v>#DIV/0!</v>
      </c>
      <c r="I13" s="231" t="e">
        <f>H13*Tariefsopbouw!$Q$37+H13</f>
        <v>#DIV/0!</v>
      </c>
    </row>
    <row r="14" spans="1:9" ht="18.75" customHeight="1">
      <c r="A14" s="316" t="s">
        <v>132</v>
      </c>
      <c r="B14" s="83" t="s">
        <v>42</v>
      </c>
      <c r="C14" s="83" t="s">
        <v>43</v>
      </c>
      <c r="D14" s="85">
        <v>0</v>
      </c>
      <c r="E14" s="232" t="e">
        <f>InvulRegie[[#This Row],[Prijs excl. BTW]]*Tariefsopbouw!$I$37+InvulRegie[[#This Row],[Prijs excl. BTW]]</f>
        <v>#DIV/0!</v>
      </c>
      <c r="F14" s="232" t="e">
        <f>E14*Tariefsopbouw!$K$37+'Regie en afroep'!E14</f>
        <v>#DIV/0!</v>
      </c>
      <c r="G14" s="232" t="e">
        <f>F14*Tariefsopbouw!$M$37+'Regie en afroep'!F14</f>
        <v>#DIV/0!</v>
      </c>
      <c r="H14" s="232" t="e">
        <f>G14*Tariefsopbouw!$O$37+'Regie en afroep'!G14</f>
        <v>#DIV/0!</v>
      </c>
      <c r="I14" s="232" t="e">
        <f>H14*Tariefsopbouw!$Q$37+H14</f>
        <v>#DIV/0!</v>
      </c>
    </row>
    <row r="15" spans="1:9" ht="18.75" customHeight="1">
      <c r="A15" s="317"/>
      <c r="B15" s="83" t="s">
        <v>44</v>
      </c>
      <c r="C15" s="83" t="s">
        <v>192</v>
      </c>
      <c r="D15" s="85">
        <v>0</v>
      </c>
      <c r="E15" s="231" t="e">
        <f>InvulRegie[[#This Row],[Prijs excl. BTW]]*Tariefsopbouw!$I$37+InvulRegie[[#This Row],[Prijs excl. BTW]]</f>
        <v>#DIV/0!</v>
      </c>
      <c r="F15" s="231" t="e">
        <f>E15*Tariefsopbouw!$K$37+'Regie en afroep'!E15</f>
        <v>#DIV/0!</v>
      </c>
      <c r="G15" s="231" t="e">
        <f>F15*Tariefsopbouw!$M$37+'Regie en afroep'!F15</f>
        <v>#DIV/0!</v>
      </c>
      <c r="H15" s="231" t="e">
        <f>G15*Tariefsopbouw!$O$37+'Regie en afroep'!G15</f>
        <v>#DIV/0!</v>
      </c>
      <c r="I15" s="231" t="e">
        <f>H15*Tariefsopbouw!$Q$37+H15</f>
        <v>#DIV/0!</v>
      </c>
    </row>
    <row r="16" spans="1:9" ht="18.75" customHeight="1">
      <c r="A16" s="317"/>
      <c r="B16" s="83" t="s">
        <v>193</v>
      </c>
      <c r="C16" s="83" t="s">
        <v>192</v>
      </c>
      <c r="D16" s="85">
        <v>0</v>
      </c>
      <c r="E16" s="232" t="e">
        <f>InvulRegie[[#This Row],[Prijs excl. BTW]]*Tariefsopbouw!$I$37+InvulRegie[[#This Row],[Prijs excl. BTW]]</f>
        <v>#DIV/0!</v>
      </c>
      <c r="F16" s="232" t="e">
        <f>E16*Tariefsopbouw!$K$37+'Regie en afroep'!E16</f>
        <v>#DIV/0!</v>
      </c>
      <c r="G16" s="232" t="e">
        <f>F16*Tariefsopbouw!$M$37+'Regie en afroep'!F16</f>
        <v>#DIV/0!</v>
      </c>
      <c r="H16" s="232" t="e">
        <f>G16*Tariefsopbouw!$O$37+'Regie en afroep'!G16</f>
        <v>#DIV/0!</v>
      </c>
      <c r="I16" s="232" t="e">
        <f>H16*Tariefsopbouw!$Q$37+H16</f>
        <v>#DIV/0!</v>
      </c>
    </row>
    <row r="17" spans="1:9" ht="18.75" customHeight="1">
      <c r="A17" s="317"/>
      <c r="B17" s="83" t="s">
        <v>194</v>
      </c>
      <c r="C17" s="83" t="s">
        <v>45</v>
      </c>
      <c r="D17" s="85">
        <v>0</v>
      </c>
      <c r="E17" s="231" t="e">
        <f>InvulRegie[[#This Row],[Prijs excl. BTW]]*Tariefsopbouw!$I$37+InvulRegie[[#This Row],[Prijs excl. BTW]]</f>
        <v>#DIV/0!</v>
      </c>
      <c r="F17" s="231" t="e">
        <f>E17*Tariefsopbouw!$K$37+'Regie en afroep'!E17</f>
        <v>#DIV/0!</v>
      </c>
      <c r="G17" s="231" t="e">
        <f>F17*Tariefsopbouw!$M$37+'Regie en afroep'!F17</f>
        <v>#DIV/0!</v>
      </c>
      <c r="H17" s="231" t="e">
        <f>G17*Tariefsopbouw!$O$37+'Regie en afroep'!G17</f>
        <v>#DIV/0!</v>
      </c>
      <c r="I17" s="231" t="e">
        <f>H17*Tariefsopbouw!$Q$37+H17</f>
        <v>#DIV/0!</v>
      </c>
    </row>
    <row r="18" spans="1:9" ht="18.75" customHeight="1">
      <c r="A18" s="317"/>
      <c r="B18" s="83" t="s">
        <v>255</v>
      </c>
      <c r="C18" s="83" t="s">
        <v>45</v>
      </c>
      <c r="D18" s="85">
        <v>0</v>
      </c>
      <c r="E18" s="232" t="e">
        <f>InvulRegie[[#This Row],[Prijs excl. BTW]]*Tariefsopbouw!$I$37+InvulRegie[[#This Row],[Prijs excl. BTW]]</f>
        <v>#DIV/0!</v>
      </c>
      <c r="F18" s="232" t="e">
        <f>E18*Tariefsopbouw!$K$37+'Regie en afroep'!E18</f>
        <v>#DIV/0!</v>
      </c>
      <c r="G18" s="232" t="e">
        <f>F18*Tariefsopbouw!$M$37+'Regie en afroep'!F18</f>
        <v>#DIV/0!</v>
      </c>
      <c r="H18" s="232" t="e">
        <f>G18*Tariefsopbouw!$O$37+'Regie en afroep'!G18</f>
        <v>#DIV/0!</v>
      </c>
      <c r="I18" s="232" t="e">
        <f>H18*Tariefsopbouw!$Q$37+H18</f>
        <v>#DIV/0!</v>
      </c>
    </row>
    <row r="19" spans="1:9" ht="18.75" customHeight="1">
      <c r="A19" s="317"/>
      <c r="B19" s="83" t="s">
        <v>195</v>
      </c>
      <c r="C19" s="83" t="s">
        <v>45</v>
      </c>
      <c r="D19" s="85">
        <v>0</v>
      </c>
      <c r="E19" s="231" t="e">
        <f>InvulRegie[[#This Row],[Prijs excl. BTW]]*Tariefsopbouw!$I$37+InvulRegie[[#This Row],[Prijs excl. BTW]]</f>
        <v>#DIV/0!</v>
      </c>
      <c r="F19" s="231" t="e">
        <f>E19*Tariefsopbouw!$K$37+'Regie en afroep'!E19</f>
        <v>#DIV/0!</v>
      </c>
      <c r="G19" s="231" t="e">
        <f>F19*Tariefsopbouw!$M$37+'Regie en afroep'!F19</f>
        <v>#DIV/0!</v>
      </c>
      <c r="H19" s="231" t="e">
        <f>G19*Tariefsopbouw!$O$37+'Regie en afroep'!G19</f>
        <v>#DIV/0!</v>
      </c>
      <c r="I19" s="231" t="e">
        <f>H19*Tariefsopbouw!$Q$37+H19</f>
        <v>#DIV/0!</v>
      </c>
    </row>
    <row r="20" spans="1:9" ht="18.75" customHeight="1">
      <c r="A20" s="318"/>
      <c r="B20" s="83" t="s">
        <v>196</v>
      </c>
      <c r="C20" s="83" t="s">
        <v>45</v>
      </c>
      <c r="D20" s="85">
        <v>0</v>
      </c>
      <c r="E20" s="232" t="e">
        <f>InvulRegie[[#This Row],[Prijs excl. BTW]]*Tariefsopbouw!$I$37+InvulRegie[[#This Row],[Prijs excl. BTW]]</f>
        <v>#DIV/0!</v>
      </c>
      <c r="F20" s="232" t="e">
        <f>E20*Tariefsopbouw!$K$37+'Regie en afroep'!E20</f>
        <v>#DIV/0!</v>
      </c>
      <c r="G20" s="232" t="e">
        <f>F20*Tariefsopbouw!$M$37+'Regie en afroep'!F20</f>
        <v>#DIV/0!</v>
      </c>
      <c r="H20" s="232" t="e">
        <f>G20*Tariefsopbouw!$O$37+'Regie en afroep'!G20</f>
        <v>#DIV/0!</v>
      </c>
      <c r="I20" s="232" t="e">
        <f>H20*Tariefsopbouw!$Q$37+H20</f>
        <v>#DIV/0!</v>
      </c>
    </row>
    <row r="21" spans="1:9" ht="18.75" customHeight="1">
      <c r="A21" s="316" t="s">
        <v>198</v>
      </c>
      <c r="B21" s="83" t="s">
        <v>58</v>
      </c>
      <c r="C21" s="83" t="s">
        <v>50</v>
      </c>
      <c r="D21" s="85">
        <v>0</v>
      </c>
      <c r="E21" s="231" t="e">
        <f>InvulRegie[[#This Row],[Prijs excl. BTW]]*Tariefsopbouw!$I$37+InvulRegie[[#This Row],[Prijs excl. BTW]]</f>
        <v>#DIV/0!</v>
      </c>
      <c r="F21" s="231" t="e">
        <f>E21*Tariefsopbouw!$K$37+'Regie en afroep'!E21</f>
        <v>#DIV/0!</v>
      </c>
      <c r="G21" s="231" t="e">
        <f>F21*Tariefsopbouw!$M$37+'Regie en afroep'!F21</f>
        <v>#DIV/0!</v>
      </c>
      <c r="H21" s="231" t="e">
        <f>G21*Tariefsopbouw!$O$37+'Regie en afroep'!G21</f>
        <v>#DIV/0!</v>
      </c>
      <c r="I21" s="231" t="e">
        <f>H21*Tariefsopbouw!$Q$37+H21</f>
        <v>#DIV/0!</v>
      </c>
    </row>
    <row r="22" spans="1:9" ht="18.75" customHeight="1">
      <c r="A22" s="318"/>
      <c r="B22" s="83" t="s">
        <v>46</v>
      </c>
      <c r="C22" s="83" t="s">
        <v>74</v>
      </c>
      <c r="D22" s="85">
        <v>0</v>
      </c>
      <c r="E22" s="232" t="e">
        <f>InvulRegie[[#This Row],[Prijs excl. BTW]]*Tariefsopbouw!$I$37+InvulRegie[[#This Row],[Prijs excl. BTW]]</f>
        <v>#DIV/0!</v>
      </c>
      <c r="F22" s="232" t="e">
        <f>E22*Tariefsopbouw!$K$37+'Regie en afroep'!E22</f>
        <v>#DIV/0!</v>
      </c>
      <c r="G22" s="232" t="e">
        <f>F22*Tariefsopbouw!$M$37+'Regie en afroep'!F22</f>
        <v>#DIV/0!</v>
      </c>
      <c r="H22" s="232" t="e">
        <f>G22*Tariefsopbouw!$O$37+'Regie en afroep'!G22</f>
        <v>#DIV/0!</v>
      </c>
      <c r="I22" s="232" t="e">
        <f>H22*Tariefsopbouw!$Q$37+H22</f>
        <v>#DIV/0!</v>
      </c>
    </row>
    <row r="23" spans="1:9" ht="18.75" customHeight="1">
      <c r="A23" s="316" t="s">
        <v>209</v>
      </c>
      <c r="B23" s="83" t="s">
        <v>199</v>
      </c>
      <c r="C23" s="83" t="s">
        <v>200</v>
      </c>
      <c r="D23" s="85">
        <v>0</v>
      </c>
      <c r="E23" s="231" t="e">
        <f>InvulRegie[[#This Row],[Prijs excl. BTW]]*Tariefsopbouw!$I$37+InvulRegie[[#This Row],[Prijs excl. BTW]]</f>
        <v>#DIV/0!</v>
      </c>
      <c r="F23" s="231" t="e">
        <f>E23*Tariefsopbouw!$K$37+'Regie en afroep'!E23</f>
        <v>#DIV/0!</v>
      </c>
      <c r="G23" s="231" t="e">
        <f>F23*Tariefsopbouw!$M$37+'Regie en afroep'!F23</f>
        <v>#DIV/0!</v>
      </c>
      <c r="H23" s="231" t="e">
        <f>G23*Tariefsopbouw!$O$37+'Regie en afroep'!G23</f>
        <v>#DIV/0!</v>
      </c>
      <c r="I23" s="231" t="e">
        <f>H23*Tariefsopbouw!$Q$37+H23</f>
        <v>#DIV/0!</v>
      </c>
    </row>
    <row r="24" spans="1:9" ht="18.75" customHeight="1">
      <c r="A24" s="317"/>
      <c r="B24" s="83" t="s">
        <v>248</v>
      </c>
      <c r="C24" s="83" t="s">
        <v>200</v>
      </c>
      <c r="D24" s="85">
        <v>0</v>
      </c>
      <c r="E24" s="232" t="e">
        <f>InvulRegie[[#This Row],[Prijs excl. BTW]]*Tariefsopbouw!$I$37+InvulRegie[[#This Row],[Prijs excl. BTW]]</f>
        <v>#DIV/0!</v>
      </c>
      <c r="F24" s="232" t="e">
        <f>E24*Tariefsopbouw!$K$37+'Regie en afroep'!E24</f>
        <v>#DIV/0!</v>
      </c>
      <c r="G24" s="232" t="e">
        <f>F24*Tariefsopbouw!$M$37+'Regie en afroep'!F24</f>
        <v>#DIV/0!</v>
      </c>
      <c r="H24" s="232" t="e">
        <f>G24*Tariefsopbouw!$O$37+'Regie en afroep'!G24</f>
        <v>#DIV/0!</v>
      </c>
      <c r="I24" s="232" t="e">
        <f>H24*Tariefsopbouw!$Q$37+H24</f>
        <v>#DIV/0!</v>
      </c>
    </row>
    <row r="25" spans="1:9" ht="18.75" customHeight="1">
      <c r="A25" s="317"/>
      <c r="B25" s="83" t="s">
        <v>250</v>
      </c>
      <c r="C25" s="83" t="s">
        <v>200</v>
      </c>
      <c r="D25" s="85">
        <v>0</v>
      </c>
      <c r="E25" s="231" t="e">
        <f>InvulRegie[[#This Row],[Prijs excl. BTW]]*Tariefsopbouw!$I$37+InvulRegie[[#This Row],[Prijs excl. BTW]]</f>
        <v>#DIV/0!</v>
      </c>
      <c r="F25" s="231" t="e">
        <f>E25*Tariefsopbouw!$K$37+'Regie en afroep'!E25</f>
        <v>#DIV/0!</v>
      </c>
      <c r="G25" s="231" t="e">
        <f>F25*Tariefsopbouw!$M$37+'Regie en afroep'!F25</f>
        <v>#DIV/0!</v>
      </c>
      <c r="H25" s="231" t="e">
        <f>G25*Tariefsopbouw!$O$37+'Regie en afroep'!G25</f>
        <v>#DIV/0!</v>
      </c>
      <c r="I25" s="231" t="e">
        <f>H25*Tariefsopbouw!$Q$37+H25</f>
        <v>#DIV/0!</v>
      </c>
    </row>
    <row r="26" spans="1:9" ht="18.75" customHeight="1">
      <c r="A26" s="317"/>
      <c r="B26" s="83" t="s">
        <v>249</v>
      </c>
      <c r="C26" s="83" t="s">
        <v>200</v>
      </c>
      <c r="D26" s="85">
        <v>0</v>
      </c>
      <c r="E26" s="232" t="e">
        <f>InvulRegie[[#This Row],[Prijs excl. BTW]]*Tariefsopbouw!$I$37+InvulRegie[[#This Row],[Prijs excl. BTW]]</f>
        <v>#DIV/0!</v>
      </c>
      <c r="F26" s="232" t="e">
        <f>E26*Tariefsopbouw!$K$37+'Regie en afroep'!E26</f>
        <v>#DIV/0!</v>
      </c>
      <c r="G26" s="232" t="e">
        <f>F26*Tariefsopbouw!$M$37+'Regie en afroep'!F26</f>
        <v>#DIV/0!</v>
      </c>
      <c r="H26" s="232" t="e">
        <f>G26*Tariefsopbouw!$O$37+'Regie en afroep'!G26</f>
        <v>#DIV/0!</v>
      </c>
      <c r="I26" s="232" t="e">
        <f>H26*Tariefsopbouw!$Q$37+H26</f>
        <v>#DIV/0!</v>
      </c>
    </row>
    <row r="27" spans="1:9" ht="18.75" customHeight="1">
      <c r="A27" s="318"/>
      <c r="B27" s="83" t="s">
        <v>49</v>
      </c>
      <c r="C27" s="83" t="s">
        <v>200</v>
      </c>
      <c r="D27" s="85">
        <v>0</v>
      </c>
      <c r="E27" s="231" t="e">
        <f>InvulRegie[[#This Row],[Prijs excl. BTW]]*Tariefsopbouw!$I$37+InvulRegie[[#This Row],[Prijs excl. BTW]]</f>
        <v>#DIV/0!</v>
      </c>
      <c r="F27" s="231" t="e">
        <f>E27*Tariefsopbouw!$K$37+'Regie en afroep'!E27</f>
        <v>#DIV/0!</v>
      </c>
      <c r="G27" s="231" t="e">
        <f>F27*Tariefsopbouw!$M$37+'Regie en afroep'!F27</f>
        <v>#DIV/0!</v>
      </c>
      <c r="H27" s="231" t="e">
        <f>G27*Tariefsopbouw!$O$37+'Regie en afroep'!G27</f>
        <v>#DIV/0!</v>
      </c>
      <c r="I27" s="231" t="e">
        <f>H27*Tariefsopbouw!$Q$37+H27</f>
        <v>#DIV/0!</v>
      </c>
    </row>
    <row r="28" spans="1:9" ht="18.75" customHeight="1">
      <c r="A28" s="316" t="s">
        <v>204</v>
      </c>
      <c r="B28" s="83" t="s">
        <v>51</v>
      </c>
      <c r="C28" s="83" t="s">
        <v>50</v>
      </c>
      <c r="D28" s="85">
        <v>0</v>
      </c>
      <c r="E28" s="232" t="e">
        <f>InvulRegie[[#This Row],[Prijs excl. BTW]]*Tariefsopbouw!$I$37+InvulRegie[[#This Row],[Prijs excl. BTW]]</f>
        <v>#DIV/0!</v>
      </c>
      <c r="F28" s="232" t="e">
        <f>E28*Tariefsopbouw!$K$37+'Regie en afroep'!E28</f>
        <v>#DIV/0!</v>
      </c>
      <c r="G28" s="232" t="e">
        <f>F28*Tariefsopbouw!$M$37+'Regie en afroep'!F28</f>
        <v>#DIV/0!</v>
      </c>
      <c r="H28" s="232" t="e">
        <f>G28*Tariefsopbouw!$O$37+'Regie en afroep'!G28</f>
        <v>#DIV/0!</v>
      </c>
      <c r="I28" s="232" t="e">
        <f>H28*Tariefsopbouw!$Q$37+H28</f>
        <v>#DIV/0!</v>
      </c>
    </row>
    <row r="29" spans="1:9" ht="18.75" customHeight="1">
      <c r="A29" s="317"/>
      <c r="B29" s="83" t="s">
        <v>52</v>
      </c>
      <c r="C29" s="83" t="s">
        <v>50</v>
      </c>
      <c r="D29" s="85">
        <v>0</v>
      </c>
      <c r="E29" s="231" t="e">
        <f>InvulRegie[[#This Row],[Prijs excl. BTW]]*Tariefsopbouw!$I$37+InvulRegie[[#This Row],[Prijs excl. BTW]]</f>
        <v>#DIV/0!</v>
      </c>
      <c r="F29" s="231" t="e">
        <f>E29*Tariefsopbouw!$K$37+'Regie en afroep'!E29</f>
        <v>#DIV/0!</v>
      </c>
      <c r="G29" s="231" t="e">
        <f>F29*Tariefsopbouw!$M$37+'Regie en afroep'!F29</f>
        <v>#DIV/0!</v>
      </c>
      <c r="H29" s="231" t="e">
        <f>G29*Tariefsopbouw!$O$37+'Regie en afroep'!G29</f>
        <v>#DIV/0!</v>
      </c>
      <c r="I29" s="231" t="e">
        <f>H29*Tariefsopbouw!$Q$37+H29</f>
        <v>#DIV/0!</v>
      </c>
    </row>
    <row r="30" spans="1:9" ht="18.75" customHeight="1">
      <c r="A30" s="317"/>
      <c r="B30" s="83" t="s">
        <v>53</v>
      </c>
      <c r="C30" s="83" t="s">
        <v>50</v>
      </c>
      <c r="D30" s="85">
        <v>0</v>
      </c>
      <c r="E30" s="232" t="e">
        <f>InvulRegie[[#This Row],[Prijs excl. BTW]]*Tariefsopbouw!$I$37+InvulRegie[[#This Row],[Prijs excl. BTW]]</f>
        <v>#DIV/0!</v>
      </c>
      <c r="F30" s="232" t="e">
        <f>E30*Tariefsopbouw!$K$37+'Regie en afroep'!E30</f>
        <v>#DIV/0!</v>
      </c>
      <c r="G30" s="232" t="e">
        <f>F30*Tariefsopbouw!$M$37+'Regie en afroep'!F30</f>
        <v>#DIV/0!</v>
      </c>
      <c r="H30" s="232" t="e">
        <f>G30*Tariefsopbouw!$O$37+'Regie en afroep'!G30</f>
        <v>#DIV/0!</v>
      </c>
      <c r="I30" s="232" t="e">
        <f>H30*Tariefsopbouw!$Q$37+H30</f>
        <v>#DIV/0!</v>
      </c>
    </row>
    <row r="31" spans="1:9" ht="18.75" customHeight="1">
      <c r="A31" s="317"/>
      <c r="B31" s="83" t="s">
        <v>54</v>
      </c>
      <c r="C31" s="83" t="s">
        <v>50</v>
      </c>
      <c r="D31" s="85">
        <v>0</v>
      </c>
      <c r="E31" s="231" t="e">
        <f>InvulRegie[[#This Row],[Prijs excl. BTW]]*Tariefsopbouw!$I$37+InvulRegie[[#This Row],[Prijs excl. BTW]]</f>
        <v>#DIV/0!</v>
      </c>
      <c r="F31" s="231" t="e">
        <f>E31*Tariefsopbouw!$K$37+'Regie en afroep'!E31</f>
        <v>#DIV/0!</v>
      </c>
      <c r="G31" s="231" t="e">
        <f>F31*Tariefsopbouw!$M$37+'Regie en afroep'!F31</f>
        <v>#DIV/0!</v>
      </c>
      <c r="H31" s="231" t="e">
        <f>G31*Tariefsopbouw!$O$37+'Regie en afroep'!G31</f>
        <v>#DIV/0!</v>
      </c>
      <c r="I31" s="231" t="e">
        <f>H31*Tariefsopbouw!$Q$37+H31</f>
        <v>#DIV/0!</v>
      </c>
    </row>
    <row r="32" spans="1:9" ht="18.75" customHeight="1">
      <c r="A32" s="318"/>
      <c r="B32" s="83" t="s">
        <v>47</v>
      </c>
      <c r="C32" s="83" t="s">
        <v>48</v>
      </c>
      <c r="D32" s="85">
        <v>0</v>
      </c>
      <c r="E32" s="232" t="e">
        <f>InvulRegie[[#This Row],[Prijs excl. BTW]]*Tariefsopbouw!$I$37+InvulRegie[[#This Row],[Prijs excl. BTW]]</f>
        <v>#DIV/0!</v>
      </c>
      <c r="F32" s="232" t="e">
        <f>E32*Tariefsopbouw!$K$37+'Regie en afroep'!E32</f>
        <v>#DIV/0!</v>
      </c>
      <c r="G32" s="232" t="e">
        <f>F32*Tariefsopbouw!$M$37+'Regie en afroep'!F32</f>
        <v>#DIV/0!</v>
      </c>
      <c r="H32" s="232" t="e">
        <f>G32*Tariefsopbouw!$O$37+'Regie en afroep'!G32</f>
        <v>#DIV/0!</v>
      </c>
      <c r="I32" s="232" t="e">
        <f>H32*Tariefsopbouw!$Q$37+H32</f>
        <v>#DIV/0!</v>
      </c>
    </row>
    <row r="33" spans="1:9" ht="18.75" customHeight="1">
      <c r="A33" s="319" t="s">
        <v>205</v>
      </c>
      <c r="B33" s="83" t="s">
        <v>55</v>
      </c>
      <c r="C33" s="83" t="s">
        <v>232</v>
      </c>
      <c r="D33" s="85">
        <v>0</v>
      </c>
      <c r="E33" s="231" t="e">
        <f>InvulRegie[[#This Row],[Prijs excl. BTW]]*Tariefsopbouw!$I$37+InvulRegie[[#This Row],[Prijs excl. BTW]]</f>
        <v>#DIV/0!</v>
      </c>
      <c r="F33" s="231" t="e">
        <f>E33*Tariefsopbouw!$K$37+'Regie en afroep'!E33</f>
        <v>#DIV/0!</v>
      </c>
      <c r="G33" s="231" t="e">
        <f>F33*Tariefsopbouw!$M$37+'Regie en afroep'!F33</f>
        <v>#DIV/0!</v>
      </c>
      <c r="H33" s="231" t="e">
        <f>G33*Tariefsopbouw!$O$37+'Regie en afroep'!G33</f>
        <v>#DIV/0!</v>
      </c>
      <c r="I33" s="231" t="e">
        <f>H33*Tariefsopbouw!$Q$37+H33</f>
        <v>#DIV/0!</v>
      </c>
    </row>
    <row r="34" spans="1:9" ht="18.75" customHeight="1">
      <c r="A34" s="320"/>
      <c r="B34" s="83" t="s">
        <v>56</v>
      </c>
      <c r="C34" s="83" t="s">
        <v>57</v>
      </c>
      <c r="D34" s="85">
        <v>0</v>
      </c>
      <c r="E34" s="232" t="e">
        <f>InvulRegie[[#This Row],[Prijs excl. BTW]]*Tariefsopbouw!$I$37+InvulRegie[[#This Row],[Prijs excl. BTW]]</f>
        <v>#DIV/0!</v>
      </c>
      <c r="F34" s="232" t="e">
        <f>E34*Tariefsopbouw!$K$37+'Regie en afroep'!E34</f>
        <v>#DIV/0!</v>
      </c>
      <c r="G34" s="232" t="e">
        <f>F34*Tariefsopbouw!$M$37+'Regie en afroep'!F34</f>
        <v>#DIV/0!</v>
      </c>
      <c r="H34" s="232" t="e">
        <f>G34*Tariefsopbouw!$O$37+'Regie en afroep'!G34</f>
        <v>#DIV/0!</v>
      </c>
      <c r="I34" s="232" t="e">
        <f>H34*Tariefsopbouw!$Q$37+H34</f>
        <v>#DIV/0!</v>
      </c>
    </row>
    <row r="35" spans="1:9" ht="18.75" customHeight="1">
      <c r="A35" s="320"/>
      <c r="B35" s="83" t="s">
        <v>206</v>
      </c>
      <c r="C35" s="83" t="s">
        <v>57</v>
      </c>
      <c r="D35" s="85">
        <v>0</v>
      </c>
      <c r="E35" s="231" t="e">
        <f>InvulRegie[[#This Row],[Prijs excl. BTW]]*Tariefsopbouw!$I$37+InvulRegie[[#This Row],[Prijs excl. BTW]]</f>
        <v>#DIV/0!</v>
      </c>
      <c r="F35" s="231" t="e">
        <f>E35*Tariefsopbouw!$K$37+'Regie en afroep'!E35</f>
        <v>#DIV/0!</v>
      </c>
      <c r="G35" s="231" t="e">
        <f>F35*Tariefsopbouw!$M$37+'Regie en afroep'!F35</f>
        <v>#DIV/0!</v>
      </c>
      <c r="H35" s="231" t="e">
        <f>G35*Tariefsopbouw!$O$37+'Regie en afroep'!G35</f>
        <v>#DIV/0!</v>
      </c>
      <c r="I35" s="231" t="e">
        <f>H35*Tariefsopbouw!$Q$37+H35</f>
        <v>#DIV/0!</v>
      </c>
    </row>
    <row r="36" spans="1:9" ht="18.75" customHeight="1" thickBot="1">
      <c r="A36" s="321"/>
      <c r="B36" s="83" t="s">
        <v>207</v>
      </c>
      <c r="C36" s="83" t="s">
        <v>57</v>
      </c>
      <c r="D36" s="85">
        <v>0</v>
      </c>
      <c r="E36" s="232" t="e">
        <f>InvulRegie[[#This Row],[Prijs excl. BTW]]*Tariefsopbouw!$I$37+InvulRegie[[#This Row],[Prijs excl. BTW]]</f>
        <v>#DIV/0!</v>
      </c>
      <c r="F36" s="232" t="e">
        <f>E36*Tariefsopbouw!$K$37+'Regie en afroep'!E36</f>
        <v>#DIV/0!</v>
      </c>
      <c r="G36" s="232" t="e">
        <f>F36*Tariefsopbouw!$M$37+'Regie en afroep'!F36</f>
        <v>#DIV/0!</v>
      </c>
      <c r="H36" s="232" t="e">
        <f>G36*Tariefsopbouw!$O$37+'Regie en afroep'!G36</f>
        <v>#DIV/0!</v>
      </c>
      <c r="I36" s="232" t="e">
        <f>H36*Tariefsopbouw!$Q$37+H36</f>
        <v>#DIV/0!</v>
      </c>
    </row>
    <row r="37" spans="1:9" s="151" customFormat="1" ht="26.25" customHeight="1" thickTop="1">
      <c r="A37" s="149"/>
      <c r="B37" s="150" t="s">
        <v>33</v>
      </c>
      <c r="C37" s="150"/>
      <c r="D37" s="150"/>
      <c r="E37" s="229"/>
      <c r="F37" s="229"/>
      <c r="G37" s="229"/>
      <c r="H37" s="229"/>
      <c r="I37" s="229"/>
    </row>
    <row r="72" spans="1:1" ht="18.75" customHeight="1">
      <c r="A72" s="80"/>
    </row>
    <row r="73" spans="1:1" ht="18.75" customHeight="1">
      <c r="A73" s="80"/>
    </row>
    <row r="74" spans="1:1" ht="18.75" customHeight="1">
      <c r="A74" s="80"/>
    </row>
    <row r="75" spans="1:1" ht="18.75" customHeight="1">
      <c r="A75" s="80"/>
    </row>
    <row r="76" spans="1:1" ht="18.75" customHeight="1">
      <c r="A76" s="80"/>
    </row>
    <row r="77" spans="1:1" ht="18.75" customHeight="1">
      <c r="A77" s="80"/>
    </row>
    <row r="78" spans="1:1" ht="18.75" customHeight="1">
      <c r="A78" s="80"/>
    </row>
    <row r="79" spans="1:1" ht="18.75" customHeight="1">
      <c r="A79" s="80"/>
    </row>
    <row r="80" spans="1:1" ht="18.75" customHeight="1">
      <c r="A80" s="80"/>
    </row>
    <row r="81" spans="1:1" ht="18.75" customHeight="1">
      <c r="A81" s="80"/>
    </row>
    <row r="82" spans="1:1" ht="18.75" customHeight="1">
      <c r="A82" s="80"/>
    </row>
    <row r="83" spans="1:1" ht="18.75" customHeight="1">
      <c r="A83" s="80"/>
    </row>
    <row r="84" spans="1:1" ht="18.75" customHeight="1">
      <c r="A84" s="80"/>
    </row>
  </sheetData>
  <mergeCells count="9">
    <mergeCell ref="E7:I7"/>
    <mergeCell ref="A9:A13"/>
    <mergeCell ref="A1:I1"/>
    <mergeCell ref="A2:I2"/>
    <mergeCell ref="A28:A32"/>
    <mergeCell ref="A33:A36"/>
    <mergeCell ref="A23:A27"/>
    <mergeCell ref="A14:A20"/>
    <mergeCell ref="A21:A2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26"/>
  <sheetViews>
    <sheetView showGridLines="0" tabSelected="1" view="pageBreakPreview" zoomScaleNormal="100" zoomScaleSheetLayoutView="100" workbookViewId="0">
      <selection sqref="A1:H1"/>
    </sheetView>
  </sheetViews>
  <sheetFormatPr defaultColWidth="9.140625" defaultRowHeight="18.75" customHeight="1"/>
  <cols>
    <col min="1" max="1" width="13.7109375" style="3" customWidth="1"/>
    <col min="2" max="2" width="40.5703125" style="141" customWidth="1"/>
    <col min="3" max="5" width="23.28515625" style="3" customWidth="1"/>
    <col min="6" max="6" width="28.140625" style="3" bestFit="1" customWidth="1"/>
    <col min="7" max="8" width="23.28515625" style="3" customWidth="1"/>
    <col min="9" max="11" width="15.85546875" style="3" customWidth="1"/>
    <col min="12" max="16384" width="9.140625" style="3"/>
  </cols>
  <sheetData>
    <row r="1" spans="1:8" s="9" customFormat="1" ht="17.25" customHeight="1">
      <c r="A1" s="296" t="s">
        <v>221</v>
      </c>
      <c r="B1" s="296"/>
      <c r="C1" s="296"/>
      <c r="D1" s="296"/>
      <c r="E1" s="296"/>
      <c r="F1" s="296"/>
      <c r="G1" s="296"/>
      <c r="H1" s="296"/>
    </row>
    <row r="2" spans="1:8" s="9" customFormat="1" ht="15" customHeight="1">
      <c r="A2" s="314" t="s">
        <v>234</v>
      </c>
      <c r="B2" s="297"/>
      <c r="C2" s="297"/>
      <c r="D2" s="297"/>
      <c r="E2" s="297"/>
      <c r="F2" s="297"/>
      <c r="G2" s="297"/>
      <c r="H2" s="297"/>
    </row>
    <row r="3" spans="1:8" s="4" customFormat="1" ht="11.25">
      <c r="B3" s="21"/>
    </row>
    <row r="4" spans="1:8" ht="11.25">
      <c r="A4" s="141"/>
      <c r="B4" s="3"/>
    </row>
    <row r="5" spans="1:8" ht="11.25">
      <c r="A5" s="95" t="s">
        <v>231</v>
      </c>
      <c r="B5" s="3"/>
    </row>
    <row r="6" spans="1:8" s="45" customFormat="1" ht="25.5" customHeight="1">
      <c r="A6" s="137" t="s">
        <v>214</v>
      </c>
      <c r="B6" s="138" t="s">
        <v>147</v>
      </c>
      <c r="C6" s="137" t="s">
        <v>174</v>
      </c>
      <c r="D6" s="139" t="s">
        <v>129</v>
      </c>
      <c r="E6" s="139" t="s">
        <v>175</v>
      </c>
      <c r="F6" s="137" t="s">
        <v>128</v>
      </c>
      <c r="G6" s="140" t="s">
        <v>176</v>
      </c>
      <c r="H6" s="46" t="s">
        <v>177</v>
      </c>
    </row>
    <row r="7" spans="1:8" ht="18.75" customHeight="1">
      <c r="A7" s="188">
        <v>1</v>
      </c>
      <c r="B7" s="189" t="str">
        <f>VLOOKUP(Samenvattingschoonmaak[[#This Row],[Code Locatie]],Locaties[],2,0)</f>
        <v>Novalis College hoofdgebouw</v>
      </c>
      <c r="C7" s="190">
        <f>SUMIF('Ruimtestaat'!$A:$A,Totalisatie!$A7,'Ruimtestaat'!$N:$N)</f>
        <v>3364</v>
      </c>
      <c r="D7" s="190">
        <f>SUMIF('Ruimtestaat'!$A:$A,Totalisatie!$A7,'Ruimtestaat'!$AD:$AD)</f>
        <v>648450</v>
      </c>
      <c r="E7" s="191">
        <f>SUMIF('Ruimtestaat'!$A:$A,Totalisatie!$A7,'Ruimtestaat'!$AE:$AE)</f>
        <v>0</v>
      </c>
      <c r="F7" s="192" t="e">
        <f>D7/E7</f>
        <v>#DIV/0!</v>
      </c>
      <c r="G7" s="193">
        <f>SUMIF('Ruimtestaat'!$A:$A,Totalisatie!$A7,'Ruimtestaat'!$AF:$AF)</f>
        <v>0</v>
      </c>
      <c r="H7" s="194">
        <f>G7/C7</f>
        <v>0</v>
      </c>
    </row>
    <row r="8" spans="1:8" ht="18.75" customHeight="1">
      <c r="A8" s="188">
        <v>2</v>
      </c>
      <c r="B8" s="189" t="str">
        <f>VLOOKUP(Samenvattingschoonmaak[[#This Row],[Code Locatie]],Locaties[],2,0)</f>
        <v>Novalis College nieuwbouw</v>
      </c>
      <c r="C8" s="190">
        <f>SUMIF('Ruimtestaat'!$A:$A,Totalisatie!$A8,'Ruimtestaat'!$N:$N)</f>
        <v>1064</v>
      </c>
      <c r="D8" s="190">
        <f>SUMIF('Ruimtestaat'!$A:$A,Totalisatie!$A8,'Ruimtestaat'!$AD:$AD)</f>
        <v>206820</v>
      </c>
      <c r="E8" s="191">
        <f>SUMIF('Ruimtestaat'!$A:$A,Totalisatie!$A8,'Ruimtestaat'!$AE:$AE)</f>
        <v>0</v>
      </c>
      <c r="F8" s="192" t="e">
        <f t="shared" ref="F8:F9" si="0">D8/E8</f>
        <v>#DIV/0!</v>
      </c>
      <c r="G8" s="193">
        <f>SUMIF('Ruimtestaat'!$A:$A,Totalisatie!$A8,'Ruimtestaat'!$AF:$AF)</f>
        <v>0</v>
      </c>
      <c r="H8" s="194">
        <f t="shared" ref="H8:H9" si="1">G8/C8</f>
        <v>0</v>
      </c>
    </row>
    <row r="9" spans="1:8" ht="18.75" customHeight="1">
      <c r="A9" s="188">
        <v>3</v>
      </c>
      <c r="B9" s="189" t="str">
        <f>VLOOKUP(Samenvattingschoonmaak[[#This Row],[Code Locatie]],Locaties[],2,0)</f>
        <v>Karel de Grote College</v>
      </c>
      <c r="C9" s="190">
        <f>SUMIF('Ruimtestaat'!$A:$A,Totalisatie!$A9,'Ruimtestaat'!$N:$N)</f>
        <v>5410.4</v>
      </c>
      <c r="D9" s="190">
        <f>SUMIF('Ruimtestaat'!$A:$A,Totalisatie!$A9,'Ruimtestaat'!$AD:$AD)</f>
        <v>996016</v>
      </c>
      <c r="E9" s="191">
        <f>SUMIF('Ruimtestaat'!$A:$A,Totalisatie!$A9,'Ruimtestaat'!$AE:$AE)</f>
        <v>0</v>
      </c>
      <c r="F9" s="192" t="e">
        <f t="shared" si="0"/>
        <v>#DIV/0!</v>
      </c>
      <c r="G9" s="193">
        <f>SUMIF('Ruimtestaat'!$A:$A,Totalisatie!$A9,'Ruimtestaat'!$AF:$AF)</f>
        <v>0</v>
      </c>
      <c r="H9" s="194">
        <f t="shared" si="1"/>
        <v>0</v>
      </c>
    </row>
    <row r="10" spans="1:8" s="45" customFormat="1" ht="25.5" customHeight="1">
      <c r="A10" s="181"/>
      <c r="B10" s="182" t="s">
        <v>33</v>
      </c>
      <c r="C10" s="183">
        <f>SUBTOTAL(109,Samenvattingschoonmaak[Oppervlakte i/o])</f>
        <v>9838.4</v>
      </c>
      <c r="D10" s="183">
        <f>SUBTOTAL(109,Samenvattingschoonmaak[Prest. (m2 /jaar)])</f>
        <v>1851286</v>
      </c>
      <c r="E10" s="184">
        <f>SUBTOTAL(109,Samenvattingschoonmaak[Uren / jaar])</f>
        <v>0</v>
      </c>
      <c r="F10" s="183" t="e">
        <f>Samenvattingschoonmaak[[#Totals],[Prest. (m2 /jaar)]]/Samenvattingschoonmaak[[#Totals],[Uren / jaar]]</f>
        <v>#DIV/0!</v>
      </c>
      <c r="G10" s="185">
        <f>SUBTOTAL(109,Samenvattingschoonmaak[Kosten / jaar])</f>
        <v>0</v>
      </c>
      <c r="H10" s="186">
        <f>Samenvattingschoonmaak[[#Totals],[Kosten / jaar]]/Samenvattingschoonmaak[[#Totals],[Oppervlakte i/o]]</f>
        <v>0</v>
      </c>
    </row>
    <row r="11" spans="1:8" ht="18.75" customHeight="1">
      <c r="A11" s="141"/>
      <c r="B11" s="3"/>
    </row>
    <row r="12" spans="1:8" ht="18.75" customHeight="1">
      <c r="A12" s="95" t="s">
        <v>180</v>
      </c>
      <c r="B12" s="44"/>
      <c r="C12" s="44"/>
      <c r="D12" s="44"/>
      <c r="E12" s="44"/>
      <c r="F12" s="44"/>
      <c r="H12" s="44"/>
    </row>
    <row r="13" spans="1:8" ht="37.5" customHeight="1">
      <c r="A13" s="137" t="s">
        <v>214</v>
      </c>
      <c r="B13" s="138" t="s">
        <v>223</v>
      </c>
      <c r="C13" s="137" t="s">
        <v>182</v>
      </c>
      <c r="D13" s="140" t="s">
        <v>178</v>
      </c>
      <c r="E13" s="140" t="s">
        <v>179</v>
      </c>
      <c r="F13" s="251" t="s">
        <v>917</v>
      </c>
      <c r="G13" s="251" t="s">
        <v>222</v>
      </c>
    </row>
    <row r="14" spans="1:8" ht="18.75" customHeight="1">
      <c r="A14" s="188">
        <v>1</v>
      </c>
      <c r="B14" s="189" t="str">
        <f>VLOOKUP(Totalisatie[[#This Row],[Code Locatie]],Locaties[],2,0)</f>
        <v>Novalis College hoofdgebouw</v>
      </c>
      <c r="C14" s="193">
        <f>SUMIF('Ruimtestaat'!A:A,Totalisatie[[#This Row],[Code Locatie]],'Ruimtestaat'!AF:AF)</f>
        <v>0</v>
      </c>
      <c r="D14" s="195">
        <f>SUMIF(Glasbewassing!$A$23:$A$38,Totalisatie[[#This Row],[Code Locatie]],Glasbewassing!$G$23:$G$38)</f>
        <v>0</v>
      </c>
      <c r="E14" s="242">
        <f>SUMIF(Vloeronderhoud!$A$19:$A$37,Totalisatie[[#This Row],[Code Locatie]],Vloeronderhoud!$H$19:$H$37)</f>
        <v>0</v>
      </c>
      <c r="F14" s="242">
        <f ca="1">SUMIF(Overzichtsanitair[[Code Locatie]:[Kosten/jaar excl. BTW]],Totalisatie[[#This Row],[Code Locatie]],Overzichtsanitair[Kosten/jaar excl. BTW])</f>
        <v>0</v>
      </c>
      <c r="G14" s="193">
        <f ca="1">SUM(Totalisatie[[#This Row],[Schoonmaakonderhoud
Kosten / jaar]:[Sanitaire voorzieningen kosten / jaar]])</f>
        <v>0</v>
      </c>
    </row>
    <row r="15" spans="1:8" ht="18.75" customHeight="1">
      <c r="A15" s="188">
        <v>2</v>
      </c>
      <c r="B15" s="189" t="str">
        <f>VLOOKUP(Totalisatie[[#This Row],[Code Locatie]],Locaties[],2,0)</f>
        <v>Novalis College nieuwbouw</v>
      </c>
      <c r="C15" s="193">
        <f>SUMIF('Ruimtestaat'!A:A,Totalisatie[[#This Row],[Code Locatie]],'Ruimtestaat'!AF:AF)</f>
        <v>0</v>
      </c>
      <c r="D15" s="195">
        <f>SUMIF(Glasbewassing!$A$23:$A$38,Totalisatie[[#This Row],[Code Locatie]],Glasbewassing!$G$23:$G$38)</f>
        <v>0</v>
      </c>
      <c r="E15" s="242">
        <f>SUMIF(Vloeronderhoud!$A$19:$A$37,Totalisatie[[#This Row],[Code Locatie]],Vloeronderhoud!$H$19:$H$37)</f>
        <v>0</v>
      </c>
      <c r="F15" s="242">
        <f ca="1">SUMIF(Overzichtsanitair[[Code Locatie]:[Kosten/jaar excl. BTW]],Totalisatie[[#This Row],[Code Locatie]],Overzichtsanitair[Kosten/jaar excl. BTW])</f>
        <v>0</v>
      </c>
      <c r="G15" s="193">
        <f ca="1">SUM(Totalisatie[[#This Row],[Schoonmaakonderhoud
Kosten / jaar]:[Sanitaire voorzieningen kosten / jaar]])</f>
        <v>0</v>
      </c>
    </row>
    <row r="16" spans="1:8" ht="18.75" customHeight="1">
      <c r="A16" s="188">
        <v>3</v>
      </c>
      <c r="B16" s="189" t="str">
        <f>VLOOKUP(Totalisatie[[#This Row],[Code Locatie]],Locaties[],2,0)</f>
        <v>Karel de Grote College</v>
      </c>
      <c r="C16" s="193">
        <f>SUMIF('Ruimtestaat'!A:A,Totalisatie[[#This Row],[Code Locatie]],'Ruimtestaat'!AF:AF)</f>
        <v>0</v>
      </c>
      <c r="D16" s="195">
        <f>SUMIF(Glasbewassing!$A$23:$A$38,Totalisatie[[#This Row],[Code Locatie]],Glasbewassing!$G$23:$G$38)</f>
        <v>0</v>
      </c>
      <c r="E16" s="242">
        <f>SUMIF(Vloeronderhoud!$A$19:$A$37,Totalisatie[[#This Row],[Code Locatie]],Vloeronderhoud!$H$19:$H$37)</f>
        <v>0</v>
      </c>
      <c r="F16" s="242">
        <f ca="1">SUMIF(Overzichtsanitair[[Code Locatie]:[Kosten/jaar excl. BTW]],Totalisatie[[#This Row],[Code Locatie]],Overzichtsanitair[Kosten/jaar excl. BTW])</f>
        <v>0</v>
      </c>
      <c r="G16" s="193">
        <f ca="1">SUM(Totalisatie[[#This Row],[Schoonmaakonderhoud
Kosten / jaar]:[Sanitaire voorzieningen kosten / jaar]])</f>
        <v>0</v>
      </c>
    </row>
    <row r="17" spans="1:8" ht="18.75" customHeight="1">
      <c r="A17" s="181"/>
      <c r="B17" s="182" t="s">
        <v>33</v>
      </c>
      <c r="C17" s="185">
        <f>SUBTOTAL(109,Totalisatie[Schoonmaakonderhoud
Kosten / jaar])</f>
        <v>0</v>
      </c>
      <c r="D17" s="185">
        <f>SUBTOTAL(109,Totalisatie[Glasbewassing
Kosten / jaar])</f>
        <v>0</v>
      </c>
      <c r="E17" s="185">
        <f>SUBTOTAL(109,Totalisatie[Vloeronderhoud
Kosten / jaar])</f>
        <v>0</v>
      </c>
      <c r="F17" s="185">
        <f ca="1">SUBTOTAL(109,Totalisatie[Sanitaire voorzieningen kosten / jaar])</f>
        <v>0</v>
      </c>
      <c r="G17" s="185">
        <f ca="1">SUBTOTAL(109,Totalisatie[Totaalprijs
Kosten / jaar])</f>
        <v>0</v>
      </c>
    </row>
    <row r="18" spans="1:8" ht="18.75" customHeight="1">
      <c r="A18" s="141"/>
      <c r="B18" s="3"/>
    </row>
    <row r="19" spans="1:8" ht="18.75" customHeight="1">
      <c r="A19" s="141"/>
      <c r="B19" s="3"/>
    </row>
    <row r="20" spans="1:8" ht="12.75">
      <c r="A20" s="95" t="s">
        <v>224</v>
      </c>
      <c r="B20" s="3"/>
      <c r="H20" s="158"/>
    </row>
    <row r="21" spans="1:8" ht="18.75" customHeight="1">
      <c r="A21" s="325" t="s">
        <v>228</v>
      </c>
      <c r="B21" s="326"/>
      <c r="C21" s="327" t="s">
        <v>432</v>
      </c>
      <c r="D21" s="327"/>
      <c r="E21" s="327"/>
      <c r="F21" s="327"/>
      <c r="G21" s="328"/>
    </row>
    <row r="22" spans="1:8" ht="18.75" customHeight="1">
      <c r="A22" s="142" t="s">
        <v>133</v>
      </c>
      <c r="B22" s="329" t="s">
        <v>235</v>
      </c>
      <c r="C22" s="330"/>
      <c r="D22" s="142" t="s">
        <v>133</v>
      </c>
      <c r="E22" s="329" t="s">
        <v>235</v>
      </c>
      <c r="F22" s="333"/>
      <c r="G22" s="330"/>
    </row>
    <row r="23" spans="1:8" ht="18.75" customHeight="1">
      <c r="A23" s="143" t="s">
        <v>225</v>
      </c>
      <c r="B23" s="331" t="s">
        <v>235</v>
      </c>
      <c r="C23" s="332"/>
      <c r="D23" s="143" t="s">
        <v>225</v>
      </c>
      <c r="E23" s="331" t="s">
        <v>235</v>
      </c>
      <c r="F23" s="334"/>
      <c r="G23" s="332"/>
    </row>
    <row r="24" spans="1:8" ht="18.75" customHeight="1">
      <c r="A24" s="142" t="s">
        <v>226</v>
      </c>
      <c r="B24" s="329" t="s">
        <v>235</v>
      </c>
      <c r="C24" s="330"/>
      <c r="D24" s="142" t="s">
        <v>226</v>
      </c>
      <c r="E24" s="329" t="s">
        <v>235</v>
      </c>
      <c r="F24" s="333"/>
      <c r="G24" s="330"/>
    </row>
    <row r="25" spans="1:8" ht="37.5" customHeight="1">
      <c r="A25" s="143" t="s">
        <v>227</v>
      </c>
      <c r="B25" s="331" t="s">
        <v>235</v>
      </c>
      <c r="C25" s="332"/>
      <c r="D25" s="143" t="s">
        <v>227</v>
      </c>
      <c r="E25" s="322" t="s">
        <v>235</v>
      </c>
      <c r="F25" s="323"/>
      <c r="G25" s="324"/>
    </row>
    <row r="26" spans="1:8" ht="18.75" customHeight="1">
      <c r="A26" s="142" t="s">
        <v>230</v>
      </c>
      <c r="B26" s="144"/>
      <c r="C26" s="145"/>
      <c r="D26" s="146"/>
      <c r="E26" s="147"/>
      <c r="F26" s="147"/>
      <c r="G26" s="148"/>
    </row>
  </sheetData>
  <mergeCells count="12">
    <mergeCell ref="A1:H1"/>
    <mergeCell ref="A2:H2"/>
    <mergeCell ref="E25:G25"/>
    <mergeCell ref="A21:B21"/>
    <mergeCell ref="C21:G21"/>
    <mergeCell ref="B22:C22"/>
    <mergeCell ref="B23:C23"/>
    <mergeCell ref="B24:C24"/>
    <mergeCell ref="B25:C25"/>
    <mergeCell ref="E22:G22"/>
    <mergeCell ref="E23:G23"/>
    <mergeCell ref="E24:G2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/>
  </sheetViews>
  <sheetFormatPr defaultColWidth="9" defaultRowHeight="12.75"/>
  <cols>
    <col min="1" max="1" width="52" style="208" customWidth="1"/>
    <col min="2" max="2" width="33.28515625" style="208" customWidth="1"/>
    <col min="3" max="3" width="37.42578125" style="208" bestFit="1" customWidth="1"/>
    <col min="4" max="16384" width="9" style="202"/>
  </cols>
  <sheetData>
    <row r="1" spans="1:3" ht="22.5">
      <c r="A1" s="225" t="s">
        <v>431</v>
      </c>
      <c r="B1" s="225"/>
      <c r="C1" s="225"/>
    </row>
    <row r="2" spans="1:3">
      <c r="A2" s="225" t="s">
        <v>279</v>
      </c>
      <c r="B2" s="225" t="s">
        <v>280</v>
      </c>
      <c r="C2" s="225" t="s">
        <v>391</v>
      </c>
    </row>
    <row r="3" spans="1:3">
      <c r="A3" s="225" t="s">
        <v>284</v>
      </c>
      <c r="B3" s="225"/>
      <c r="C3" s="225"/>
    </row>
    <row r="4" spans="1:3">
      <c r="A4" s="203" t="s">
        <v>287</v>
      </c>
      <c r="B4" s="203" t="s">
        <v>288</v>
      </c>
      <c r="C4" s="204" t="s">
        <v>392</v>
      </c>
    </row>
    <row r="5" spans="1:3">
      <c r="A5" s="203" t="s">
        <v>293</v>
      </c>
      <c r="B5" s="203" t="s">
        <v>288</v>
      </c>
      <c r="C5" s="204" t="s">
        <v>392</v>
      </c>
    </row>
    <row r="6" spans="1:3" ht="15.75" customHeight="1">
      <c r="A6" s="203" t="s">
        <v>301</v>
      </c>
      <c r="B6" s="203" t="s">
        <v>288</v>
      </c>
      <c r="C6" s="204" t="s">
        <v>392</v>
      </c>
    </row>
    <row r="7" spans="1:3">
      <c r="A7" s="203" t="s">
        <v>303</v>
      </c>
      <c r="B7" s="203" t="s">
        <v>288</v>
      </c>
      <c r="C7" s="204" t="s">
        <v>392</v>
      </c>
    </row>
    <row r="8" spans="1:3">
      <c r="A8" s="205" t="s">
        <v>305</v>
      </c>
      <c r="B8" s="205" t="s">
        <v>288</v>
      </c>
      <c r="C8" s="206" t="s">
        <v>392</v>
      </c>
    </row>
    <row r="9" spans="1:3">
      <c r="A9" s="203" t="s">
        <v>307</v>
      </c>
      <c r="B9" s="203" t="s">
        <v>288</v>
      </c>
      <c r="C9" s="204" t="s">
        <v>392</v>
      </c>
    </row>
    <row r="10" spans="1:3">
      <c r="A10" s="203" t="s">
        <v>309</v>
      </c>
      <c r="B10" s="203" t="s">
        <v>297</v>
      </c>
      <c r="C10" s="204" t="s">
        <v>392</v>
      </c>
    </row>
    <row r="11" spans="1:3">
      <c r="A11" s="203" t="s">
        <v>311</v>
      </c>
      <c r="B11" s="203" t="s">
        <v>288</v>
      </c>
      <c r="C11" s="204" t="s">
        <v>392</v>
      </c>
    </row>
    <row r="12" spans="1:3">
      <c r="A12" s="203" t="s">
        <v>313</v>
      </c>
      <c r="B12" s="203" t="s">
        <v>288</v>
      </c>
      <c r="C12" s="204" t="s">
        <v>392</v>
      </c>
    </row>
    <row r="13" spans="1:3">
      <c r="A13" s="203" t="s">
        <v>315</v>
      </c>
      <c r="B13" s="203" t="s">
        <v>297</v>
      </c>
      <c r="C13" s="204" t="s">
        <v>392</v>
      </c>
    </row>
    <row r="14" spans="1:3">
      <c r="A14" s="203" t="s">
        <v>316</v>
      </c>
      <c r="B14" s="203" t="s">
        <v>288</v>
      </c>
      <c r="C14" s="204" t="s">
        <v>392</v>
      </c>
    </row>
    <row r="15" spans="1:3">
      <c r="A15" s="203" t="s">
        <v>317</v>
      </c>
      <c r="B15" s="203" t="s">
        <v>288</v>
      </c>
      <c r="C15" s="204" t="s">
        <v>392</v>
      </c>
    </row>
    <row r="16" spans="1:3">
      <c r="A16" s="203" t="s">
        <v>322</v>
      </c>
      <c r="B16" s="203" t="s">
        <v>288</v>
      </c>
      <c r="C16" s="204" t="s">
        <v>392</v>
      </c>
    </row>
    <row r="17" spans="1:3">
      <c r="A17" s="203" t="s">
        <v>324</v>
      </c>
      <c r="B17" s="203" t="s">
        <v>297</v>
      </c>
      <c r="C17" s="204" t="s">
        <v>392</v>
      </c>
    </row>
    <row r="18" spans="1:3">
      <c r="A18" s="203" t="s">
        <v>327</v>
      </c>
      <c r="B18" s="203" t="s">
        <v>297</v>
      </c>
      <c r="C18" s="204" t="s">
        <v>392</v>
      </c>
    </row>
    <row r="19" spans="1:3">
      <c r="A19" s="203" t="s">
        <v>329</v>
      </c>
      <c r="B19" s="203" t="s">
        <v>297</v>
      </c>
      <c r="C19" s="204" t="s">
        <v>392</v>
      </c>
    </row>
    <row r="20" spans="1:3">
      <c r="A20" s="203" t="s">
        <v>330</v>
      </c>
      <c r="B20" s="203" t="s">
        <v>288</v>
      </c>
      <c r="C20" s="204" t="s">
        <v>392</v>
      </c>
    </row>
    <row r="21" spans="1:3">
      <c r="A21" s="203" t="s">
        <v>331</v>
      </c>
      <c r="B21" s="203" t="s">
        <v>297</v>
      </c>
      <c r="C21" s="204" t="s">
        <v>392</v>
      </c>
    </row>
    <row r="22" spans="1:3">
      <c r="A22" s="203" t="s">
        <v>340</v>
      </c>
      <c r="B22" s="203" t="s">
        <v>297</v>
      </c>
      <c r="C22" s="204" t="s">
        <v>392</v>
      </c>
    </row>
    <row r="23" spans="1:3">
      <c r="A23" s="203" t="s">
        <v>344</v>
      </c>
      <c r="B23" s="203" t="s">
        <v>288</v>
      </c>
      <c r="C23" s="204" t="s">
        <v>392</v>
      </c>
    </row>
    <row r="24" spans="1:3">
      <c r="A24" s="203" t="s">
        <v>346</v>
      </c>
      <c r="B24" s="203" t="s">
        <v>297</v>
      </c>
      <c r="C24" s="204" t="s">
        <v>392</v>
      </c>
    </row>
    <row r="25" spans="1:3">
      <c r="A25" s="203" t="s">
        <v>355</v>
      </c>
      <c r="B25" s="203" t="s">
        <v>297</v>
      </c>
      <c r="C25" s="204" t="s">
        <v>392</v>
      </c>
    </row>
    <row r="26" spans="1:3">
      <c r="A26" s="203" t="s">
        <v>348</v>
      </c>
      <c r="B26" s="203" t="s">
        <v>297</v>
      </c>
      <c r="C26" s="204" t="s">
        <v>392</v>
      </c>
    </row>
    <row r="27" spans="1:3">
      <c r="A27" s="203" t="s">
        <v>393</v>
      </c>
      <c r="B27" s="203" t="s">
        <v>288</v>
      </c>
      <c r="C27" s="204" t="s">
        <v>392</v>
      </c>
    </row>
    <row r="28" spans="1:3">
      <c r="A28" s="225" t="s">
        <v>357</v>
      </c>
      <c r="B28" s="225"/>
      <c r="C28" s="225"/>
    </row>
    <row r="29" spans="1:3">
      <c r="A29" s="203" t="s">
        <v>364</v>
      </c>
      <c r="B29" s="203" t="s">
        <v>297</v>
      </c>
      <c r="C29" s="204" t="s">
        <v>392</v>
      </c>
    </row>
    <row r="30" spans="1:3">
      <c r="A30" s="203" t="s">
        <v>367</v>
      </c>
      <c r="B30" s="203" t="s">
        <v>297</v>
      </c>
      <c r="C30" s="204" t="s">
        <v>392</v>
      </c>
    </row>
    <row r="31" spans="1:3">
      <c r="A31" s="203" t="s">
        <v>369</v>
      </c>
      <c r="B31" s="203" t="s">
        <v>297</v>
      </c>
      <c r="C31" s="204" t="s">
        <v>392</v>
      </c>
    </row>
    <row r="32" spans="1:3">
      <c r="A32" s="203" t="s">
        <v>370</v>
      </c>
      <c r="B32" s="203" t="s">
        <v>297</v>
      </c>
      <c r="C32" s="204" t="s">
        <v>392</v>
      </c>
    </row>
    <row r="33" spans="1:3">
      <c r="A33" s="203" t="s">
        <v>372</v>
      </c>
      <c r="B33" s="203" t="s">
        <v>297</v>
      </c>
      <c r="C33" s="204" t="s">
        <v>392</v>
      </c>
    </row>
    <row r="34" spans="1:3">
      <c r="A34" s="203" t="s">
        <v>374</v>
      </c>
      <c r="B34" s="203" t="s">
        <v>297</v>
      </c>
      <c r="C34" s="204" t="s">
        <v>392</v>
      </c>
    </row>
    <row r="35" spans="1:3">
      <c r="A35" s="203" t="s">
        <v>376</v>
      </c>
      <c r="B35" s="203" t="s">
        <v>297</v>
      </c>
      <c r="C35" s="204" t="s">
        <v>392</v>
      </c>
    </row>
    <row r="36" spans="1:3">
      <c r="A36" s="203" t="s">
        <v>377</v>
      </c>
      <c r="B36" s="203" t="s">
        <v>297</v>
      </c>
      <c r="C36" s="204" t="s">
        <v>392</v>
      </c>
    </row>
    <row r="37" spans="1:3">
      <c r="A37" s="203" t="s">
        <v>423</v>
      </c>
      <c r="B37" s="203" t="s">
        <v>297</v>
      </c>
      <c r="C37" s="204" t="s">
        <v>422</v>
      </c>
    </row>
    <row r="38" spans="1:3">
      <c r="A38" s="225" t="s">
        <v>379</v>
      </c>
      <c r="B38" s="225"/>
      <c r="C38" s="225"/>
    </row>
    <row r="39" spans="1:3">
      <c r="A39" s="203" t="s">
        <v>381</v>
      </c>
      <c r="B39" s="203" t="s">
        <v>297</v>
      </c>
      <c r="C39" s="204" t="s">
        <v>394</v>
      </c>
    </row>
    <row r="40" spans="1:3">
      <c r="A40" s="203" t="s">
        <v>277</v>
      </c>
      <c r="B40" s="203" t="s">
        <v>297</v>
      </c>
      <c r="C40" s="204" t="s">
        <v>394</v>
      </c>
    </row>
    <row r="41" spans="1:3">
      <c r="A41" s="203" t="s">
        <v>38</v>
      </c>
      <c r="B41" s="203" t="s">
        <v>297</v>
      </c>
      <c r="C41" s="204" t="s">
        <v>394</v>
      </c>
    </row>
    <row r="42" spans="1:3">
      <c r="A42" s="203"/>
      <c r="B42" s="203"/>
      <c r="C42" s="204"/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Normal="100" zoomScaleSheetLayoutView="100" workbookViewId="0">
      <selection activeCell="A2" sqref="A2:A3"/>
    </sheetView>
  </sheetViews>
  <sheetFormatPr defaultColWidth="9.140625" defaultRowHeight="15" customHeight="1"/>
  <cols>
    <col min="1" max="1" width="133.7109375" style="9" bestFit="1" customWidth="1"/>
    <col min="2" max="2" width="125.42578125" style="9" customWidth="1"/>
    <col min="3" max="3" width="7.5703125" style="9" customWidth="1"/>
    <col min="4" max="4" width="29" style="9" bestFit="1" customWidth="1"/>
    <col min="5" max="5" width="5.7109375" style="9" customWidth="1"/>
    <col min="6" max="6" width="9.140625" style="9"/>
    <col min="7" max="7" width="17.85546875" style="9" bestFit="1" customWidth="1"/>
    <col min="8" max="10" width="9.140625" style="9"/>
    <col min="11" max="11" width="19.7109375" style="9" customWidth="1"/>
    <col min="12" max="16384" width="9.140625" style="9"/>
  </cols>
  <sheetData>
    <row r="1" spans="1:1" ht="15" customHeight="1">
      <c r="A1" s="99"/>
    </row>
    <row r="2" spans="1:1" ht="15" customHeight="1">
      <c r="A2" s="273" t="s">
        <v>430</v>
      </c>
    </row>
    <row r="3" spans="1:1" ht="15" customHeight="1">
      <c r="A3" s="274"/>
    </row>
    <row r="4" spans="1:1" ht="15" customHeight="1">
      <c r="A4" s="42" t="s">
        <v>411</v>
      </c>
    </row>
    <row r="5" spans="1:1" ht="15" customHeight="1">
      <c r="A5" s="42" t="s">
        <v>412</v>
      </c>
    </row>
    <row r="6" spans="1:1" ht="15" customHeight="1">
      <c r="A6" s="42" t="s">
        <v>413</v>
      </c>
    </row>
    <row r="7" spans="1:1" ht="15" customHeight="1">
      <c r="A7" s="42" t="s">
        <v>414</v>
      </c>
    </row>
    <row r="8" spans="1:1" ht="15" customHeight="1">
      <c r="A8" s="42" t="s">
        <v>210</v>
      </c>
    </row>
    <row r="9" spans="1:1" ht="15" customHeight="1">
      <c r="A9" s="199" t="s">
        <v>415</v>
      </c>
    </row>
    <row r="10" spans="1:1" ht="15" customHeight="1">
      <c r="A10" s="199" t="s">
        <v>416</v>
      </c>
    </row>
    <row r="11" spans="1:1" ht="15" customHeight="1">
      <c r="A11" s="199" t="s">
        <v>417</v>
      </c>
    </row>
    <row r="12" spans="1:1" ht="15" customHeight="1">
      <c r="A12" s="199" t="s">
        <v>418</v>
      </c>
    </row>
    <row r="13" spans="1:1" ht="15" customHeight="1">
      <c r="A13" s="199" t="s">
        <v>419</v>
      </c>
    </row>
    <row r="14" spans="1:1" ht="15" customHeight="1">
      <c r="A14" s="199" t="s">
        <v>420</v>
      </c>
    </row>
    <row r="15" spans="1:1" ht="15" customHeight="1">
      <c r="A15" s="42" t="s">
        <v>421</v>
      </c>
    </row>
    <row r="16" spans="1:1" ht="15" customHeight="1">
      <c r="A16" s="43" t="s">
        <v>425</v>
      </c>
    </row>
    <row r="17" spans="1:1" ht="15" customHeight="1">
      <c r="A17" s="199"/>
    </row>
  </sheetData>
  <dataConsolidate/>
  <mergeCells count="1">
    <mergeCell ref="A2:A3"/>
  </mergeCells>
  <phoneticPr fontId="19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8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9" customFormat="1" ht="26.25" customHeight="1">
      <c r="A1" s="296" t="s">
        <v>35</v>
      </c>
      <c r="B1" s="296"/>
      <c r="C1" s="296"/>
      <c r="D1" s="296"/>
      <c r="E1" s="296"/>
    </row>
    <row r="2" spans="1:17" s="9" customFormat="1" ht="15" customHeight="1">
      <c r="A2" s="297" t="s">
        <v>218</v>
      </c>
      <c r="B2" s="297"/>
      <c r="C2" s="297"/>
      <c r="D2" s="297"/>
      <c r="E2" s="297"/>
      <c r="G2" s="292" t="s">
        <v>407</v>
      </c>
      <c r="H2" s="292"/>
      <c r="I2" s="292"/>
      <c r="J2" s="292"/>
      <c r="K2" s="292"/>
      <c r="L2" s="292"/>
      <c r="M2" s="292"/>
      <c r="N2" s="292"/>
      <c r="O2" s="292"/>
      <c r="P2" s="292"/>
      <c r="Q2" s="292"/>
    </row>
    <row r="3" spans="1:17" ht="15" customHeight="1">
      <c r="E3" s="4"/>
      <c r="G3" s="225"/>
      <c r="H3" s="295">
        <v>2023</v>
      </c>
      <c r="I3" s="295"/>
      <c r="J3" s="293">
        <v>2024</v>
      </c>
      <c r="K3" s="294"/>
      <c r="L3" s="293">
        <v>2025</v>
      </c>
      <c r="M3" s="294"/>
      <c r="N3" s="293">
        <v>2026</v>
      </c>
      <c r="O3" s="294"/>
      <c r="P3" s="293">
        <v>2027</v>
      </c>
      <c r="Q3" s="294"/>
    </row>
    <row r="4" spans="1:17" s="8" customFormat="1" ht="26.25" customHeight="1">
      <c r="A4" s="285" t="s">
        <v>80</v>
      </c>
      <c r="B4" s="287"/>
      <c r="C4" s="100" t="s">
        <v>213</v>
      </c>
      <c r="D4" s="100" t="s">
        <v>229</v>
      </c>
      <c r="E4" s="100" t="s">
        <v>87</v>
      </c>
      <c r="G4" s="225" t="s">
        <v>406</v>
      </c>
      <c r="H4" s="225" t="s">
        <v>405</v>
      </c>
      <c r="I4" s="225" t="s">
        <v>404</v>
      </c>
      <c r="J4" s="225" t="s">
        <v>405</v>
      </c>
      <c r="K4" s="225" t="s">
        <v>404</v>
      </c>
      <c r="L4" s="225" t="s">
        <v>405</v>
      </c>
      <c r="M4" s="225" t="s">
        <v>404</v>
      </c>
      <c r="N4" s="225" t="s">
        <v>405</v>
      </c>
      <c r="O4" s="225" t="s">
        <v>404</v>
      </c>
      <c r="P4" s="225" t="s">
        <v>405</v>
      </c>
      <c r="Q4" s="225" t="s">
        <v>404</v>
      </c>
    </row>
    <row r="5" spans="1:17" ht="15" customHeight="1">
      <c r="A5" s="298" t="s">
        <v>103</v>
      </c>
      <c r="B5" s="299"/>
      <c r="C5" s="10">
        <v>0</v>
      </c>
      <c r="D5" s="11">
        <v>0</v>
      </c>
      <c r="E5" s="12">
        <f>C5*D5</f>
        <v>0</v>
      </c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</row>
    <row r="6" spans="1:17" ht="15" customHeight="1">
      <c r="A6" s="298" t="s">
        <v>70</v>
      </c>
      <c r="B6" s="299"/>
      <c r="C6" s="10">
        <v>0</v>
      </c>
      <c r="D6" s="11">
        <v>0</v>
      </c>
      <c r="E6" s="12">
        <f>C6*D6</f>
        <v>0</v>
      </c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</row>
    <row r="7" spans="1:17" ht="15" customHeight="1">
      <c r="A7" s="290" t="s">
        <v>71</v>
      </c>
      <c r="B7" s="291"/>
      <c r="C7" s="10">
        <v>0</v>
      </c>
      <c r="D7" s="11">
        <v>0</v>
      </c>
      <c r="E7" s="12">
        <f>C7*D7</f>
        <v>0</v>
      </c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</row>
    <row r="8" spans="1:17" ht="15" customHeight="1">
      <c r="A8" s="279" t="s">
        <v>72</v>
      </c>
      <c r="B8" s="281"/>
      <c r="C8" s="10">
        <v>0</v>
      </c>
      <c r="D8" s="11">
        <v>0</v>
      </c>
      <c r="E8" s="12">
        <f>C8*D8</f>
        <v>0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</row>
    <row r="9" spans="1:17" ht="15" customHeight="1">
      <c r="A9" s="290" t="s">
        <v>104</v>
      </c>
      <c r="B9" s="300"/>
      <c r="C9" s="291"/>
      <c r="D9" s="13">
        <f>SUM(D5:D8)</f>
        <v>0</v>
      </c>
      <c r="E9" s="12" t="str">
        <f>IF(SUM($D$5:$D$8)=100%,SUM(E5:E8),"    GEEN 100%")</f>
        <v xml:space="preserve">    GEEN 100%</v>
      </c>
      <c r="G9" s="214"/>
      <c r="H9" s="223"/>
      <c r="I9" s="214"/>
      <c r="J9" s="214"/>
      <c r="K9" s="214"/>
      <c r="L9" s="214"/>
      <c r="M9" s="214"/>
      <c r="N9" s="214"/>
      <c r="O9" s="214"/>
      <c r="P9" s="214"/>
      <c r="Q9" s="214"/>
    </row>
    <row r="10" spans="1:17" ht="15" customHeight="1">
      <c r="A10" s="288" t="s">
        <v>73</v>
      </c>
      <c r="B10" s="288"/>
      <c r="C10" s="288"/>
      <c r="D10" s="153" t="s">
        <v>3</v>
      </c>
      <c r="E10" s="155">
        <f>SUM(E9:E9)</f>
        <v>0</v>
      </c>
      <c r="G10" s="214" t="s">
        <v>403</v>
      </c>
      <c r="H10" s="223"/>
      <c r="I10" s="155">
        <f>(E10*H10)+E10</f>
        <v>0</v>
      </c>
      <c r="J10" s="223">
        <v>0</v>
      </c>
      <c r="K10" s="155">
        <f>(I10*J10)+I10</f>
        <v>0</v>
      </c>
      <c r="L10" s="223">
        <v>0</v>
      </c>
      <c r="M10" s="155">
        <f>(K10*L10)+K10</f>
        <v>0</v>
      </c>
      <c r="N10" s="223">
        <v>0</v>
      </c>
      <c r="O10" s="155">
        <f>(M10*N10)+M10</f>
        <v>0</v>
      </c>
      <c r="P10" s="223">
        <v>0</v>
      </c>
      <c r="Q10" s="155">
        <f>(O10*P10)+O10</f>
        <v>0</v>
      </c>
    </row>
    <row r="11" spans="1:17" ht="15" customHeight="1">
      <c r="A11" s="16"/>
      <c r="B11" s="17"/>
      <c r="C11" s="17"/>
      <c r="D11" s="17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</row>
    <row r="12" spans="1:17" s="8" customFormat="1" ht="26.25" customHeight="1">
      <c r="A12" s="285" t="s">
        <v>75</v>
      </c>
      <c r="B12" s="286"/>
      <c r="C12" s="287"/>
      <c r="D12" s="101" t="s">
        <v>84</v>
      </c>
      <c r="E12" s="100" t="s">
        <v>87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7" ht="15" customHeight="1">
      <c r="A13" s="289" t="s">
        <v>4</v>
      </c>
      <c r="B13" s="278"/>
      <c r="C13" s="278"/>
      <c r="D13" s="215">
        <v>0</v>
      </c>
      <c r="E13" s="15">
        <f>SUM($E$10*D13)</f>
        <v>0</v>
      </c>
      <c r="G13" s="233" t="s">
        <v>402</v>
      </c>
      <c r="H13" s="223"/>
      <c r="I13" s="218">
        <f>(E13*H13)+E13</f>
        <v>0</v>
      </c>
      <c r="J13" s="219"/>
      <c r="K13" s="218">
        <f>(I13*J13)+I13</f>
        <v>0</v>
      </c>
      <c r="L13" s="219"/>
      <c r="M13" s="218">
        <f>(K13*L13)+K13</f>
        <v>0</v>
      </c>
      <c r="N13" s="219"/>
      <c r="O13" s="218">
        <f>(M13*N13)+M13</f>
        <v>0</v>
      </c>
      <c r="P13" s="219"/>
      <c r="Q13" s="218">
        <f>(O13*P13)+O13</f>
        <v>0</v>
      </c>
    </row>
    <row r="14" spans="1:17" ht="15" customHeight="1">
      <c r="A14" s="278" t="s">
        <v>89</v>
      </c>
      <c r="B14" s="278"/>
      <c r="C14" s="278"/>
      <c r="D14" s="215">
        <v>0</v>
      </c>
      <c r="E14" s="15">
        <f>SUM($E$10*D14)</f>
        <v>0</v>
      </c>
      <c r="G14" s="233" t="s">
        <v>402</v>
      </c>
      <c r="H14" s="223"/>
      <c r="I14" s="218">
        <f>(E14*H14)+E14</f>
        <v>0</v>
      </c>
      <c r="J14" s="219"/>
      <c r="K14" s="218">
        <f>(I14*J14)+I14</f>
        <v>0</v>
      </c>
      <c r="L14" s="219"/>
      <c r="M14" s="218">
        <f>(K14*L14)+K14</f>
        <v>0</v>
      </c>
      <c r="N14" s="219"/>
      <c r="O14" s="218">
        <f>(M14*N14)+M14</f>
        <v>0</v>
      </c>
      <c r="P14" s="219"/>
      <c r="Q14" s="218">
        <f>(O14*P14)+O14</f>
        <v>0</v>
      </c>
    </row>
    <row r="15" spans="1:17" ht="15" customHeight="1">
      <c r="A15" s="278" t="s">
        <v>5</v>
      </c>
      <c r="B15" s="278"/>
      <c r="C15" s="278"/>
      <c r="D15" s="215">
        <v>0</v>
      </c>
      <c r="E15" s="15">
        <f>SUM($E$10*D15)</f>
        <v>0</v>
      </c>
      <c r="G15" s="233" t="s">
        <v>402</v>
      </c>
      <c r="H15" s="223"/>
      <c r="I15" s="218">
        <f>(E15*H15)+E15</f>
        <v>0</v>
      </c>
      <c r="J15" s="219"/>
      <c r="K15" s="218">
        <f>(I15*J15)+I15</f>
        <v>0</v>
      </c>
      <c r="L15" s="219"/>
      <c r="M15" s="218">
        <f>(K15*L15)+K15</f>
        <v>0</v>
      </c>
      <c r="N15" s="219"/>
      <c r="O15" s="218">
        <f>(M15*N15)+M15</f>
        <v>0</v>
      </c>
      <c r="P15" s="219"/>
      <c r="Q15" s="218">
        <f>(O15*P15)+O15</f>
        <v>0</v>
      </c>
    </row>
    <row r="16" spans="1:17" ht="15" customHeight="1">
      <c r="A16" s="278" t="s">
        <v>6</v>
      </c>
      <c r="B16" s="278"/>
      <c r="C16" s="278"/>
      <c r="D16" s="215">
        <v>0</v>
      </c>
      <c r="E16" s="15">
        <f>SUM($E$10*D16)</f>
        <v>0</v>
      </c>
      <c r="G16" s="233" t="s">
        <v>402</v>
      </c>
      <c r="H16" s="223"/>
      <c r="I16" s="218">
        <f>(E16*H16)+E16</f>
        <v>0</v>
      </c>
      <c r="J16" s="219"/>
      <c r="K16" s="218">
        <f>(I16*J16)+I16</f>
        <v>0</v>
      </c>
      <c r="L16" s="219"/>
      <c r="M16" s="218">
        <f>(K16*L16)+K16</f>
        <v>0</v>
      </c>
      <c r="N16" s="219"/>
      <c r="O16" s="218">
        <f>(M16*N16)+M16</f>
        <v>0</v>
      </c>
      <c r="P16" s="219"/>
      <c r="Q16" s="218">
        <f>(O16*P16)+O16</f>
        <v>0</v>
      </c>
    </row>
    <row r="17" spans="1:17" ht="15" customHeight="1">
      <c r="A17" s="282" t="s">
        <v>92</v>
      </c>
      <c r="B17" s="283"/>
      <c r="C17" s="284"/>
      <c r="D17" s="215">
        <v>0</v>
      </c>
      <c r="E17" s="15">
        <f>SUM($E$10*D17)</f>
        <v>0</v>
      </c>
      <c r="G17" s="233" t="s">
        <v>402</v>
      </c>
      <c r="H17" s="223"/>
      <c r="I17" s="218">
        <f>(E17*H17)+E17</f>
        <v>0</v>
      </c>
      <c r="J17" s="219"/>
      <c r="K17" s="218">
        <f>(I17*J17)+I17</f>
        <v>0</v>
      </c>
      <c r="L17" s="219"/>
      <c r="M17" s="218">
        <f>(K17*L17)+K17</f>
        <v>0</v>
      </c>
      <c r="N17" s="219"/>
      <c r="O17" s="218">
        <f>(M17*N17)+M17</f>
        <v>0</v>
      </c>
      <c r="P17" s="219"/>
      <c r="Q17" s="218">
        <f>(O17*P17)+O17</f>
        <v>0</v>
      </c>
    </row>
    <row r="18" spans="1:17" ht="15" customHeight="1">
      <c r="A18" s="288" t="s">
        <v>81</v>
      </c>
      <c r="B18" s="288"/>
      <c r="C18" s="288"/>
      <c r="D18" s="156"/>
      <c r="E18" s="157">
        <f>SUM(E13:E17)</f>
        <v>0</v>
      </c>
      <c r="G18" s="214"/>
      <c r="H18" s="214"/>
      <c r="I18" s="157">
        <f>SUM(I13:I17)</f>
        <v>0</v>
      </c>
      <c r="J18" s="214"/>
      <c r="K18" s="157">
        <f>SUM(K13:K17)</f>
        <v>0</v>
      </c>
      <c r="L18" s="214"/>
      <c r="M18" s="157">
        <f>SUM(M13:M17)</f>
        <v>0</v>
      </c>
      <c r="N18" s="214"/>
      <c r="O18" s="157">
        <f>SUM(O13:O17)</f>
        <v>0</v>
      </c>
      <c r="P18" s="214"/>
      <c r="Q18" s="157">
        <f>SUM(Q13:Q17)</f>
        <v>0</v>
      </c>
    </row>
    <row r="19" spans="1:17" ht="15" customHeight="1">
      <c r="D19" s="19"/>
      <c r="E19" s="20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</row>
    <row r="20" spans="1:17" s="8" customFormat="1" ht="26.25" customHeight="1">
      <c r="A20" s="285" t="s">
        <v>76</v>
      </c>
      <c r="B20" s="286"/>
      <c r="C20" s="287"/>
      <c r="D20" s="101" t="s">
        <v>85</v>
      </c>
      <c r="E20" s="100" t="s">
        <v>87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15" customHeight="1">
      <c r="A21" s="278" t="s">
        <v>7</v>
      </c>
      <c r="B21" s="278"/>
      <c r="C21" s="278"/>
      <c r="D21" s="224" t="e">
        <f>E21/$E$35</f>
        <v>#DIV/0!</v>
      </c>
      <c r="E21" s="221">
        <v>0</v>
      </c>
      <c r="G21" s="214" t="s">
        <v>402</v>
      </c>
      <c r="H21" s="223"/>
      <c r="I21" s="218">
        <f>(E21*H21)+E21</f>
        <v>0</v>
      </c>
      <c r="J21" s="219"/>
      <c r="K21" s="218">
        <f>(I21*J21)+I21</f>
        <v>0</v>
      </c>
      <c r="L21" s="219"/>
      <c r="M21" s="218">
        <f>(K21*L21)+K21</f>
        <v>0</v>
      </c>
      <c r="N21" s="219"/>
      <c r="O21" s="218">
        <f>(M21*N21)+M21</f>
        <v>0</v>
      </c>
      <c r="P21" s="219"/>
      <c r="Q21" s="218">
        <f>(O21*P21)+O21</f>
        <v>0</v>
      </c>
    </row>
    <row r="22" spans="1:17" ht="15" customHeight="1">
      <c r="A22" s="289" t="s">
        <v>8</v>
      </c>
      <c r="B22" s="278"/>
      <c r="C22" s="278"/>
      <c r="D22" s="224" t="e">
        <f>E22/$E$35</f>
        <v>#DIV/0!</v>
      </c>
      <c r="E22" s="221">
        <v>0</v>
      </c>
      <c r="G22" s="214" t="s">
        <v>402</v>
      </c>
      <c r="H22" s="223"/>
      <c r="I22" s="218">
        <f>(E22*H22)+E22</f>
        <v>0</v>
      </c>
      <c r="J22" s="219"/>
      <c r="K22" s="218">
        <f>(I22*J22)+I22</f>
        <v>0</v>
      </c>
      <c r="L22" s="219"/>
      <c r="M22" s="218">
        <f>(K22*L22)+K22</f>
        <v>0</v>
      </c>
      <c r="N22" s="219"/>
      <c r="O22" s="218">
        <f>(M22*N22)+M22</f>
        <v>0</v>
      </c>
      <c r="P22" s="219"/>
      <c r="Q22" s="218">
        <f>(O22*P22)+O22</f>
        <v>0</v>
      </c>
    </row>
    <row r="23" spans="1:17" ht="15" customHeight="1">
      <c r="A23" s="278" t="s">
        <v>9</v>
      </c>
      <c r="B23" s="278"/>
      <c r="C23" s="278"/>
      <c r="D23" s="224" t="e">
        <f>E23/$E$35</f>
        <v>#DIV/0!</v>
      </c>
      <c r="E23" s="221">
        <v>0</v>
      </c>
      <c r="G23" s="214" t="s">
        <v>402</v>
      </c>
      <c r="H23" s="223"/>
      <c r="I23" s="220">
        <f>(E23*H23)+E23</f>
        <v>0</v>
      </c>
      <c r="J23" s="219"/>
      <c r="K23" s="218">
        <f>(I23*J23)+I23</f>
        <v>0</v>
      </c>
      <c r="L23" s="219"/>
      <c r="M23" s="218">
        <f>(K23*L23)+K23</f>
        <v>0</v>
      </c>
      <c r="N23" s="219"/>
      <c r="O23" s="218">
        <f>(M23*N23)+M23</f>
        <v>0</v>
      </c>
      <c r="P23" s="219"/>
      <c r="Q23" s="218">
        <f>(O23*P23)+O23</f>
        <v>0</v>
      </c>
    </row>
    <row r="24" spans="1:17" ht="15" customHeight="1">
      <c r="A24" s="279" t="s">
        <v>10</v>
      </c>
      <c r="B24" s="280"/>
      <c r="C24" s="281"/>
      <c r="D24" s="215">
        <v>0</v>
      </c>
      <c r="E24" s="14">
        <f>D24*$E$10</f>
        <v>0</v>
      </c>
      <c r="G24" s="214" t="s">
        <v>403</v>
      </c>
      <c r="H24" s="223"/>
      <c r="I24" s="218">
        <f>(E24*H24)+E24</f>
        <v>0</v>
      </c>
      <c r="J24" s="219"/>
      <c r="K24" s="218">
        <f>(I24*J24)+I24</f>
        <v>0</v>
      </c>
      <c r="L24" s="219"/>
      <c r="M24" s="218">
        <f>(K24*L24)+K24</f>
        <v>0</v>
      </c>
      <c r="N24" s="219"/>
      <c r="O24" s="218">
        <f>(M24*N24)+M24</f>
        <v>0</v>
      </c>
      <c r="P24" s="219"/>
      <c r="Q24" s="218">
        <f>(O24*P24)+O24</f>
        <v>0</v>
      </c>
    </row>
    <row r="25" spans="1:17" ht="15" customHeight="1">
      <c r="A25" s="282" t="s">
        <v>90</v>
      </c>
      <c r="B25" s="283"/>
      <c r="C25" s="284"/>
      <c r="D25" s="224" t="e">
        <f>E25/$E$35</f>
        <v>#DIV/0!</v>
      </c>
      <c r="E25" s="221">
        <v>0</v>
      </c>
      <c r="G25" s="214" t="s">
        <v>402</v>
      </c>
      <c r="H25" s="223"/>
      <c r="I25" s="220">
        <f>(E25*H25)+E25</f>
        <v>0</v>
      </c>
      <c r="J25" s="219"/>
      <c r="K25" s="218">
        <f>(I25*J25)+I25</f>
        <v>0</v>
      </c>
      <c r="L25" s="219"/>
      <c r="M25" s="218">
        <f>(K25*L25)+K25</f>
        <v>0</v>
      </c>
      <c r="N25" s="219"/>
      <c r="O25" s="218">
        <f>(M25*N25)+M25</f>
        <v>0</v>
      </c>
      <c r="P25" s="219"/>
      <c r="Q25" s="218">
        <f>(O25*P25)+O25</f>
        <v>0</v>
      </c>
    </row>
    <row r="26" spans="1:17" ht="15" customHeight="1">
      <c r="A26" s="288" t="s">
        <v>82</v>
      </c>
      <c r="B26" s="288"/>
      <c r="C26" s="288"/>
      <c r="D26" s="153" t="s">
        <v>3</v>
      </c>
      <c r="E26" s="155">
        <f>SUM(E21:E25)</f>
        <v>0</v>
      </c>
      <c r="G26" s="214"/>
      <c r="H26" s="214"/>
      <c r="I26" s="155">
        <f>SUM(I21:I25)</f>
        <v>0</v>
      </c>
      <c r="J26" s="214"/>
      <c r="K26" s="155">
        <f>SUM(K21:K25)</f>
        <v>0</v>
      </c>
      <c r="L26" s="214"/>
      <c r="M26" s="155">
        <f>SUM(M21:M25)</f>
        <v>0</v>
      </c>
      <c r="N26" s="214"/>
      <c r="O26" s="155">
        <f>SUM(O21:O25)</f>
        <v>0</v>
      </c>
      <c r="P26" s="214"/>
      <c r="Q26" s="155">
        <f>SUM(Q21:Q25)</f>
        <v>0</v>
      </c>
    </row>
    <row r="27" spans="1:17" ht="15" customHeight="1">
      <c r="A27" s="21"/>
      <c r="B27" s="21"/>
      <c r="C27" s="21"/>
      <c r="D27" s="22"/>
      <c r="E27" s="23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</row>
    <row r="28" spans="1:17" s="8" customFormat="1" ht="26.25" customHeight="1">
      <c r="A28" s="285" t="s">
        <v>77</v>
      </c>
      <c r="B28" s="286"/>
      <c r="C28" s="287"/>
      <c r="D28" s="101" t="s">
        <v>85</v>
      </c>
      <c r="E28" s="100" t="s">
        <v>87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5" customHeight="1">
      <c r="A29" s="289" t="s">
        <v>11</v>
      </c>
      <c r="B29" s="278"/>
      <c r="C29" s="278"/>
      <c r="D29" s="215">
        <v>0</v>
      </c>
      <c r="E29" s="14">
        <f>D29*($E$18+$E$10)</f>
        <v>0</v>
      </c>
      <c r="G29" s="233" t="s">
        <v>402</v>
      </c>
      <c r="H29" s="223"/>
      <c r="I29" s="218">
        <f>(E29*H29)+E29</f>
        <v>0</v>
      </c>
      <c r="J29" s="219"/>
      <c r="K29" s="218">
        <f>(I29*J29)+I29</f>
        <v>0</v>
      </c>
      <c r="L29" s="219"/>
      <c r="M29" s="218">
        <f>(K29*L29)+K29</f>
        <v>0</v>
      </c>
      <c r="N29" s="219"/>
      <c r="O29" s="218">
        <f>(M29*N29)+M29</f>
        <v>0</v>
      </c>
      <c r="P29" s="219"/>
      <c r="Q29" s="218">
        <f>(O29*P29)+O29</f>
        <v>0</v>
      </c>
    </row>
    <row r="30" spans="1:17" ht="15" customHeight="1">
      <c r="A30" s="289" t="s">
        <v>78</v>
      </c>
      <c r="B30" s="278"/>
      <c r="C30" s="278"/>
      <c r="D30" s="222" t="e">
        <f>E30/$E$35</f>
        <v>#DIV/0!</v>
      </c>
      <c r="E30" s="221">
        <v>0</v>
      </c>
      <c r="G30" s="214" t="s">
        <v>402</v>
      </c>
      <c r="H30" s="223"/>
      <c r="I30" s="220">
        <f>(E30*H30)+E30</f>
        <v>0</v>
      </c>
      <c r="J30" s="219"/>
      <c r="K30" s="218">
        <f>(I30*J30)+I30</f>
        <v>0</v>
      </c>
      <c r="L30" s="219"/>
      <c r="M30" s="218">
        <f>(K30*L30)+K30</f>
        <v>0</v>
      </c>
      <c r="N30" s="219"/>
      <c r="O30" s="218">
        <f>(M30*N30)+M30</f>
        <v>0</v>
      </c>
      <c r="P30" s="219"/>
      <c r="Q30" s="218">
        <f>(O30*P30)+O30</f>
        <v>0</v>
      </c>
    </row>
    <row r="31" spans="1:17" ht="15" customHeight="1">
      <c r="A31" s="282" t="s">
        <v>91</v>
      </c>
      <c r="B31" s="283"/>
      <c r="C31" s="284"/>
      <c r="D31" s="224" t="e">
        <f>E31/$E$35</f>
        <v>#DIV/0!</v>
      </c>
      <c r="E31" s="221">
        <v>0</v>
      </c>
      <c r="G31" s="214" t="s">
        <v>402</v>
      </c>
      <c r="H31" s="223"/>
      <c r="I31" s="220">
        <f>(E31*H31)+E31</f>
        <v>0</v>
      </c>
      <c r="J31" s="219"/>
      <c r="K31" s="218">
        <f>(I31*J31)+I31</f>
        <v>0</v>
      </c>
      <c r="L31" s="219"/>
      <c r="M31" s="218">
        <f>(K31*L31)+K31</f>
        <v>0</v>
      </c>
      <c r="N31" s="219"/>
      <c r="O31" s="218">
        <f>(M31*N31)+M31</f>
        <v>0</v>
      </c>
      <c r="P31" s="219"/>
      <c r="Q31" s="218">
        <f>(O31*P31)+O31</f>
        <v>0</v>
      </c>
    </row>
    <row r="32" spans="1:17" ht="15" customHeight="1">
      <c r="A32" s="278" t="s">
        <v>79</v>
      </c>
      <c r="B32" s="278"/>
      <c r="C32" s="278"/>
      <c r="D32" s="222" t="e">
        <f>E32/$E$35</f>
        <v>#DIV/0!</v>
      </c>
      <c r="E32" s="221">
        <v>0</v>
      </c>
      <c r="G32" s="214"/>
      <c r="H32" s="214"/>
      <c r="I32" s="220">
        <f>(E32*H32)+E32</f>
        <v>0</v>
      </c>
      <c r="J32" s="219"/>
      <c r="K32" s="218">
        <f>(I32*J32)+I32</f>
        <v>0</v>
      </c>
      <c r="L32" s="219"/>
      <c r="M32" s="218">
        <f>(K32*L32)+K32</f>
        <v>0</v>
      </c>
      <c r="N32" s="219"/>
      <c r="O32" s="218">
        <f>(M32*N32)+M32</f>
        <v>0</v>
      </c>
      <c r="P32" s="219"/>
      <c r="Q32" s="218">
        <f>(O32*P32)+O32</f>
        <v>0</v>
      </c>
    </row>
    <row r="33" spans="1:17" ht="15" customHeight="1">
      <c r="A33" s="288" t="s">
        <v>83</v>
      </c>
      <c r="B33" s="288"/>
      <c r="C33" s="288"/>
      <c r="D33" s="153"/>
      <c r="E33" s="154">
        <f>SUM(E29:E32)</f>
        <v>0</v>
      </c>
      <c r="G33" s="214"/>
      <c r="H33" s="214"/>
      <c r="I33" s="154">
        <f>SUM(I29:I32)</f>
        <v>0</v>
      </c>
      <c r="J33" s="214"/>
      <c r="K33" s="154">
        <f>SUM(K29:K32)</f>
        <v>0</v>
      </c>
      <c r="L33" s="214"/>
      <c r="M33" s="154">
        <f>SUM(M29:M32)</f>
        <v>0</v>
      </c>
      <c r="N33" s="214"/>
      <c r="O33" s="154">
        <f>SUM(O29:O32)</f>
        <v>0</v>
      </c>
      <c r="P33" s="214"/>
      <c r="Q33" s="154">
        <f>SUM(Q29:Q32)</f>
        <v>0</v>
      </c>
    </row>
    <row r="34" spans="1:17" ht="15" customHeight="1">
      <c r="A34" s="21"/>
      <c r="B34" s="21"/>
      <c r="C34" s="21"/>
      <c r="D34" s="22"/>
      <c r="E34" s="24"/>
      <c r="H34" s="214"/>
      <c r="I34" s="214"/>
      <c r="J34" s="214"/>
      <c r="K34" s="214"/>
      <c r="L34" s="214"/>
      <c r="M34" s="214"/>
      <c r="N34" s="214"/>
      <c r="O34" s="214"/>
      <c r="P34" s="214"/>
      <c r="Q34" s="214"/>
    </row>
    <row r="35" spans="1:17" ht="26.25" customHeight="1">
      <c r="A35" s="275" t="s">
        <v>102</v>
      </c>
      <c r="B35" s="276"/>
      <c r="C35" s="276"/>
      <c r="D35" s="277"/>
      <c r="E35" s="152">
        <v>0</v>
      </c>
      <c r="G35" s="28"/>
      <c r="H35" s="214"/>
      <c r="I35" s="152">
        <f>I33+I26+I18+I10</f>
        <v>0</v>
      </c>
      <c r="J35" s="214"/>
      <c r="K35" s="152">
        <f>K33+K26+K18+K10</f>
        <v>0</v>
      </c>
      <c r="L35" s="214"/>
      <c r="M35" s="152">
        <f>M33+M26+M18+M10</f>
        <v>0</v>
      </c>
      <c r="N35" s="214"/>
      <c r="O35" s="152">
        <f>O33+O26+O18+O10</f>
        <v>0</v>
      </c>
      <c r="P35" s="214"/>
      <c r="Q35" s="152">
        <f>Q33+Q26+Q18+Q10</f>
        <v>0</v>
      </c>
    </row>
    <row r="36" spans="1:17" ht="15" customHeight="1">
      <c r="D36" s="19"/>
      <c r="E36" s="20"/>
    </row>
    <row r="37" spans="1:17" ht="26.25" customHeight="1">
      <c r="A37" s="102" t="s">
        <v>86</v>
      </c>
      <c r="B37" s="103"/>
      <c r="C37" s="101" t="s">
        <v>101</v>
      </c>
      <c r="D37" s="101" t="s">
        <v>99</v>
      </c>
      <c r="E37" s="101" t="s">
        <v>100</v>
      </c>
      <c r="H37" s="101" t="s">
        <v>401</v>
      </c>
      <c r="I37" s="217" t="e">
        <f>(I35/E35)-100%</f>
        <v>#DIV/0!</v>
      </c>
      <c r="J37" s="101"/>
      <c r="K37" s="217" t="e">
        <f>(K35/I35)-100%</f>
        <v>#DIV/0!</v>
      </c>
      <c r="L37" s="101"/>
      <c r="M37" s="217" t="e">
        <f>(M35/K35)-100%</f>
        <v>#DIV/0!</v>
      </c>
      <c r="N37" s="101"/>
      <c r="O37" s="217" t="e">
        <f>(O35/M35)-100%</f>
        <v>#DIV/0!</v>
      </c>
      <c r="P37" s="101"/>
      <c r="Q37" s="217" t="e">
        <f>(Q35/O35)-100%</f>
        <v>#DIV/0!</v>
      </c>
    </row>
    <row r="38" spans="1:17" ht="15" customHeight="1">
      <c r="A38" s="214" t="s">
        <v>88</v>
      </c>
      <c r="B38" s="214" t="s">
        <v>94</v>
      </c>
      <c r="C38" s="25">
        <v>0</v>
      </c>
      <c r="D38" s="26">
        <v>0</v>
      </c>
      <c r="E38" s="27">
        <f>D38*121%</f>
        <v>0</v>
      </c>
      <c r="F38" s="28"/>
      <c r="H38" s="214"/>
      <c r="I38" s="12" t="e">
        <f>(D38*$I$37)+D38</f>
        <v>#DIV/0!</v>
      </c>
      <c r="J38" s="214"/>
      <c r="K38" s="12" t="e">
        <f>(I38*$K$37)+I38</f>
        <v>#DIV/0!</v>
      </c>
      <c r="L38" s="214"/>
      <c r="M38" s="12" t="e">
        <f>(K38*$M$37)+K38</f>
        <v>#DIV/0!</v>
      </c>
      <c r="N38" s="214"/>
      <c r="O38" s="12" t="e">
        <f>(M38*$O$37)+M38</f>
        <v>#DIV/0!</v>
      </c>
      <c r="P38" s="214"/>
      <c r="Q38" s="12" t="e">
        <f>(O38*$Q$37)+O38</f>
        <v>#DIV/0!</v>
      </c>
    </row>
    <row r="39" spans="1:17" ht="15" customHeight="1">
      <c r="A39" s="214" t="s">
        <v>93</v>
      </c>
      <c r="B39" s="214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214"/>
      <c r="K39" s="12" t="e">
        <f>(I39*$K$37)+I39</f>
        <v>#DIV/0!</v>
      </c>
      <c r="L39" s="214"/>
      <c r="M39" s="12" t="e">
        <f>(K39*$M$37)+K39</f>
        <v>#DIV/0!</v>
      </c>
      <c r="N39" s="214"/>
      <c r="O39" s="12" t="e">
        <f>(M39*$O$37)+M39</f>
        <v>#DIV/0!</v>
      </c>
      <c r="P39" s="214"/>
      <c r="Q39" s="12" t="e">
        <f>(O39*$Q$37)+O39</f>
        <v>#DIV/0!</v>
      </c>
    </row>
    <row r="40" spans="1:17" ht="15" customHeight="1">
      <c r="A40" s="214" t="s">
        <v>24</v>
      </c>
      <c r="B40" s="214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214"/>
      <c r="I40" s="12" t="e">
        <f>(D40*$I$37)+D40</f>
        <v>#DIV/0!</v>
      </c>
      <c r="J40" s="214"/>
      <c r="K40" s="12" t="e">
        <f>(I40*$K$37)+I40</f>
        <v>#DIV/0!</v>
      </c>
      <c r="L40" s="214"/>
      <c r="M40" s="12" t="e">
        <f>(K40*$M$37)+K40</f>
        <v>#DIV/0!</v>
      </c>
      <c r="N40" s="214"/>
      <c r="O40" s="12" t="e">
        <f>(M40*$O$37)+M40</f>
        <v>#DIV/0!</v>
      </c>
      <c r="P40" s="214"/>
      <c r="Q40" s="12" t="e">
        <f>(O40*$Q$37)+O40</f>
        <v>#DIV/0!</v>
      </c>
    </row>
    <row r="41" spans="1:17" ht="15" customHeight="1">
      <c r="A41" s="214" t="s">
        <v>97</v>
      </c>
      <c r="B41" s="216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214"/>
      <c r="I41" s="12" t="e">
        <f>(D41*$I$37)+D41</f>
        <v>#DIV/0!</v>
      </c>
      <c r="J41" s="214"/>
      <c r="K41" s="12" t="e">
        <f>(I41*$K$37)+I41</f>
        <v>#DIV/0!</v>
      </c>
      <c r="L41" s="214"/>
      <c r="M41" s="12" t="e">
        <f>(K41*$M$37)+K41</f>
        <v>#DIV/0!</v>
      </c>
      <c r="N41" s="214"/>
      <c r="O41" s="12" t="e">
        <f>(M41*$O$37)+M41</f>
        <v>#DIV/0!</v>
      </c>
      <c r="P41" s="214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</mergeCells>
  <conditionalFormatting sqref="E9">
    <cfRule type="containsText" dxfId="14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U12"/>
  <sheetViews>
    <sheetView zoomScaleNormal="100" workbookViewId="0">
      <selection activeCell="D21" sqref="D21"/>
    </sheetView>
  </sheetViews>
  <sheetFormatPr defaultRowHeight="12.75"/>
  <cols>
    <col min="1" max="1" width="6" style="151" customWidth="1"/>
    <col min="2" max="2" width="11.5703125" style="151" customWidth="1"/>
    <col min="3" max="3" width="13.85546875" style="151" customWidth="1"/>
    <col min="4" max="4" width="14.7109375" style="151" bestFit="1" customWidth="1"/>
    <col min="5" max="5" width="15.5703125" style="151" bestFit="1" customWidth="1"/>
    <col min="6" max="6" width="14" style="151" bestFit="1" customWidth="1"/>
    <col min="7" max="7" width="13.85546875" style="196" bestFit="1" customWidth="1"/>
    <col min="8" max="8" width="38.5703125" style="151" bestFit="1" customWidth="1"/>
    <col min="9" max="9" width="13" style="196" customWidth="1"/>
    <col min="10" max="10" width="13.7109375" style="196" customWidth="1"/>
    <col min="11" max="11" width="9" style="151" bestFit="1" customWidth="1"/>
    <col min="12" max="12" width="12.28515625" style="151" bestFit="1" customWidth="1"/>
    <col min="13" max="13" width="10.7109375" style="151" customWidth="1"/>
    <col min="14" max="14" width="11.7109375" style="151" customWidth="1"/>
    <col min="15" max="15" width="14.140625" style="151" bestFit="1" customWidth="1"/>
    <col min="16" max="16" width="17.7109375" style="151" customWidth="1"/>
    <col min="17" max="17" width="15.85546875" style="196" bestFit="1" customWidth="1"/>
    <col min="18" max="19" width="15.85546875" style="196" customWidth="1"/>
    <col min="20" max="20" width="22.28515625" style="151" bestFit="1" customWidth="1"/>
    <col min="21" max="21" width="14.42578125" hidden="1" customWidth="1"/>
  </cols>
  <sheetData>
    <row r="1" spans="1:21" ht="45" customHeight="1">
      <c r="A1" s="248"/>
      <c r="B1" s="225" t="s">
        <v>263</v>
      </c>
      <c r="C1" s="225" t="s">
        <v>424</v>
      </c>
      <c r="D1" s="225" t="s">
        <v>264</v>
      </c>
      <c r="E1" s="225" t="s">
        <v>265</v>
      </c>
      <c r="F1" s="225" t="s">
        <v>266</v>
      </c>
      <c r="G1" s="225" t="s">
        <v>267</v>
      </c>
      <c r="H1" s="225" t="s">
        <v>225</v>
      </c>
      <c r="I1" s="225" t="s">
        <v>268</v>
      </c>
      <c r="J1" s="225" t="s">
        <v>269</v>
      </c>
      <c r="K1" s="225" t="s">
        <v>270</v>
      </c>
      <c r="L1" s="225" t="s">
        <v>271</v>
      </c>
      <c r="M1" s="225" t="s">
        <v>272</v>
      </c>
      <c r="N1" s="225" t="s">
        <v>273</v>
      </c>
      <c r="O1" s="225" t="s">
        <v>434</v>
      </c>
      <c r="P1" s="225" t="s">
        <v>274</v>
      </c>
      <c r="Q1" s="225" t="s">
        <v>275</v>
      </c>
      <c r="R1" s="335" t="s">
        <v>934</v>
      </c>
      <c r="S1" s="335" t="s">
        <v>935</v>
      </c>
      <c r="T1" s="225" t="s">
        <v>147</v>
      </c>
      <c r="U1" s="225" t="s">
        <v>435</v>
      </c>
    </row>
    <row r="2" spans="1:21">
      <c r="A2" s="249">
        <v>1</v>
      </c>
      <c r="B2" s="258"/>
      <c r="C2" s="244"/>
      <c r="D2" s="244">
        <v>36298</v>
      </c>
      <c r="E2" s="257" t="s">
        <v>926</v>
      </c>
      <c r="F2" s="250">
        <v>15</v>
      </c>
      <c r="G2" s="259" t="s">
        <v>923</v>
      </c>
      <c r="H2" s="245" t="s">
        <v>925</v>
      </c>
      <c r="I2" s="259"/>
      <c r="J2" s="259">
        <v>1</v>
      </c>
      <c r="K2" s="246">
        <v>12.86</v>
      </c>
      <c r="L2" s="246"/>
      <c r="M2" s="246" t="s">
        <v>924</v>
      </c>
      <c r="N2" s="257"/>
      <c r="O2" s="246">
        <v>0</v>
      </c>
      <c r="P2" s="261"/>
      <c r="Q2" s="263" t="s">
        <v>923</v>
      </c>
      <c r="R2" s="263"/>
      <c r="S2" s="263"/>
      <c r="T2" s="249" t="s">
        <v>927</v>
      </c>
      <c r="U2" s="262"/>
    </row>
    <row r="3" spans="1:21">
      <c r="A3" s="249">
        <v>2</v>
      </c>
      <c r="B3" s="258"/>
      <c r="C3" s="244"/>
      <c r="D3" s="244">
        <v>43290</v>
      </c>
      <c r="E3" s="245" t="s">
        <v>926</v>
      </c>
      <c r="F3" s="250">
        <v>11.25</v>
      </c>
      <c r="G3" s="259" t="s">
        <v>923</v>
      </c>
      <c r="H3" s="245" t="s">
        <v>925</v>
      </c>
      <c r="I3" s="259"/>
      <c r="J3" s="259">
        <v>1</v>
      </c>
      <c r="K3" s="246">
        <v>12.1</v>
      </c>
      <c r="L3" s="246"/>
      <c r="M3" s="246" t="s">
        <v>924</v>
      </c>
      <c r="N3" s="257"/>
      <c r="O3" s="246">
        <v>0</v>
      </c>
      <c r="P3" s="261"/>
      <c r="Q3" s="263" t="s">
        <v>923</v>
      </c>
      <c r="R3" s="263"/>
      <c r="S3" s="263"/>
      <c r="T3" s="249" t="s">
        <v>927</v>
      </c>
      <c r="U3" s="262"/>
    </row>
    <row r="4" spans="1:21">
      <c r="A4" s="249">
        <v>3</v>
      </c>
      <c r="B4" s="258"/>
      <c r="C4" s="244"/>
      <c r="D4" s="264">
        <v>42660</v>
      </c>
      <c r="E4" s="265" t="s">
        <v>926</v>
      </c>
      <c r="F4" s="266">
        <v>11.25</v>
      </c>
      <c r="G4" s="263" t="s">
        <v>923</v>
      </c>
      <c r="H4" s="265" t="s">
        <v>925</v>
      </c>
      <c r="I4" s="263"/>
      <c r="J4" s="263">
        <v>1</v>
      </c>
      <c r="K4" s="267">
        <v>12.86</v>
      </c>
      <c r="L4" s="246"/>
      <c r="M4" s="246" t="s">
        <v>924</v>
      </c>
      <c r="N4" s="257"/>
      <c r="O4" s="246">
        <v>0</v>
      </c>
      <c r="P4" s="261"/>
      <c r="Q4" s="263" t="s">
        <v>924</v>
      </c>
      <c r="R4" s="263"/>
      <c r="S4" s="263"/>
      <c r="T4" s="249" t="s">
        <v>927</v>
      </c>
      <c r="U4" s="262"/>
    </row>
    <row r="5" spans="1:21">
      <c r="A5" s="249">
        <v>4</v>
      </c>
      <c r="B5" s="258">
        <v>26552</v>
      </c>
      <c r="C5" s="244">
        <v>37027</v>
      </c>
      <c r="D5" s="244">
        <v>37027</v>
      </c>
      <c r="E5" s="245" t="s">
        <v>926</v>
      </c>
      <c r="F5" s="250">
        <v>11.1</v>
      </c>
      <c r="G5" s="259" t="s">
        <v>923</v>
      </c>
      <c r="H5" s="245" t="s">
        <v>929</v>
      </c>
      <c r="I5" s="259" t="s">
        <v>930</v>
      </c>
      <c r="J5" s="259" t="s">
        <v>931</v>
      </c>
      <c r="K5" s="246">
        <v>12.86</v>
      </c>
      <c r="L5" s="246"/>
      <c r="M5" s="246">
        <v>0</v>
      </c>
      <c r="N5" s="257"/>
      <c r="O5" s="246"/>
      <c r="P5" s="259"/>
      <c r="Q5" s="263" t="s">
        <v>923</v>
      </c>
      <c r="R5" s="263"/>
      <c r="S5" s="263"/>
      <c r="T5" s="249" t="s">
        <v>922</v>
      </c>
      <c r="U5" s="262"/>
    </row>
    <row r="6" spans="1:21">
      <c r="A6" s="249">
        <v>5</v>
      </c>
      <c r="B6" s="258">
        <v>20416</v>
      </c>
      <c r="C6" s="244">
        <v>36983</v>
      </c>
      <c r="D6" s="244">
        <v>29423</v>
      </c>
      <c r="E6" s="245" t="s">
        <v>926</v>
      </c>
      <c r="F6" s="250">
        <v>9.6</v>
      </c>
      <c r="G6" s="259" t="s">
        <v>923</v>
      </c>
      <c r="H6" s="245" t="s">
        <v>929</v>
      </c>
      <c r="I6" s="259" t="s">
        <v>930</v>
      </c>
      <c r="J6" s="259" t="s">
        <v>931</v>
      </c>
      <c r="K6" s="246">
        <v>12.86</v>
      </c>
      <c r="L6" s="246"/>
      <c r="M6" s="246">
        <v>0.46</v>
      </c>
      <c r="N6" s="257"/>
      <c r="O6" s="246"/>
      <c r="P6" s="259"/>
      <c r="Q6" s="263" t="s">
        <v>923</v>
      </c>
      <c r="R6" s="263"/>
      <c r="S6" s="263"/>
      <c r="T6" s="249" t="s">
        <v>922</v>
      </c>
      <c r="U6" s="262"/>
    </row>
    <row r="7" spans="1:21">
      <c r="A7" s="249">
        <v>6</v>
      </c>
      <c r="B7" s="258">
        <v>24096</v>
      </c>
      <c r="C7" s="244">
        <v>38047</v>
      </c>
      <c r="D7" s="244">
        <v>36780</v>
      </c>
      <c r="E7" s="245" t="s">
        <v>926</v>
      </c>
      <c r="F7" s="250">
        <v>9.6</v>
      </c>
      <c r="G7" s="259" t="s">
        <v>923</v>
      </c>
      <c r="H7" s="245" t="s">
        <v>929</v>
      </c>
      <c r="I7" s="259" t="s">
        <v>930</v>
      </c>
      <c r="J7" s="259" t="s">
        <v>931</v>
      </c>
      <c r="K7" s="246">
        <v>12.86</v>
      </c>
      <c r="L7" s="246"/>
      <c r="M7" s="246">
        <v>0</v>
      </c>
      <c r="N7" s="257"/>
      <c r="O7" s="246"/>
      <c r="P7" s="259"/>
      <c r="Q7" s="263" t="s">
        <v>923</v>
      </c>
      <c r="R7" s="263"/>
      <c r="S7" s="263"/>
      <c r="T7" s="249" t="s">
        <v>922</v>
      </c>
      <c r="U7" s="262"/>
    </row>
    <row r="8" spans="1:21">
      <c r="A8" s="249">
        <v>7</v>
      </c>
      <c r="B8" s="258">
        <v>27094</v>
      </c>
      <c r="C8" s="244">
        <v>38231</v>
      </c>
      <c r="D8" s="244">
        <v>38231</v>
      </c>
      <c r="E8" s="245" t="s">
        <v>926</v>
      </c>
      <c r="F8" s="250">
        <v>15.5</v>
      </c>
      <c r="G8" s="259" t="s">
        <v>923</v>
      </c>
      <c r="H8" s="245" t="s">
        <v>929</v>
      </c>
      <c r="I8" s="259" t="s">
        <v>930</v>
      </c>
      <c r="J8" s="259" t="s">
        <v>931</v>
      </c>
      <c r="K8" s="246">
        <v>12.86</v>
      </c>
      <c r="L8" s="246"/>
      <c r="M8" s="246">
        <v>0</v>
      </c>
      <c r="N8" s="257"/>
      <c r="O8" s="246"/>
      <c r="P8" s="259"/>
      <c r="Q8" s="263" t="s">
        <v>923</v>
      </c>
      <c r="R8" s="263"/>
      <c r="S8" s="263"/>
      <c r="T8" s="249" t="s">
        <v>922</v>
      </c>
      <c r="U8" s="262"/>
    </row>
    <row r="9" spans="1:21">
      <c r="A9" s="249">
        <v>8</v>
      </c>
      <c r="B9" s="258">
        <v>21872</v>
      </c>
      <c r="C9" s="244">
        <v>39356</v>
      </c>
      <c r="D9" s="244">
        <v>37665</v>
      </c>
      <c r="E9" s="245" t="s">
        <v>926</v>
      </c>
      <c r="F9" s="250">
        <v>11.85</v>
      </c>
      <c r="G9" s="259" t="s">
        <v>923</v>
      </c>
      <c r="H9" s="245" t="s">
        <v>929</v>
      </c>
      <c r="I9" s="259" t="s">
        <v>930</v>
      </c>
      <c r="J9" s="259" t="s">
        <v>931</v>
      </c>
      <c r="K9" s="246">
        <v>12.86</v>
      </c>
      <c r="L9" s="246"/>
      <c r="M9" s="246">
        <v>0</v>
      </c>
      <c r="N9" s="257"/>
      <c r="O9" s="246"/>
      <c r="P9" s="259"/>
      <c r="Q9" s="263" t="s">
        <v>923</v>
      </c>
      <c r="R9" s="336">
        <v>44312</v>
      </c>
      <c r="S9" s="263">
        <v>100</v>
      </c>
      <c r="T9" s="249" t="s">
        <v>922</v>
      </c>
      <c r="U9" s="262"/>
    </row>
    <row r="10" spans="1:21">
      <c r="A10" s="249">
        <v>9</v>
      </c>
      <c r="B10" s="258">
        <v>24789</v>
      </c>
      <c r="C10" s="244">
        <v>43283</v>
      </c>
      <c r="D10" s="244">
        <v>43283</v>
      </c>
      <c r="E10" s="245" t="s">
        <v>926</v>
      </c>
      <c r="F10" s="250">
        <v>9.6</v>
      </c>
      <c r="G10" s="259" t="s">
        <v>923</v>
      </c>
      <c r="H10" s="245" t="s">
        <v>929</v>
      </c>
      <c r="I10" s="259" t="s">
        <v>930</v>
      </c>
      <c r="J10" s="259" t="s">
        <v>931</v>
      </c>
      <c r="K10" s="246">
        <v>12.1</v>
      </c>
      <c r="L10" s="246"/>
      <c r="M10" s="246">
        <v>0</v>
      </c>
      <c r="N10" s="257"/>
      <c r="O10" s="246"/>
      <c r="P10" s="259"/>
      <c r="Q10" s="263" t="s">
        <v>932</v>
      </c>
      <c r="R10" s="263"/>
      <c r="S10" s="263"/>
      <c r="T10" s="249" t="s">
        <v>922</v>
      </c>
      <c r="U10" s="262"/>
    </row>
    <row r="11" spans="1:21">
      <c r="A11" s="249">
        <v>10</v>
      </c>
      <c r="B11" s="258">
        <v>21852</v>
      </c>
      <c r="C11" s="244">
        <v>38884</v>
      </c>
      <c r="D11" s="244"/>
      <c r="E11" s="247" t="s">
        <v>926</v>
      </c>
      <c r="F11" s="250">
        <v>2</v>
      </c>
      <c r="G11" s="259" t="s">
        <v>923</v>
      </c>
      <c r="H11" s="245" t="s">
        <v>929</v>
      </c>
      <c r="I11" s="259" t="s">
        <v>930</v>
      </c>
      <c r="J11" s="259" t="s">
        <v>931</v>
      </c>
      <c r="K11" s="246">
        <v>12.86</v>
      </c>
      <c r="L11" s="246"/>
      <c r="M11" s="246">
        <v>0</v>
      </c>
      <c r="N11" s="257"/>
      <c r="O11" s="246"/>
      <c r="P11" s="259"/>
      <c r="Q11" s="263" t="s">
        <v>923</v>
      </c>
      <c r="R11" s="263"/>
      <c r="S11" s="263"/>
      <c r="T11" s="249" t="s">
        <v>922</v>
      </c>
      <c r="U11" s="262"/>
    </row>
    <row r="12" spans="1:21">
      <c r="A12" s="249">
        <v>11</v>
      </c>
      <c r="B12" s="258">
        <v>36716</v>
      </c>
      <c r="C12" s="244">
        <v>44074</v>
      </c>
      <c r="D12" s="244"/>
      <c r="E12" s="245" t="s">
        <v>926</v>
      </c>
      <c r="F12" s="250">
        <v>8.75</v>
      </c>
      <c r="G12" s="260" t="s">
        <v>924</v>
      </c>
      <c r="H12" s="245" t="s">
        <v>929</v>
      </c>
      <c r="I12" s="259" t="s">
        <v>930</v>
      </c>
      <c r="J12" s="259" t="s">
        <v>931</v>
      </c>
      <c r="K12" s="246">
        <v>12.86</v>
      </c>
      <c r="L12" s="246"/>
      <c r="M12" s="246">
        <v>0</v>
      </c>
      <c r="N12" s="257"/>
      <c r="O12" s="246"/>
      <c r="P12" s="259"/>
      <c r="Q12" s="263" t="s">
        <v>933</v>
      </c>
      <c r="R12" s="263"/>
      <c r="S12" s="263"/>
      <c r="T12" s="249" t="s">
        <v>922</v>
      </c>
      <c r="U12" s="262"/>
    </row>
  </sheetData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T161"/>
  <sheetViews>
    <sheetView view="pageBreakPreview" zoomScaleNormal="100" zoomScaleSheetLayoutView="100" workbookViewId="0">
      <selection activeCell="B38" sqref="B38"/>
    </sheetView>
  </sheetViews>
  <sheetFormatPr defaultColWidth="14.140625" defaultRowHeight="15" customHeight="1"/>
  <cols>
    <col min="1" max="1" width="14.140625" style="5"/>
    <col min="2" max="2" width="44.85546875" style="2" customWidth="1"/>
    <col min="3" max="3" width="14.140625" style="2"/>
    <col min="4" max="4" width="32.5703125" style="7" customWidth="1"/>
    <col min="5" max="5" width="12.140625" style="2" bestFit="1" customWidth="1"/>
    <col min="6" max="6" width="30.28515625" style="2" customWidth="1"/>
    <col min="7" max="7" width="14.140625" style="2"/>
    <col min="8" max="8" width="14.140625" style="6"/>
    <col min="9" max="9" width="14.140625" style="2"/>
    <col min="10" max="10" width="14.140625" style="5"/>
    <col min="11" max="15" width="14.140625" style="1"/>
    <col min="16" max="16384" width="14.140625" style="2"/>
  </cols>
  <sheetData>
    <row r="1" spans="1:16" s="9" customFormat="1" ht="26.25" customHeight="1">
      <c r="A1" s="303" t="s">
        <v>120</v>
      </c>
      <c r="B1" s="303"/>
      <c r="C1" s="303"/>
      <c r="D1" s="303"/>
      <c r="E1" s="303"/>
      <c r="F1" s="303"/>
      <c r="G1" s="81"/>
      <c r="H1" s="81"/>
      <c r="I1" s="81"/>
      <c r="J1" s="81"/>
      <c r="K1" s="81"/>
      <c r="L1" s="81"/>
      <c r="M1" s="81"/>
    </row>
    <row r="2" spans="1:16" s="9" customFormat="1" ht="15" customHeight="1">
      <c r="A2" s="301" t="s">
        <v>220</v>
      </c>
      <c r="B2" s="302"/>
      <c r="C2" s="302"/>
      <c r="D2" s="302"/>
      <c r="E2" s="302"/>
      <c r="F2" s="302"/>
      <c r="G2" s="130"/>
      <c r="H2" s="130"/>
      <c r="I2" s="130"/>
      <c r="J2" s="130"/>
      <c r="K2" s="130"/>
      <c r="L2" s="130"/>
      <c r="M2" s="130"/>
      <c r="N2" s="130"/>
    </row>
    <row r="3" spans="1:16" s="72" customFormat="1" ht="15" customHeight="1">
      <c r="A3" s="73"/>
      <c r="E3" s="92"/>
      <c r="F3" s="92"/>
      <c r="I3" s="93"/>
      <c r="K3" s="94"/>
      <c r="L3" s="73"/>
      <c r="M3" s="73"/>
      <c r="N3" s="73"/>
      <c r="O3" s="73"/>
      <c r="P3" s="73"/>
    </row>
    <row r="4" spans="1:16" s="72" customFormat="1" ht="15" customHeight="1">
      <c r="A4" s="73"/>
      <c r="E4" s="92"/>
      <c r="F4" s="92"/>
      <c r="I4" s="93"/>
      <c r="K4" s="94"/>
      <c r="L4" s="73"/>
      <c r="M4" s="73"/>
      <c r="N4" s="73"/>
      <c r="O4" s="73"/>
      <c r="P4" s="73"/>
    </row>
    <row r="5" spans="1:16" s="72" customFormat="1" ht="26.25" customHeight="1">
      <c r="A5" s="95" t="s">
        <v>245</v>
      </c>
      <c r="B5" s="95"/>
      <c r="C5" s="95"/>
      <c r="D5" s="95"/>
      <c r="E5" s="87"/>
      <c r="F5" s="87"/>
      <c r="I5" s="93"/>
      <c r="K5" s="94"/>
      <c r="L5" s="73"/>
      <c r="M5" s="73"/>
      <c r="N5" s="73"/>
      <c r="O5" s="73"/>
      <c r="P5" s="73"/>
    </row>
    <row r="6" spans="1:16" s="72" customFormat="1" ht="26.25" customHeight="1" thickBot="1">
      <c r="A6" s="123" t="s">
        <v>34</v>
      </c>
      <c r="B6" s="124" t="s">
        <v>147</v>
      </c>
      <c r="C6" s="121" t="s">
        <v>108</v>
      </c>
      <c r="D6" s="125" t="s">
        <v>68</v>
      </c>
      <c r="E6" s="126" t="s">
        <v>67</v>
      </c>
      <c r="F6" s="4" t="s">
        <v>30</v>
      </c>
      <c r="I6" s="93"/>
      <c r="K6" s="94"/>
      <c r="L6" s="73"/>
      <c r="M6" s="73"/>
      <c r="N6" s="73"/>
      <c r="O6" s="73"/>
      <c r="P6" s="73"/>
    </row>
    <row r="7" spans="1:16" s="72" customFormat="1" ht="15" customHeight="1" thickTop="1">
      <c r="A7" s="187">
        <v>1</v>
      </c>
      <c r="B7" s="127" t="s">
        <v>614</v>
      </c>
      <c r="C7" s="122">
        <v>1</v>
      </c>
      <c r="D7" s="127" t="s">
        <v>520</v>
      </c>
      <c r="E7" s="201" t="s">
        <v>521</v>
      </c>
      <c r="F7" s="127" t="s">
        <v>522</v>
      </c>
      <c r="I7" s="93"/>
      <c r="K7" s="94"/>
      <c r="L7" s="73"/>
      <c r="M7" s="73"/>
      <c r="N7" s="73"/>
      <c r="O7" s="73"/>
      <c r="P7" s="73"/>
    </row>
    <row r="8" spans="1:16" s="72" customFormat="1" ht="15" customHeight="1">
      <c r="A8" s="187">
        <v>2</v>
      </c>
      <c r="B8" s="127" t="s">
        <v>612</v>
      </c>
      <c r="C8" s="122">
        <v>1</v>
      </c>
      <c r="D8" s="127" t="s">
        <v>520</v>
      </c>
      <c r="E8" s="201" t="s">
        <v>521</v>
      </c>
      <c r="F8" s="127" t="s">
        <v>522</v>
      </c>
      <c r="I8" s="93"/>
      <c r="K8" s="94"/>
      <c r="L8" s="73"/>
      <c r="M8" s="73"/>
      <c r="N8" s="73"/>
      <c r="O8" s="73"/>
      <c r="P8" s="73"/>
    </row>
    <row r="9" spans="1:16" s="72" customFormat="1" ht="15" customHeight="1">
      <c r="A9" s="187">
        <v>3</v>
      </c>
      <c r="B9" s="201" t="s">
        <v>922</v>
      </c>
      <c r="C9" s="122">
        <v>1</v>
      </c>
      <c r="D9" s="127" t="s">
        <v>615</v>
      </c>
      <c r="E9" s="127" t="s">
        <v>616</v>
      </c>
      <c r="F9" s="127" t="s">
        <v>617</v>
      </c>
      <c r="I9" s="93"/>
      <c r="K9" s="94"/>
      <c r="L9" s="73"/>
      <c r="M9" s="73"/>
      <c r="N9" s="73"/>
      <c r="O9" s="73"/>
      <c r="P9" s="73"/>
    </row>
    <row r="10" spans="1:16" s="72" customFormat="1" ht="15" customHeight="1">
      <c r="A10" s="209"/>
      <c r="B10" s="210"/>
      <c r="C10" s="210"/>
      <c r="D10" s="210"/>
      <c r="E10" s="211"/>
      <c r="F10" s="211"/>
      <c r="I10" s="93"/>
      <c r="K10" s="94"/>
      <c r="L10" s="73"/>
      <c r="M10" s="73"/>
      <c r="N10" s="73"/>
      <c r="O10" s="73"/>
      <c r="P10" s="73"/>
    </row>
    <row r="11" spans="1:16" s="72" customFormat="1" ht="15" customHeight="1">
      <c r="A11" s="105" t="s">
        <v>246</v>
      </c>
      <c r="B11" s="87"/>
      <c r="C11" s="87"/>
      <c r="D11" s="87"/>
      <c r="E11" s="92"/>
      <c r="F11" s="92"/>
      <c r="I11" s="93"/>
      <c r="K11" s="94"/>
      <c r="L11" s="73"/>
      <c r="M11" s="73"/>
      <c r="N11" s="73"/>
      <c r="O11" s="73"/>
      <c r="P11" s="73"/>
    </row>
    <row r="12" spans="1:16" s="72" customFormat="1" ht="15" customHeight="1">
      <c r="A12" s="104" t="s">
        <v>34</v>
      </c>
      <c r="B12" s="29" t="s">
        <v>106</v>
      </c>
      <c r="C12" s="8" t="s">
        <v>105</v>
      </c>
      <c r="D12" s="104" t="s">
        <v>212</v>
      </c>
      <c r="E12" s="92"/>
      <c r="F12" s="92"/>
      <c r="I12" s="93"/>
      <c r="K12" s="94"/>
      <c r="L12" s="73"/>
      <c r="M12" s="73"/>
      <c r="N12" s="73"/>
      <c r="O12" s="73"/>
      <c r="P12" s="73"/>
    </row>
    <row r="13" spans="1:16" s="72" customFormat="1" ht="13.5" customHeight="1">
      <c r="A13" s="30">
        <v>1</v>
      </c>
      <c r="B13" s="9" t="s">
        <v>59</v>
      </c>
      <c r="C13" s="106">
        <v>0</v>
      </c>
      <c r="D13" s="159" t="s">
        <v>239</v>
      </c>
      <c r="E13" s="92"/>
      <c r="F13" s="92"/>
      <c r="I13" s="93"/>
      <c r="K13" s="94"/>
      <c r="L13" s="73"/>
      <c r="M13" s="73"/>
      <c r="N13" s="73"/>
      <c r="O13" s="73"/>
      <c r="P13" s="73"/>
    </row>
    <row r="14" spans="1:16" s="72" customFormat="1" ht="13.5" customHeight="1">
      <c r="A14" s="30">
        <v>2</v>
      </c>
      <c r="B14" s="9" t="s">
        <v>60</v>
      </c>
      <c r="C14" s="106">
        <v>0</v>
      </c>
      <c r="D14" s="159" t="s">
        <v>242</v>
      </c>
      <c r="E14" s="92"/>
      <c r="F14" s="87"/>
      <c r="I14" s="93"/>
      <c r="K14" s="94"/>
      <c r="L14" s="73"/>
      <c r="M14" s="73"/>
      <c r="N14" s="73"/>
      <c r="O14" s="73"/>
      <c r="P14" s="73"/>
    </row>
    <row r="15" spans="1:16" s="72" customFormat="1" ht="13.5" customHeight="1">
      <c r="A15" s="30">
        <v>3</v>
      </c>
      <c r="B15" s="9" t="s">
        <v>61</v>
      </c>
      <c r="C15" s="106">
        <v>0</v>
      </c>
      <c r="D15" s="159" t="s">
        <v>239</v>
      </c>
      <c r="E15" s="92"/>
      <c r="F15" s="74"/>
      <c r="I15" s="93"/>
      <c r="K15" s="94"/>
      <c r="L15" s="73"/>
      <c r="M15" s="73"/>
      <c r="N15" s="73"/>
      <c r="O15" s="73"/>
      <c r="P15" s="73"/>
    </row>
    <row r="16" spans="1:16" s="72" customFormat="1" ht="13.5" customHeight="1">
      <c r="A16" s="30">
        <v>4</v>
      </c>
      <c r="B16" s="9" t="s">
        <v>396</v>
      </c>
      <c r="C16" s="106">
        <v>0</v>
      </c>
      <c r="D16" s="159" t="s">
        <v>242</v>
      </c>
      <c r="E16" s="92"/>
      <c r="F16" s="87"/>
      <c r="I16" s="93"/>
      <c r="K16" s="94"/>
      <c r="L16" s="73"/>
      <c r="M16" s="73"/>
      <c r="N16" s="73"/>
      <c r="O16" s="73"/>
      <c r="P16" s="73"/>
    </row>
    <row r="17" spans="1:18" s="72" customFormat="1" ht="13.5" customHeight="1">
      <c r="A17" s="30">
        <v>5</v>
      </c>
      <c r="B17" s="9" t="s">
        <v>22</v>
      </c>
      <c r="C17" s="106">
        <v>0</v>
      </c>
      <c r="D17" s="159" t="s">
        <v>240</v>
      </c>
      <c r="E17" s="92"/>
      <c r="F17" s="87"/>
      <c r="I17" s="93"/>
      <c r="K17" s="94"/>
      <c r="L17" s="73"/>
      <c r="M17" s="73"/>
      <c r="N17" s="73"/>
      <c r="O17" s="73"/>
      <c r="P17" s="73"/>
    </row>
    <row r="18" spans="1:18" s="87" customFormat="1" ht="13.5" customHeight="1">
      <c r="A18" s="30">
        <v>6</v>
      </c>
      <c r="B18" s="9" t="s">
        <v>62</v>
      </c>
      <c r="C18" s="106">
        <v>0</v>
      </c>
      <c r="D18" s="159" t="s">
        <v>239</v>
      </c>
      <c r="E18" s="92"/>
      <c r="J18" s="96"/>
      <c r="O18" s="97"/>
      <c r="P18" s="97"/>
      <c r="Q18" s="97"/>
    </row>
    <row r="19" spans="1:18" s="31" customFormat="1" ht="13.5" customHeight="1">
      <c r="A19" s="30">
        <v>7</v>
      </c>
      <c r="B19" s="9" t="s">
        <v>40</v>
      </c>
      <c r="C19" s="106">
        <v>0</v>
      </c>
      <c r="D19" s="159" t="s">
        <v>239</v>
      </c>
      <c r="E19" s="92"/>
      <c r="F19" s="87"/>
      <c r="G19" s="74"/>
      <c r="H19" s="74"/>
      <c r="I19" s="74"/>
      <c r="J19" s="98"/>
      <c r="K19" s="74"/>
      <c r="L19" s="74"/>
      <c r="M19" s="74"/>
      <c r="N19" s="74"/>
      <c r="O19" s="132"/>
      <c r="P19" s="132"/>
      <c r="Q19" s="132"/>
      <c r="R19" s="132"/>
    </row>
    <row r="20" spans="1:18" s="4" customFormat="1" ht="13.5" customHeight="1">
      <c r="A20" s="30">
        <v>8</v>
      </c>
      <c r="B20" s="9" t="s">
        <v>427</v>
      </c>
      <c r="C20" s="106">
        <v>0</v>
      </c>
      <c r="D20" s="159" t="s">
        <v>241</v>
      </c>
      <c r="E20" s="92"/>
      <c r="F20" s="110"/>
      <c r="G20" s="87"/>
      <c r="H20" s="87"/>
      <c r="I20" s="87"/>
      <c r="J20" s="96"/>
      <c r="K20" s="87"/>
      <c r="L20" s="87"/>
      <c r="M20" s="87"/>
      <c r="N20" s="87"/>
      <c r="O20" s="97"/>
      <c r="P20" s="97"/>
      <c r="Q20" s="97"/>
      <c r="R20" s="97"/>
    </row>
    <row r="21" spans="1:18" s="4" customFormat="1" ht="13.5" customHeight="1">
      <c r="A21" s="30">
        <v>9</v>
      </c>
      <c r="B21" s="9" t="s">
        <v>257</v>
      </c>
      <c r="C21" s="106">
        <v>0</v>
      </c>
      <c r="D21" s="159" t="s">
        <v>239</v>
      </c>
      <c r="E21" s="92"/>
      <c r="F21" s="110"/>
      <c r="G21" s="87"/>
      <c r="H21" s="87"/>
      <c r="I21" s="87"/>
      <c r="J21" s="96"/>
      <c r="K21" s="87"/>
      <c r="L21" s="87"/>
      <c r="M21" s="87"/>
      <c r="N21" s="87"/>
      <c r="O21" s="97"/>
      <c r="P21" s="97"/>
      <c r="Q21" s="97"/>
      <c r="R21" s="97"/>
    </row>
    <row r="22" spans="1:18" s="4" customFormat="1" ht="13.5" customHeight="1">
      <c r="A22" s="30">
        <v>10</v>
      </c>
      <c r="B22" s="9" t="s">
        <v>63</v>
      </c>
      <c r="C22" s="106">
        <v>0</v>
      </c>
      <c r="D22" s="159" t="s">
        <v>239</v>
      </c>
      <c r="E22" s="92"/>
      <c r="F22" s="87"/>
      <c r="G22" s="87"/>
      <c r="H22" s="87"/>
      <c r="I22" s="87"/>
      <c r="J22" s="96"/>
      <c r="K22" s="87"/>
      <c r="L22" s="87"/>
      <c r="M22" s="87"/>
      <c r="N22" s="87"/>
      <c r="O22" s="97"/>
      <c r="P22" s="97"/>
      <c r="Q22" s="97"/>
      <c r="R22" s="97"/>
    </row>
    <row r="23" spans="1:18" s="4" customFormat="1" ht="13.5" customHeight="1">
      <c r="A23" s="30">
        <v>11</v>
      </c>
      <c r="B23" s="9" t="s">
        <v>397</v>
      </c>
      <c r="C23" s="106">
        <v>0</v>
      </c>
      <c r="D23" s="159" t="s">
        <v>241</v>
      </c>
      <c r="E23" s="92"/>
      <c r="F23" s="87"/>
      <c r="G23" s="87"/>
      <c r="H23" s="87"/>
      <c r="I23" s="87"/>
      <c r="J23" s="96"/>
      <c r="K23" s="87"/>
      <c r="L23" s="87"/>
      <c r="M23" s="87"/>
      <c r="N23" s="87"/>
      <c r="O23" s="97"/>
      <c r="P23" s="97"/>
      <c r="Q23" s="97"/>
      <c r="R23" s="97"/>
    </row>
    <row r="24" spans="1:18" s="4" customFormat="1" ht="13.5" customHeight="1">
      <c r="A24" s="30">
        <v>12</v>
      </c>
      <c r="B24" s="9" t="s">
        <v>818</v>
      </c>
      <c r="C24" s="106">
        <v>0</v>
      </c>
      <c r="D24" s="159" t="s">
        <v>239</v>
      </c>
      <c r="E24" s="92"/>
      <c r="F24" s="87"/>
      <c r="G24" s="110"/>
      <c r="H24" s="87"/>
      <c r="I24" s="87"/>
      <c r="J24" s="96"/>
      <c r="K24" s="87"/>
      <c r="L24" s="87"/>
      <c r="M24" s="87"/>
      <c r="N24" s="87"/>
      <c r="O24" s="97"/>
      <c r="P24" s="97"/>
      <c r="Q24" s="97"/>
      <c r="R24" s="97"/>
    </row>
    <row r="25" spans="1:18" s="4" customFormat="1" ht="13.5" customHeight="1">
      <c r="A25" s="30">
        <v>13</v>
      </c>
      <c r="B25" s="9" t="s">
        <v>908</v>
      </c>
      <c r="C25" s="106">
        <v>0</v>
      </c>
      <c r="D25" s="159" t="s">
        <v>241</v>
      </c>
      <c r="E25" s="92"/>
      <c r="F25" s="87"/>
      <c r="G25" s="110"/>
      <c r="H25" s="87"/>
      <c r="I25" s="87"/>
      <c r="J25" s="96"/>
      <c r="K25" s="87"/>
      <c r="L25" s="87"/>
      <c r="M25" s="87"/>
      <c r="N25" s="87"/>
      <c r="O25" s="97"/>
      <c r="P25" s="97"/>
      <c r="Q25" s="97"/>
      <c r="R25" s="97"/>
    </row>
    <row r="26" spans="1:18" s="4" customFormat="1" ht="13.5" customHeight="1">
      <c r="A26" s="30">
        <v>14</v>
      </c>
      <c r="B26" s="9" t="s">
        <v>398</v>
      </c>
      <c r="C26" s="106">
        <v>0</v>
      </c>
      <c r="D26" s="159" t="s">
        <v>241</v>
      </c>
      <c r="E26" s="92"/>
      <c r="F26" s="87"/>
      <c r="G26" s="87"/>
      <c r="H26" s="87"/>
      <c r="I26" s="96"/>
      <c r="J26" s="87"/>
      <c r="K26" s="87"/>
      <c r="L26" s="87"/>
      <c r="M26" s="87"/>
      <c r="N26" s="87"/>
      <c r="O26" s="97"/>
      <c r="P26" s="97"/>
      <c r="Q26" s="97"/>
      <c r="R26" s="87"/>
    </row>
    <row r="27" spans="1:18" s="4" customFormat="1" ht="13.5" customHeight="1">
      <c r="A27" s="30">
        <v>15</v>
      </c>
      <c r="B27" s="9" t="s">
        <v>64</v>
      </c>
      <c r="C27" s="106">
        <v>0</v>
      </c>
      <c r="D27" s="159" t="s">
        <v>239</v>
      </c>
      <c r="E27" s="92"/>
      <c r="F27" s="87"/>
      <c r="G27" s="87"/>
      <c r="H27" s="87"/>
      <c r="I27" s="87"/>
      <c r="J27" s="87"/>
      <c r="K27" s="87"/>
      <c r="L27" s="87"/>
      <c r="M27" s="87"/>
      <c r="N27" s="87"/>
      <c r="O27" s="97"/>
      <c r="P27" s="97"/>
      <c r="Q27" s="97"/>
      <c r="R27" s="87"/>
    </row>
    <row r="28" spans="1:18" s="4" customFormat="1" ht="13.5" customHeight="1">
      <c r="A28" s="30">
        <v>16</v>
      </c>
      <c r="B28" s="9" t="s">
        <v>399</v>
      </c>
      <c r="C28" s="106">
        <v>0</v>
      </c>
      <c r="D28" s="159" t="s">
        <v>241</v>
      </c>
      <c r="E28" s="92"/>
      <c r="F28" s="87"/>
      <c r="G28" s="87"/>
      <c r="H28" s="87"/>
      <c r="I28" s="87"/>
      <c r="J28" s="87"/>
      <c r="K28" s="87"/>
      <c r="L28" s="87"/>
      <c r="M28" s="87"/>
      <c r="N28" s="87"/>
      <c r="O28" s="97"/>
      <c r="P28" s="97"/>
      <c r="Q28" s="97"/>
      <c r="R28" s="87"/>
    </row>
    <row r="29" spans="1:18" s="4" customFormat="1" ht="13.5" customHeight="1">
      <c r="A29" s="30">
        <v>17</v>
      </c>
      <c r="B29" s="9" t="s">
        <v>426</v>
      </c>
      <c r="C29" s="106">
        <v>0</v>
      </c>
      <c r="D29" s="159" t="s">
        <v>239</v>
      </c>
      <c r="E29" s="92"/>
      <c r="F29" s="87"/>
      <c r="G29" s="87"/>
      <c r="H29" s="87"/>
      <c r="I29" s="87"/>
      <c r="J29" s="87"/>
      <c r="K29" s="87"/>
      <c r="L29" s="87"/>
      <c r="M29" s="87"/>
      <c r="N29" s="87"/>
      <c r="O29" s="97"/>
      <c r="P29" s="97"/>
      <c r="Q29" s="97"/>
      <c r="R29" s="87"/>
    </row>
    <row r="30" spans="1:18" s="4" customFormat="1" ht="13.5" customHeight="1">
      <c r="A30" s="30">
        <v>18</v>
      </c>
      <c r="B30" s="9" t="s">
        <v>400</v>
      </c>
      <c r="C30" s="106">
        <v>0</v>
      </c>
      <c r="D30" s="159" t="s">
        <v>243</v>
      </c>
      <c r="E30" s="92"/>
      <c r="F30" s="87"/>
      <c r="G30" s="87"/>
      <c r="H30" s="87"/>
      <c r="I30" s="87"/>
      <c r="J30" s="87"/>
      <c r="K30" s="87"/>
      <c r="L30" s="87"/>
      <c r="M30" s="87"/>
      <c r="N30" s="87"/>
      <c r="O30" s="97"/>
      <c r="P30" s="97"/>
      <c r="Q30" s="87"/>
      <c r="R30" s="87"/>
    </row>
    <row r="31" spans="1:18" s="4" customFormat="1" ht="13.5" customHeight="1">
      <c r="A31" s="30">
        <v>19</v>
      </c>
      <c r="B31" s="9" t="s">
        <v>65</v>
      </c>
      <c r="C31" s="106">
        <v>0</v>
      </c>
      <c r="D31" s="159" t="s">
        <v>239</v>
      </c>
      <c r="E31" s="92"/>
      <c r="F31" s="87"/>
      <c r="G31" s="87"/>
      <c r="H31" s="87"/>
      <c r="I31" s="87"/>
      <c r="J31" s="87"/>
      <c r="K31" s="87"/>
      <c r="L31" s="97"/>
      <c r="M31" s="97"/>
      <c r="N31" s="97"/>
      <c r="O31" s="97"/>
      <c r="P31" s="97"/>
      <c r="Q31" s="87"/>
      <c r="R31" s="87"/>
    </row>
    <row r="32" spans="1:18" s="4" customFormat="1" ht="13.5" customHeight="1">
      <c r="A32" s="30">
        <v>20</v>
      </c>
      <c r="B32" s="9" t="s">
        <v>909</v>
      </c>
      <c r="C32" s="106">
        <v>0</v>
      </c>
      <c r="D32" s="159" t="s">
        <v>239</v>
      </c>
      <c r="E32" s="92"/>
      <c r="F32" s="87"/>
      <c r="G32" s="87"/>
      <c r="H32" s="87"/>
      <c r="I32" s="87"/>
      <c r="J32" s="87"/>
      <c r="K32" s="87"/>
      <c r="L32" s="97"/>
      <c r="M32" s="97"/>
      <c r="N32" s="97"/>
      <c r="O32" s="97"/>
      <c r="P32" s="97"/>
      <c r="Q32" s="87"/>
      <c r="R32" s="87"/>
    </row>
    <row r="33" spans="1:20" s="4" customFormat="1" ht="13.5" customHeight="1">
      <c r="A33" s="180">
        <v>21</v>
      </c>
      <c r="B33" s="9" t="s">
        <v>66</v>
      </c>
      <c r="C33" s="107"/>
      <c r="D33" s="159" t="s">
        <v>66</v>
      </c>
      <c r="E33" s="92"/>
      <c r="F33" s="87"/>
      <c r="G33" s="87"/>
      <c r="H33" s="87"/>
      <c r="I33" s="87"/>
      <c r="J33" s="87"/>
      <c r="K33" s="87"/>
      <c r="L33" s="97"/>
      <c r="M33" s="97"/>
      <c r="N33" s="97"/>
      <c r="O33" s="97"/>
      <c r="P33" s="97"/>
      <c r="Q33" s="87"/>
      <c r="R33" s="87"/>
    </row>
    <row r="34" spans="1:20" s="4" customFormat="1" ht="15" customHeight="1">
      <c r="A34" s="87"/>
      <c r="B34" s="87"/>
      <c r="C34" s="87"/>
      <c r="D34" s="87"/>
      <c r="E34" s="110"/>
      <c r="F34" s="87"/>
      <c r="G34" s="87"/>
      <c r="H34" s="87"/>
      <c r="I34" s="87"/>
      <c r="J34" s="87"/>
      <c r="K34" s="87"/>
      <c r="L34" s="97"/>
      <c r="M34" s="97"/>
      <c r="N34" s="97"/>
      <c r="O34" s="97"/>
      <c r="P34" s="97"/>
      <c r="Q34" s="87"/>
      <c r="R34" s="87"/>
    </row>
    <row r="35" spans="1:20" s="4" customFormat="1" ht="15" customHeight="1">
      <c r="A35" s="95" t="s">
        <v>247</v>
      </c>
      <c r="B35" s="95"/>
      <c r="C35" s="87"/>
      <c r="D35" s="87"/>
      <c r="E35" s="110"/>
      <c r="F35" s="87"/>
      <c r="G35" s="87"/>
      <c r="H35" s="87"/>
      <c r="I35" s="87"/>
      <c r="J35" s="87"/>
      <c r="K35" s="87"/>
      <c r="L35" s="97"/>
      <c r="M35" s="97"/>
      <c r="N35" s="97"/>
      <c r="O35" s="97"/>
      <c r="P35" s="97"/>
      <c r="Q35" s="87"/>
      <c r="R35" s="87"/>
    </row>
    <row r="36" spans="1:20" s="4" customFormat="1" ht="22.9" customHeight="1">
      <c r="A36" s="32" t="s">
        <v>34</v>
      </c>
      <c r="B36" s="128" t="s">
        <v>133</v>
      </c>
      <c r="C36" s="33" t="s">
        <v>108</v>
      </c>
      <c r="D36" s="8" t="s">
        <v>107</v>
      </c>
      <c r="E36" s="135" t="s">
        <v>211</v>
      </c>
      <c r="F36" s="136" t="s">
        <v>181</v>
      </c>
      <c r="G36" s="87"/>
      <c r="H36" s="87"/>
      <c r="I36" s="87"/>
      <c r="J36" s="87"/>
      <c r="K36" s="87"/>
      <c r="L36" s="97"/>
      <c r="M36" s="97"/>
      <c r="N36" s="97"/>
      <c r="O36" s="97"/>
      <c r="P36" s="97"/>
      <c r="Q36" s="87"/>
      <c r="R36" s="87"/>
    </row>
    <row r="37" spans="1:20" s="4" customFormat="1" ht="14.25" customHeight="1">
      <c r="A37" s="108" t="s">
        <v>110</v>
      </c>
      <c r="B37" s="30" t="s">
        <v>134</v>
      </c>
      <c r="C37" s="109">
        <v>1</v>
      </c>
      <c r="D37" s="9" t="s">
        <v>113</v>
      </c>
      <c r="E37" s="9"/>
      <c r="F37" s="9"/>
      <c r="G37" s="87"/>
      <c r="H37" s="87"/>
      <c r="I37" s="87"/>
      <c r="J37" s="87"/>
      <c r="K37" s="87"/>
      <c r="L37" s="97"/>
      <c r="M37" s="97"/>
      <c r="N37" s="97"/>
      <c r="O37" s="97"/>
      <c r="P37" s="97"/>
      <c r="Q37" s="87"/>
      <c r="R37" s="87"/>
    </row>
    <row r="38" spans="1:20" s="4" customFormat="1" ht="14.25" customHeight="1">
      <c r="A38" s="108" t="s">
        <v>109</v>
      </c>
      <c r="B38" s="30" t="s">
        <v>38</v>
      </c>
      <c r="C38" s="109">
        <v>1</v>
      </c>
      <c r="D38" s="9" t="s">
        <v>114</v>
      </c>
      <c r="E38" s="9"/>
      <c r="F38" s="9"/>
      <c r="G38" s="87"/>
      <c r="H38" s="87"/>
      <c r="I38" s="87"/>
      <c r="J38" s="87"/>
      <c r="K38" s="87"/>
      <c r="L38" s="97"/>
      <c r="M38" s="97"/>
      <c r="N38" s="97"/>
      <c r="O38" s="97"/>
      <c r="P38" s="97"/>
      <c r="Q38" s="87"/>
      <c r="R38" s="87"/>
    </row>
    <row r="39" spans="1:20" s="4" customFormat="1" ht="14.25" customHeight="1">
      <c r="A39" s="108" t="s">
        <v>111</v>
      </c>
      <c r="B39" s="30" t="s">
        <v>130</v>
      </c>
      <c r="C39" s="109">
        <v>1</v>
      </c>
      <c r="D39" s="9" t="s">
        <v>395</v>
      </c>
      <c r="E39" s="9"/>
      <c r="F39" s="9"/>
      <c r="G39" s="87"/>
      <c r="H39" s="87"/>
      <c r="I39" s="87"/>
      <c r="J39" s="87"/>
      <c r="K39" s="87"/>
      <c r="L39" s="97"/>
      <c r="M39" s="97"/>
      <c r="N39" s="97"/>
      <c r="O39" s="97"/>
      <c r="P39" s="97"/>
      <c r="Q39" s="87"/>
      <c r="R39" s="87"/>
    </row>
    <row r="40" spans="1:20" s="4" customFormat="1" ht="14.25" customHeight="1">
      <c r="A40" s="108" t="s">
        <v>762</v>
      </c>
      <c r="B40" s="30" t="s">
        <v>550</v>
      </c>
      <c r="C40" s="109">
        <v>1</v>
      </c>
      <c r="D40" s="9" t="s">
        <v>910</v>
      </c>
      <c r="E40" s="270"/>
      <c r="F40" s="270"/>
      <c r="G40" s="87"/>
      <c r="H40" s="87"/>
      <c r="I40" s="87"/>
      <c r="J40" s="87"/>
      <c r="K40" s="87"/>
      <c r="L40" s="97"/>
      <c r="M40" s="97"/>
      <c r="N40" s="97"/>
      <c r="O40" s="97"/>
      <c r="P40" s="97"/>
      <c r="Q40" s="87"/>
      <c r="R40" s="87"/>
    </row>
    <row r="41" spans="1:20" s="4" customFormat="1" ht="14.25" customHeight="1">
      <c r="A41" s="108" t="s">
        <v>112</v>
      </c>
      <c r="B41" s="30" t="s">
        <v>131</v>
      </c>
      <c r="C41" s="109">
        <v>1</v>
      </c>
      <c r="D41" s="9" t="s">
        <v>115</v>
      </c>
      <c r="E41" s="9"/>
      <c r="F41" s="9"/>
      <c r="G41" s="110"/>
      <c r="H41" s="87"/>
      <c r="I41" s="87"/>
      <c r="J41" s="87"/>
      <c r="K41" s="87"/>
      <c r="L41" s="87"/>
      <c r="M41" s="87"/>
      <c r="N41" s="97"/>
      <c r="O41" s="97"/>
      <c r="P41" s="97"/>
      <c r="Q41" s="97"/>
      <c r="R41" s="97"/>
      <c r="S41" s="87"/>
      <c r="T41" s="87"/>
    </row>
    <row r="42" spans="1:20" s="4" customFormat="1" ht="15" customHeight="1">
      <c r="A42" s="87"/>
      <c r="B42" s="87"/>
      <c r="C42" s="87"/>
      <c r="D42" s="87"/>
      <c r="E42" s="110"/>
      <c r="F42" s="87"/>
      <c r="G42" s="110"/>
      <c r="H42" s="87"/>
      <c r="I42" s="87"/>
      <c r="J42" s="87"/>
      <c r="K42" s="87"/>
      <c r="L42" s="87"/>
      <c r="M42" s="87"/>
      <c r="N42" s="97"/>
      <c r="O42" s="97"/>
      <c r="P42" s="97"/>
      <c r="Q42" s="97"/>
      <c r="R42" s="97"/>
      <c r="S42" s="87"/>
      <c r="T42" s="87"/>
    </row>
    <row r="43" spans="1:20" s="4" customFormat="1" ht="15" customHeight="1">
      <c r="A43" s="95" t="s">
        <v>116</v>
      </c>
      <c r="B43" s="87"/>
      <c r="C43" s="87"/>
      <c r="D43" s="97"/>
      <c r="E43" s="72"/>
      <c r="F43" s="72"/>
      <c r="G43" s="110"/>
      <c r="H43" s="87"/>
      <c r="I43" s="87"/>
      <c r="J43" s="87"/>
      <c r="K43" s="87"/>
      <c r="L43" s="87"/>
      <c r="M43" s="87"/>
      <c r="N43" s="97"/>
      <c r="O43" s="97"/>
      <c r="P43" s="97"/>
      <c r="Q43" s="97"/>
      <c r="R43" s="97"/>
      <c r="S43" s="87"/>
      <c r="T43" s="87"/>
    </row>
    <row r="44" spans="1:20" s="4" customFormat="1" ht="22.5">
      <c r="A44" s="32" t="s">
        <v>34</v>
      </c>
      <c r="B44" s="8" t="s">
        <v>117</v>
      </c>
      <c r="C44" s="33" t="s">
        <v>108</v>
      </c>
      <c r="D44" s="33" t="s">
        <v>136</v>
      </c>
      <c r="E44" s="72"/>
      <c r="F44" s="72"/>
      <c r="G44" s="110"/>
      <c r="H44" s="87"/>
      <c r="I44" s="87"/>
      <c r="J44" s="87"/>
      <c r="K44" s="87"/>
      <c r="L44" s="87"/>
      <c r="M44" s="87"/>
      <c r="N44" s="97"/>
      <c r="O44" s="97"/>
      <c r="P44" s="97"/>
      <c r="Q44" s="97"/>
      <c r="R44" s="97"/>
      <c r="S44" s="87"/>
      <c r="T44" s="87"/>
    </row>
    <row r="45" spans="1:20" s="4" customFormat="1" ht="14.25" customHeight="1">
      <c r="A45" s="47" t="s">
        <v>19</v>
      </c>
      <c r="B45" s="48" t="s">
        <v>29</v>
      </c>
      <c r="C45" s="109">
        <v>1</v>
      </c>
      <c r="D45" s="160">
        <v>400</v>
      </c>
      <c r="E45" s="72"/>
      <c r="F45" s="72"/>
      <c r="G45" s="110"/>
      <c r="H45" s="87"/>
      <c r="I45" s="87"/>
      <c r="J45" s="87"/>
      <c r="K45" s="87"/>
      <c r="L45" s="87"/>
      <c r="M45" s="87"/>
      <c r="N45" s="97"/>
      <c r="O45" s="97"/>
      <c r="P45" s="97"/>
      <c r="Q45" s="97"/>
      <c r="R45" s="97"/>
      <c r="S45" s="87"/>
      <c r="T45" s="87"/>
    </row>
    <row r="46" spans="1:20" s="4" customFormat="1" ht="14.25" customHeight="1">
      <c r="A46" s="49" t="s">
        <v>2</v>
      </c>
      <c r="B46" s="50" t="s">
        <v>1</v>
      </c>
      <c r="C46" s="109">
        <v>1</v>
      </c>
      <c r="D46" s="160">
        <v>200</v>
      </c>
      <c r="E46" s="72"/>
      <c r="F46" s="72"/>
      <c r="G46" s="87"/>
      <c r="H46" s="87"/>
      <c r="I46" s="87"/>
      <c r="J46" s="87"/>
      <c r="K46" s="87"/>
      <c r="L46" s="97"/>
      <c r="M46" s="97"/>
      <c r="N46" s="97"/>
      <c r="O46" s="97"/>
      <c r="P46" s="97"/>
      <c r="Q46" s="87"/>
      <c r="R46" s="87"/>
    </row>
    <row r="47" spans="1:20" s="72" customFormat="1" ht="14.25" customHeight="1">
      <c r="A47" s="47" t="s">
        <v>20</v>
      </c>
      <c r="B47" s="48" t="s">
        <v>21</v>
      </c>
      <c r="C47" s="109">
        <v>1</v>
      </c>
      <c r="D47" s="160">
        <v>160</v>
      </c>
      <c r="H47" s="93"/>
      <c r="J47" s="133"/>
      <c r="K47" s="73"/>
      <c r="L47" s="73"/>
      <c r="M47" s="73"/>
      <c r="N47" s="73"/>
      <c r="O47" s="73"/>
    </row>
    <row r="48" spans="1:20" ht="14.25" customHeight="1">
      <c r="A48" s="49" t="s">
        <v>18</v>
      </c>
      <c r="B48" s="50" t="s">
        <v>12</v>
      </c>
      <c r="C48" s="109">
        <v>1</v>
      </c>
      <c r="D48" s="160">
        <v>120</v>
      </c>
      <c r="E48" s="72"/>
      <c r="F48" s="72"/>
      <c r="G48" s="93"/>
      <c r="H48" s="72"/>
      <c r="I48" s="134"/>
      <c r="J48" s="73"/>
      <c r="K48" s="73"/>
      <c r="L48" s="73"/>
      <c r="M48" s="73"/>
      <c r="N48" s="73"/>
      <c r="O48" s="72"/>
      <c r="P48" s="72"/>
      <c r="Q48" s="72"/>
    </row>
    <row r="49" spans="1:18" ht="14.25" customHeight="1">
      <c r="A49" s="47" t="s">
        <v>118</v>
      </c>
      <c r="B49" s="48" t="s">
        <v>119</v>
      </c>
      <c r="C49" s="109">
        <v>1</v>
      </c>
      <c r="D49" s="160">
        <v>100</v>
      </c>
      <c r="E49" s="72"/>
      <c r="F49" s="72"/>
      <c r="G49" s="93"/>
      <c r="H49" s="72"/>
      <c r="I49" s="134"/>
      <c r="J49" s="73"/>
      <c r="K49" s="73"/>
      <c r="L49" s="73"/>
      <c r="M49" s="73"/>
      <c r="N49" s="73"/>
      <c r="O49" s="72"/>
      <c r="P49" s="72"/>
      <c r="Q49" s="72"/>
    </row>
    <row r="50" spans="1:18" ht="14.25" customHeight="1">
      <c r="A50" s="49" t="s">
        <v>17</v>
      </c>
      <c r="B50" s="50" t="s">
        <v>14</v>
      </c>
      <c r="C50" s="109">
        <v>1</v>
      </c>
      <c r="D50" s="160">
        <v>80</v>
      </c>
      <c r="E50" s="72"/>
      <c r="F50" s="72"/>
      <c r="G50" s="93"/>
      <c r="H50" s="72"/>
      <c r="I50" s="134"/>
      <c r="J50" s="73"/>
      <c r="K50" s="73"/>
      <c r="L50" s="73"/>
      <c r="M50" s="73"/>
      <c r="N50" s="73"/>
      <c r="O50" s="72"/>
      <c r="P50" s="72"/>
      <c r="Q50" s="72"/>
    </row>
    <row r="51" spans="1:18" ht="14.25" customHeight="1">
      <c r="A51" s="47" t="s">
        <v>15</v>
      </c>
      <c r="B51" s="48" t="s">
        <v>13</v>
      </c>
      <c r="C51" s="109">
        <v>1</v>
      </c>
      <c r="D51" s="160">
        <v>40</v>
      </c>
      <c r="E51" s="72"/>
      <c r="F51" s="72"/>
      <c r="G51" s="93"/>
      <c r="H51" s="72"/>
      <c r="I51" s="134"/>
      <c r="J51" s="73"/>
      <c r="K51" s="73"/>
      <c r="L51" s="73"/>
      <c r="M51" s="73"/>
      <c r="N51" s="73"/>
      <c r="O51" s="72"/>
      <c r="P51" s="72"/>
      <c r="Q51" s="72"/>
    </row>
    <row r="52" spans="1:18" ht="14.25" customHeight="1">
      <c r="A52" s="49" t="s">
        <v>25</v>
      </c>
      <c r="B52" s="50" t="s">
        <v>28</v>
      </c>
      <c r="C52" s="109">
        <v>1</v>
      </c>
      <c r="D52" s="160">
        <v>80</v>
      </c>
      <c r="E52" s="72"/>
      <c r="F52" s="72"/>
      <c r="G52" s="93"/>
      <c r="H52" s="72"/>
      <c r="I52" s="134"/>
      <c r="J52" s="73"/>
      <c r="K52" s="73"/>
      <c r="L52" s="73"/>
      <c r="M52" s="73"/>
      <c r="N52" s="73"/>
      <c r="O52" s="72"/>
      <c r="P52" s="72"/>
      <c r="Q52" s="72"/>
    </row>
    <row r="53" spans="1:18" ht="14.25" customHeight="1">
      <c r="A53" s="47" t="s">
        <v>26</v>
      </c>
      <c r="B53" s="48" t="s">
        <v>27</v>
      </c>
      <c r="C53" s="109">
        <v>1</v>
      </c>
      <c r="D53" s="160">
        <v>40</v>
      </c>
      <c r="E53" s="72"/>
      <c r="F53" s="72"/>
      <c r="G53" s="93"/>
      <c r="H53" s="72"/>
      <c r="I53" s="134"/>
      <c r="J53" s="73"/>
      <c r="K53" s="73"/>
      <c r="L53" s="73"/>
      <c r="M53" s="73"/>
      <c r="N53" s="73"/>
      <c r="O53" s="72"/>
      <c r="P53" s="72"/>
      <c r="Q53" s="72"/>
    </row>
    <row r="54" spans="1:18" ht="14.25" customHeight="1">
      <c r="A54" s="49" t="s">
        <v>16</v>
      </c>
      <c r="B54" s="50" t="s">
        <v>0</v>
      </c>
      <c r="C54" s="109">
        <v>1</v>
      </c>
      <c r="D54" s="160">
        <v>10</v>
      </c>
      <c r="E54" s="72"/>
      <c r="F54" s="72"/>
      <c r="G54" s="93"/>
      <c r="H54" s="72"/>
      <c r="I54" s="134"/>
      <c r="J54" s="73"/>
      <c r="K54" s="73"/>
      <c r="L54" s="73"/>
      <c r="M54" s="73"/>
      <c r="N54" s="73"/>
      <c r="O54" s="72"/>
      <c r="P54" s="72"/>
      <c r="Q54" s="72"/>
    </row>
    <row r="55" spans="1:18" ht="15" customHeight="1">
      <c r="A55" s="111"/>
      <c r="B55" s="97"/>
      <c r="C55" s="97"/>
      <c r="D55" s="97"/>
      <c r="E55" s="72"/>
      <c r="F55" s="72"/>
      <c r="G55" s="93"/>
      <c r="H55" s="72"/>
      <c r="I55" s="134"/>
      <c r="J55" s="73"/>
      <c r="K55" s="73"/>
      <c r="L55" s="73"/>
      <c r="M55" s="73"/>
      <c r="N55" s="73"/>
      <c r="O55" s="72"/>
      <c r="P55" s="72"/>
      <c r="Q55" s="72"/>
    </row>
    <row r="56" spans="1:18" ht="15" customHeight="1">
      <c r="A56" s="134"/>
      <c r="B56" s="72"/>
      <c r="C56" s="72"/>
      <c r="D56" s="92"/>
      <c r="E56" s="72"/>
      <c r="F56" s="72"/>
      <c r="G56" s="93"/>
      <c r="H56" s="72"/>
      <c r="I56" s="134"/>
      <c r="J56" s="73"/>
      <c r="K56" s="73"/>
      <c r="L56" s="73"/>
      <c r="M56" s="73"/>
      <c r="N56" s="73"/>
      <c r="O56" s="72"/>
      <c r="P56" s="72"/>
      <c r="Q56" s="72"/>
    </row>
    <row r="57" spans="1:18" ht="15" customHeight="1">
      <c r="A57" s="134"/>
      <c r="B57" s="72"/>
      <c r="C57" s="72"/>
      <c r="D57" s="92"/>
      <c r="E57" s="72"/>
      <c r="F57" s="72"/>
      <c r="G57" s="93"/>
      <c r="H57" s="72"/>
      <c r="I57" s="134"/>
      <c r="J57" s="73"/>
      <c r="K57" s="73"/>
      <c r="L57" s="73"/>
      <c r="M57" s="73"/>
      <c r="N57" s="73"/>
      <c r="O57" s="72"/>
      <c r="P57" s="72"/>
      <c r="Q57" s="72"/>
    </row>
    <row r="58" spans="1:18" ht="15" customHeight="1">
      <c r="A58" s="134"/>
      <c r="B58" s="72"/>
      <c r="C58" s="72"/>
      <c r="D58" s="92"/>
      <c r="E58" s="72"/>
      <c r="F58" s="72"/>
      <c r="G58" s="93"/>
      <c r="H58" s="72"/>
      <c r="I58" s="134"/>
      <c r="J58" s="73"/>
      <c r="K58" s="73"/>
      <c r="L58" s="73"/>
      <c r="M58" s="73"/>
      <c r="N58" s="73"/>
      <c r="O58" s="72"/>
      <c r="P58" s="72"/>
      <c r="Q58" s="72"/>
    </row>
    <row r="59" spans="1:18" ht="15" customHeight="1">
      <c r="A59" s="134"/>
      <c r="B59" s="72"/>
      <c r="C59" s="72"/>
      <c r="D59" s="92"/>
      <c r="E59" s="72"/>
      <c r="F59" s="72"/>
      <c r="G59" s="72"/>
      <c r="H59" s="93"/>
      <c r="I59" s="72"/>
      <c r="J59" s="134"/>
      <c r="K59" s="73"/>
      <c r="L59" s="73"/>
      <c r="M59" s="73"/>
      <c r="N59" s="73"/>
      <c r="O59" s="73"/>
      <c r="P59" s="72"/>
      <c r="Q59" s="72"/>
      <c r="R59" s="72"/>
    </row>
    <row r="60" spans="1:18" ht="15" customHeight="1">
      <c r="F60" s="72"/>
      <c r="G60" s="72"/>
      <c r="H60" s="93"/>
      <c r="I60" s="72"/>
      <c r="J60" s="134"/>
      <c r="K60" s="73"/>
      <c r="L60" s="73"/>
      <c r="M60" s="73"/>
      <c r="N60" s="73"/>
      <c r="O60" s="73"/>
      <c r="P60" s="72"/>
      <c r="Q60" s="72"/>
      <c r="R60" s="72"/>
    </row>
    <row r="61" spans="1:18" ht="15" customHeight="1">
      <c r="F61" s="72"/>
      <c r="G61" s="72"/>
      <c r="H61" s="93"/>
      <c r="I61" s="72"/>
      <c r="J61" s="134"/>
      <c r="K61" s="73"/>
      <c r="L61" s="73"/>
      <c r="M61" s="73"/>
      <c r="N61" s="73"/>
      <c r="O61" s="73"/>
      <c r="P61" s="72"/>
      <c r="Q61" s="72"/>
      <c r="R61" s="72"/>
    </row>
    <row r="62" spans="1:18" ht="15" customHeight="1">
      <c r="F62" s="72"/>
      <c r="G62" s="72"/>
      <c r="H62" s="93"/>
      <c r="I62" s="72"/>
      <c r="J62" s="134"/>
      <c r="K62" s="73"/>
      <c r="L62" s="73"/>
      <c r="M62" s="73"/>
      <c r="N62" s="73"/>
      <c r="O62" s="73"/>
      <c r="P62" s="72"/>
      <c r="Q62" s="72"/>
      <c r="R62" s="72"/>
    </row>
    <row r="63" spans="1:18" ht="15" customHeight="1">
      <c r="F63" s="72"/>
      <c r="G63" s="72"/>
      <c r="H63" s="93"/>
      <c r="I63" s="72"/>
      <c r="J63" s="134"/>
      <c r="K63" s="73"/>
      <c r="L63" s="73"/>
      <c r="M63" s="73"/>
      <c r="N63" s="73"/>
      <c r="O63" s="73"/>
      <c r="P63" s="72"/>
      <c r="Q63" s="72"/>
      <c r="R63" s="72"/>
    </row>
    <row r="64" spans="1:18" ht="15" customHeight="1">
      <c r="F64" s="72"/>
      <c r="G64" s="72"/>
      <c r="H64" s="93"/>
      <c r="I64" s="72"/>
      <c r="J64" s="134"/>
      <c r="K64" s="73"/>
      <c r="L64" s="73"/>
      <c r="M64" s="73"/>
      <c r="N64" s="73"/>
      <c r="O64" s="73"/>
      <c r="P64" s="72"/>
      <c r="Q64" s="72"/>
      <c r="R64" s="72"/>
    </row>
    <row r="65" spans="6:18" ht="15" customHeight="1">
      <c r="F65" s="72"/>
      <c r="G65" s="72"/>
      <c r="H65" s="93"/>
      <c r="I65" s="72"/>
      <c r="J65" s="134"/>
      <c r="K65" s="73"/>
      <c r="L65" s="73"/>
      <c r="M65" s="73"/>
      <c r="N65" s="73"/>
      <c r="O65" s="73"/>
      <c r="P65" s="72"/>
      <c r="Q65" s="72"/>
      <c r="R65" s="72"/>
    </row>
    <row r="66" spans="6:18" ht="15" customHeight="1">
      <c r="F66" s="72"/>
      <c r="G66" s="72"/>
      <c r="H66" s="93"/>
      <c r="I66" s="72"/>
      <c r="J66" s="134"/>
      <c r="K66" s="73"/>
      <c r="L66" s="73"/>
      <c r="M66" s="73"/>
      <c r="N66" s="73"/>
      <c r="O66" s="73"/>
      <c r="P66" s="72"/>
      <c r="Q66" s="72"/>
      <c r="R66" s="72"/>
    </row>
    <row r="67" spans="6:18" ht="15" customHeight="1">
      <c r="F67" s="72"/>
      <c r="G67" s="72"/>
      <c r="H67" s="93"/>
      <c r="I67" s="72"/>
      <c r="J67" s="134"/>
      <c r="K67" s="73"/>
      <c r="L67" s="73"/>
      <c r="M67" s="73"/>
      <c r="N67" s="73"/>
      <c r="O67" s="73"/>
      <c r="P67" s="72"/>
      <c r="Q67" s="72"/>
      <c r="R67" s="72"/>
    </row>
    <row r="68" spans="6:18" ht="15" customHeight="1">
      <c r="F68" s="72"/>
      <c r="G68" s="72"/>
      <c r="H68" s="93"/>
      <c r="I68" s="72"/>
      <c r="J68" s="134"/>
      <c r="K68" s="73"/>
      <c r="L68" s="73"/>
      <c r="M68" s="73"/>
      <c r="N68" s="73"/>
      <c r="O68" s="73"/>
      <c r="P68" s="72"/>
      <c r="Q68" s="72"/>
      <c r="R68" s="72"/>
    </row>
    <row r="69" spans="6:18" ht="15" customHeight="1">
      <c r="F69" s="72"/>
      <c r="G69" s="72"/>
      <c r="H69" s="93"/>
      <c r="I69" s="72"/>
      <c r="J69" s="134"/>
      <c r="K69" s="73"/>
      <c r="L69" s="73"/>
      <c r="M69" s="73"/>
      <c r="N69" s="73"/>
      <c r="O69" s="73"/>
      <c r="P69" s="72"/>
      <c r="Q69" s="72"/>
      <c r="R69" s="72"/>
    </row>
    <row r="70" spans="6:18" ht="15" customHeight="1">
      <c r="F70" s="72"/>
      <c r="G70" s="72"/>
      <c r="H70" s="93"/>
      <c r="I70" s="72"/>
      <c r="J70" s="134"/>
      <c r="K70" s="73"/>
      <c r="L70" s="73"/>
      <c r="M70" s="73"/>
      <c r="N70" s="73"/>
      <c r="O70" s="73"/>
      <c r="P70" s="72"/>
      <c r="Q70" s="72"/>
      <c r="R70" s="72"/>
    </row>
    <row r="71" spans="6:18" ht="15" customHeight="1">
      <c r="F71" s="72"/>
      <c r="G71" s="72"/>
      <c r="H71" s="93"/>
      <c r="I71" s="72"/>
      <c r="J71" s="134"/>
      <c r="K71" s="73"/>
      <c r="L71" s="73"/>
      <c r="M71" s="73"/>
      <c r="N71" s="73"/>
      <c r="O71" s="73"/>
      <c r="P71" s="72"/>
      <c r="Q71" s="72"/>
      <c r="R71" s="72"/>
    </row>
    <row r="72" spans="6:18" ht="15" customHeight="1">
      <c r="F72" s="72"/>
      <c r="G72" s="72"/>
      <c r="H72" s="93"/>
      <c r="I72" s="72"/>
      <c r="J72" s="134"/>
      <c r="K72" s="73"/>
      <c r="L72" s="73"/>
      <c r="M72" s="73"/>
      <c r="N72" s="73"/>
      <c r="O72" s="73"/>
      <c r="P72" s="72"/>
      <c r="Q72" s="72"/>
      <c r="R72" s="72"/>
    </row>
    <row r="73" spans="6:18" ht="15" customHeight="1">
      <c r="F73" s="72"/>
      <c r="G73" s="72"/>
      <c r="H73" s="93"/>
      <c r="I73" s="72"/>
      <c r="J73" s="134"/>
      <c r="K73" s="73"/>
      <c r="L73" s="73"/>
      <c r="M73" s="73"/>
      <c r="N73" s="73"/>
      <c r="O73" s="73"/>
      <c r="P73" s="72"/>
      <c r="Q73" s="72"/>
      <c r="R73" s="72"/>
    </row>
    <row r="74" spans="6:18" ht="15" customHeight="1">
      <c r="F74" s="72"/>
      <c r="G74" s="72"/>
      <c r="H74" s="93"/>
      <c r="I74" s="72"/>
      <c r="J74" s="134"/>
      <c r="K74" s="73"/>
      <c r="L74" s="73"/>
      <c r="M74" s="73"/>
      <c r="N74" s="73"/>
      <c r="O74" s="73"/>
      <c r="P74" s="72"/>
      <c r="Q74" s="72"/>
      <c r="R74" s="72"/>
    </row>
    <row r="75" spans="6:18" ht="15" customHeight="1">
      <c r="F75" s="72"/>
      <c r="G75" s="72"/>
      <c r="H75" s="93"/>
      <c r="I75" s="72"/>
      <c r="J75" s="134"/>
      <c r="K75" s="73"/>
      <c r="L75" s="73"/>
      <c r="M75" s="73"/>
      <c r="N75" s="73"/>
      <c r="O75" s="73"/>
      <c r="P75" s="72"/>
      <c r="Q75" s="72"/>
      <c r="R75" s="72"/>
    </row>
    <row r="76" spans="6:18" ht="15" customHeight="1">
      <c r="F76" s="72"/>
      <c r="G76" s="72"/>
      <c r="H76" s="93"/>
      <c r="I76" s="72"/>
      <c r="J76" s="134"/>
      <c r="K76" s="73"/>
      <c r="L76" s="73"/>
      <c r="M76" s="73"/>
      <c r="N76" s="73"/>
      <c r="O76" s="73"/>
      <c r="P76" s="72"/>
      <c r="Q76" s="72"/>
      <c r="R76" s="72"/>
    </row>
    <row r="77" spans="6:18" ht="15" customHeight="1">
      <c r="F77" s="72"/>
      <c r="G77" s="72"/>
      <c r="H77" s="93"/>
      <c r="I77" s="72"/>
      <c r="J77" s="134"/>
      <c r="K77" s="73"/>
      <c r="L77" s="73"/>
      <c r="M77" s="73"/>
      <c r="N77" s="73"/>
      <c r="O77" s="73"/>
      <c r="P77" s="72"/>
      <c r="Q77" s="72"/>
      <c r="R77" s="72"/>
    </row>
    <row r="78" spans="6:18" ht="15" customHeight="1">
      <c r="F78" s="72"/>
      <c r="G78" s="72"/>
      <c r="H78" s="93"/>
      <c r="I78" s="72"/>
      <c r="J78" s="134"/>
      <c r="K78" s="73"/>
      <c r="L78" s="73"/>
      <c r="M78" s="73"/>
      <c r="N78" s="73"/>
      <c r="O78" s="73"/>
      <c r="P78" s="72"/>
      <c r="Q78" s="72"/>
      <c r="R78" s="72"/>
    </row>
    <row r="79" spans="6:18" ht="15" customHeight="1">
      <c r="F79" s="72"/>
      <c r="G79" s="72"/>
      <c r="H79" s="93"/>
      <c r="I79" s="72"/>
      <c r="J79" s="134"/>
      <c r="K79" s="73"/>
      <c r="L79" s="73"/>
      <c r="M79" s="73"/>
      <c r="N79" s="73"/>
      <c r="O79" s="73"/>
      <c r="P79" s="72"/>
      <c r="Q79" s="72"/>
      <c r="R79" s="72"/>
    </row>
    <row r="80" spans="6:18" ht="15" customHeight="1">
      <c r="F80" s="72"/>
      <c r="G80" s="72"/>
      <c r="H80" s="93"/>
      <c r="I80" s="72"/>
      <c r="J80" s="134"/>
      <c r="K80" s="73"/>
      <c r="L80" s="73"/>
      <c r="M80" s="73"/>
      <c r="N80" s="73"/>
      <c r="O80" s="73"/>
      <c r="P80" s="72"/>
      <c r="Q80" s="72"/>
      <c r="R80" s="72"/>
    </row>
    <row r="81" spans="6:18" ht="15" customHeight="1">
      <c r="F81" s="72"/>
      <c r="G81" s="72"/>
      <c r="H81" s="93"/>
      <c r="I81" s="72"/>
      <c r="J81" s="134"/>
      <c r="K81" s="73"/>
      <c r="L81" s="73"/>
      <c r="M81" s="73"/>
      <c r="N81" s="73"/>
      <c r="O81" s="73"/>
      <c r="P81" s="72"/>
      <c r="Q81" s="72"/>
      <c r="R81" s="72"/>
    </row>
    <row r="82" spans="6:18" ht="15" customHeight="1">
      <c r="F82" s="72"/>
      <c r="G82" s="72"/>
      <c r="H82" s="93"/>
      <c r="I82" s="72"/>
      <c r="J82" s="134"/>
      <c r="K82" s="73"/>
      <c r="L82" s="73"/>
      <c r="M82" s="73"/>
      <c r="N82" s="73"/>
      <c r="O82" s="73"/>
      <c r="P82" s="72"/>
      <c r="Q82" s="72"/>
      <c r="R82" s="72"/>
    </row>
    <row r="83" spans="6:18" ht="15" customHeight="1">
      <c r="F83" s="72"/>
      <c r="G83" s="72"/>
      <c r="H83" s="93"/>
      <c r="I83" s="72"/>
      <c r="J83" s="134"/>
      <c r="K83" s="73"/>
      <c r="L83" s="73"/>
      <c r="M83" s="73"/>
      <c r="N83" s="73"/>
      <c r="O83" s="73"/>
      <c r="P83" s="72"/>
      <c r="Q83" s="72"/>
      <c r="R83" s="72"/>
    </row>
    <row r="84" spans="6:18" ht="15" customHeight="1">
      <c r="F84" s="72"/>
      <c r="G84" s="72"/>
      <c r="H84" s="93"/>
      <c r="I84" s="72"/>
      <c r="J84" s="134"/>
      <c r="K84" s="73"/>
      <c r="L84" s="73"/>
      <c r="M84" s="73"/>
      <c r="N84" s="73"/>
      <c r="O84" s="73"/>
      <c r="P84" s="72"/>
      <c r="Q84" s="72"/>
      <c r="R84" s="72"/>
    </row>
    <row r="85" spans="6:18" ht="15" customHeight="1">
      <c r="F85" s="72"/>
      <c r="G85" s="72"/>
      <c r="H85" s="93"/>
      <c r="I85" s="72"/>
      <c r="J85" s="134"/>
      <c r="K85" s="73"/>
      <c r="L85" s="73"/>
      <c r="M85" s="73"/>
      <c r="N85" s="73"/>
      <c r="O85" s="73"/>
      <c r="P85" s="72"/>
      <c r="Q85" s="72"/>
      <c r="R85" s="72"/>
    </row>
    <row r="86" spans="6:18" ht="15" customHeight="1">
      <c r="F86" s="72"/>
      <c r="G86" s="72"/>
      <c r="H86" s="93"/>
      <c r="I86" s="72"/>
      <c r="J86" s="134"/>
      <c r="K86" s="73"/>
      <c r="L86" s="73"/>
      <c r="M86" s="73"/>
      <c r="N86" s="73"/>
      <c r="O86" s="73"/>
      <c r="P86" s="72"/>
      <c r="Q86" s="72"/>
      <c r="R86" s="72"/>
    </row>
    <row r="87" spans="6:18" ht="15" customHeight="1">
      <c r="F87" s="72"/>
      <c r="G87" s="72"/>
      <c r="H87" s="93"/>
      <c r="I87" s="72"/>
      <c r="J87" s="134"/>
      <c r="K87" s="73"/>
      <c r="L87" s="73"/>
      <c r="M87" s="73"/>
      <c r="N87" s="73"/>
      <c r="O87" s="73"/>
      <c r="P87" s="72"/>
      <c r="Q87" s="72"/>
      <c r="R87" s="72"/>
    </row>
    <row r="88" spans="6:18" ht="15" customHeight="1">
      <c r="F88" s="72"/>
      <c r="G88" s="72"/>
      <c r="H88" s="93"/>
      <c r="I88" s="72"/>
      <c r="J88" s="134"/>
      <c r="K88" s="73"/>
      <c r="L88" s="73"/>
      <c r="M88" s="73"/>
      <c r="N88" s="73"/>
      <c r="O88" s="73"/>
      <c r="P88" s="72"/>
      <c r="Q88" s="72"/>
      <c r="R88" s="72"/>
    </row>
    <row r="89" spans="6:18" ht="15" customHeight="1">
      <c r="F89" s="72"/>
      <c r="G89" s="72"/>
      <c r="H89" s="93"/>
      <c r="I89" s="72"/>
      <c r="J89" s="134"/>
      <c r="K89" s="73"/>
      <c r="L89" s="73"/>
      <c r="M89" s="73"/>
      <c r="N89" s="73"/>
      <c r="O89" s="73"/>
      <c r="P89" s="72"/>
      <c r="Q89" s="72"/>
      <c r="R89" s="72"/>
    </row>
    <row r="90" spans="6:18" ht="15" customHeight="1">
      <c r="F90" s="72"/>
      <c r="G90" s="72"/>
      <c r="H90" s="93"/>
      <c r="I90" s="72"/>
      <c r="J90" s="134"/>
      <c r="K90" s="73"/>
      <c r="L90" s="73"/>
      <c r="M90" s="73"/>
      <c r="N90" s="73"/>
      <c r="O90" s="73"/>
      <c r="P90" s="72"/>
      <c r="Q90" s="72"/>
      <c r="R90" s="72"/>
    </row>
    <row r="91" spans="6:18" ht="15" customHeight="1">
      <c r="F91" s="72"/>
      <c r="G91" s="72"/>
      <c r="H91" s="93"/>
      <c r="I91" s="72"/>
      <c r="J91" s="134"/>
      <c r="K91" s="73"/>
      <c r="L91" s="73"/>
      <c r="M91" s="73"/>
      <c r="N91" s="73"/>
      <c r="O91" s="73"/>
      <c r="P91" s="72"/>
      <c r="Q91" s="72"/>
      <c r="R91" s="72"/>
    </row>
    <row r="92" spans="6:18" ht="15" customHeight="1">
      <c r="F92" s="72"/>
      <c r="G92" s="72"/>
      <c r="H92" s="93"/>
      <c r="I92" s="72"/>
      <c r="J92" s="134"/>
      <c r="K92" s="73"/>
      <c r="L92" s="73"/>
      <c r="M92" s="73"/>
      <c r="N92" s="73"/>
      <c r="O92" s="73"/>
      <c r="P92" s="72"/>
      <c r="Q92" s="72"/>
      <c r="R92" s="72"/>
    </row>
    <row r="93" spans="6:18" ht="15" customHeight="1">
      <c r="F93" s="72"/>
      <c r="G93" s="72"/>
      <c r="H93" s="93"/>
      <c r="I93" s="72"/>
      <c r="J93" s="134"/>
      <c r="K93" s="73"/>
      <c r="L93" s="73"/>
      <c r="M93" s="73"/>
      <c r="N93" s="73"/>
      <c r="O93" s="73"/>
      <c r="P93" s="72"/>
      <c r="Q93" s="72"/>
      <c r="R93" s="72"/>
    </row>
    <row r="94" spans="6:18" ht="15" customHeight="1">
      <c r="F94" s="72"/>
      <c r="G94" s="72"/>
      <c r="H94" s="93"/>
      <c r="I94" s="72"/>
      <c r="J94" s="134"/>
      <c r="K94" s="73"/>
      <c r="L94" s="73"/>
      <c r="M94" s="73"/>
      <c r="N94" s="73"/>
      <c r="O94" s="73"/>
      <c r="P94" s="72"/>
      <c r="Q94" s="72"/>
      <c r="R94" s="72"/>
    </row>
    <row r="95" spans="6:18" ht="15" customHeight="1">
      <c r="F95" s="72"/>
      <c r="G95" s="72"/>
      <c r="H95" s="93"/>
      <c r="I95" s="72"/>
      <c r="J95" s="134"/>
      <c r="K95" s="73"/>
      <c r="L95" s="73"/>
      <c r="M95" s="73"/>
      <c r="N95" s="73"/>
      <c r="O95" s="73"/>
      <c r="P95" s="72"/>
      <c r="Q95" s="72"/>
      <c r="R95" s="72"/>
    </row>
    <row r="96" spans="6:18" ht="15" customHeight="1">
      <c r="F96" s="72"/>
      <c r="G96" s="72"/>
      <c r="H96" s="93"/>
      <c r="I96" s="72"/>
      <c r="J96" s="134"/>
      <c r="K96" s="73"/>
      <c r="L96" s="73"/>
      <c r="M96" s="73"/>
      <c r="N96" s="73"/>
      <c r="O96" s="73"/>
      <c r="P96" s="72"/>
      <c r="Q96" s="72"/>
      <c r="R96" s="72"/>
    </row>
    <row r="97" spans="6:18" ht="15" customHeight="1">
      <c r="F97" s="72"/>
      <c r="G97" s="72"/>
      <c r="H97" s="93"/>
      <c r="I97" s="72"/>
      <c r="J97" s="134"/>
      <c r="K97" s="73"/>
      <c r="L97" s="73"/>
      <c r="M97" s="73"/>
      <c r="N97" s="73"/>
      <c r="O97" s="73"/>
      <c r="P97" s="72"/>
      <c r="Q97" s="72"/>
      <c r="R97" s="72"/>
    </row>
    <row r="98" spans="6:18" ht="15" customHeight="1">
      <c r="F98" s="72"/>
      <c r="G98" s="72"/>
      <c r="H98" s="93"/>
      <c r="I98" s="72"/>
      <c r="J98" s="134"/>
      <c r="K98" s="73"/>
      <c r="L98" s="73"/>
      <c r="M98" s="73"/>
      <c r="N98" s="73"/>
      <c r="O98" s="73"/>
      <c r="P98" s="72"/>
      <c r="Q98" s="72"/>
      <c r="R98" s="72"/>
    </row>
    <row r="99" spans="6:18" ht="15" customHeight="1">
      <c r="F99" s="72"/>
      <c r="G99" s="72"/>
      <c r="H99" s="93"/>
      <c r="I99" s="72"/>
      <c r="J99" s="134"/>
      <c r="K99" s="73"/>
      <c r="L99" s="73"/>
      <c r="M99" s="73"/>
      <c r="N99" s="73"/>
      <c r="O99" s="73"/>
      <c r="P99" s="72"/>
      <c r="Q99" s="72"/>
      <c r="R99" s="72"/>
    </row>
    <row r="100" spans="6:18" ht="15" customHeight="1">
      <c r="F100" s="72"/>
      <c r="G100" s="72"/>
      <c r="H100" s="93"/>
      <c r="I100" s="72"/>
      <c r="J100" s="134"/>
      <c r="K100" s="73"/>
      <c r="L100" s="73"/>
      <c r="M100" s="73"/>
      <c r="N100" s="73"/>
      <c r="O100" s="73"/>
      <c r="P100" s="72"/>
      <c r="Q100" s="72"/>
      <c r="R100" s="72"/>
    </row>
    <row r="101" spans="6:18" ht="15" customHeight="1">
      <c r="F101" s="72"/>
      <c r="G101" s="72"/>
      <c r="H101" s="93"/>
      <c r="I101" s="72"/>
      <c r="J101" s="134"/>
      <c r="K101" s="73"/>
      <c r="L101" s="73"/>
      <c r="M101" s="73"/>
      <c r="N101" s="73"/>
      <c r="O101" s="73"/>
      <c r="P101" s="72"/>
      <c r="Q101" s="72"/>
      <c r="R101" s="72"/>
    </row>
    <row r="102" spans="6:18" ht="15" customHeight="1">
      <c r="F102" s="72"/>
      <c r="G102" s="72"/>
      <c r="H102" s="93"/>
      <c r="I102" s="72"/>
      <c r="J102" s="134"/>
      <c r="K102" s="73"/>
      <c r="L102" s="73"/>
      <c r="M102" s="73"/>
      <c r="N102" s="73"/>
      <c r="O102" s="73"/>
      <c r="P102" s="72"/>
      <c r="Q102" s="72"/>
      <c r="R102" s="72"/>
    </row>
    <row r="103" spans="6:18" ht="15" customHeight="1">
      <c r="F103" s="72"/>
      <c r="G103" s="72"/>
      <c r="H103" s="93"/>
      <c r="I103" s="72"/>
      <c r="J103" s="134"/>
      <c r="K103" s="73"/>
      <c r="L103" s="73"/>
      <c r="M103" s="73"/>
      <c r="N103" s="73"/>
      <c r="O103" s="73"/>
      <c r="P103" s="72"/>
      <c r="Q103" s="72"/>
      <c r="R103" s="72"/>
    </row>
    <row r="104" spans="6:18" ht="15" customHeight="1">
      <c r="F104" s="72"/>
      <c r="G104" s="72"/>
      <c r="H104" s="93"/>
      <c r="I104" s="72"/>
      <c r="J104" s="134"/>
      <c r="K104" s="73"/>
      <c r="L104" s="73"/>
      <c r="M104" s="73"/>
      <c r="N104" s="73"/>
      <c r="O104" s="73"/>
      <c r="P104" s="72"/>
      <c r="Q104" s="72"/>
      <c r="R104" s="72"/>
    </row>
    <row r="105" spans="6:18" ht="15" customHeight="1">
      <c r="F105" s="72"/>
      <c r="G105" s="72"/>
      <c r="H105" s="93"/>
      <c r="I105" s="72"/>
      <c r="J105" s="134"/>
      <c r="K105" s="73"/>
      <c r="L105" s="73"/>
      <c r="M105" s="73"/>
      <c r="N105" s="73"/>
      <c r="O105" s="73"/>
      <c r="P105" s="72"/>
      <c r="Q105" s="72"/>
      <c r="R105" s="72"/>
    </row>
    <row r="106" spans="6:18" ht="15" customHeight="1">
      <c r="F106" s="72"/>
      <c r="G106" s="72"/>
      <c r="H106" s="93"/>
      <c r="I106" s="72"/>
      <c r="J106" s="134"/>
      <c r="K106" s="73"/>
      <c r="L106" s="73"/>
      <c r="M106" s="73"/>
      <c r="N106" s="73"/>
      <c r="O106" s="73"/>
      <c r="P106" s="72"/>
      <c r="Q106" s="72"/>
      <c r="R106" s="72"/>
    </row>
    <row r="107" spans="6:18" ht="15" customHeight="1">
      <c r="F107" s="72"/>
      <c r="G107" s="72"/>
      <c r="H107" s="93"/>
      <c r="I107" s="72"/>
      <c r="J107" s="134"/>
      <c r="K107" s="73"/>
      <c r="L107" s="73"/>
      <c r="M107" s="73"/>
      <c r="N107" s="73"/>
      <c r="O107" s="73"/>
      <c r="P107" s="72"/>
      <c r="Q107" s="72"/>
      <c r="R107" s="72"/>
    </row>
    <row r="108" spans="6:18" ht="15" customHeight="1">
      <c r="F108" s="72"/>
      <c r="G108" s="72"/>
      <c r="H108" s="93"/>
      <c r="I108" s="72"/>
      <c r="J108" s="134"/>
      <c r="K108" s="73"/>
      <c r="L108" s="73"/>
      <c r="M108" s="73"/>
      <c r="N108" s="73"/>
      <c r="O108" s="73"/>
      <c r="P108" s="72"/>
      <c r="Q108" s="72"/>
      <c r="R108" s="72"/>
    </row>
    <row r="109" spans="6:18" ht="15" customHeight="1">
      <c r="F109" s="72"/>
      <c r="G109" s="72"/>
      <c r="H109" s="93"/>
      <c r="I109" s="72"/>
      <c r="J109" s="134"/>
      <c r="K109" s="73"/>
      <c r="L109" s="73"/>
      <c r="M109" s="73"/>
      <c r="N109" s="73"/>
      <c r="O109" s="73"/>
      <c r="P109" s="72"/>
      <c r="Q109" s="72"/>
      <c r="R109" s="72"/>
    </row>
    <row r="110" spans="6:18" ht="15" customHeight="1">
      <c r="F110" s="72"/>
      <c r="G110" s="72"/>
      <c r="H110" s="93"/>
      <c r="I110" s="72"/>
      <c r="J110" s="134"/>
      <c r="K110" s="73"/>
      <c r="L110" s="73"/>
      <c r="M110" s="73"/>
      <c r="N110" s="73"/>
      <c r="O110" s="73"/>
      <c r="P110" s="72"/>
      <c r="Q110" s="72"/>
      <c r="R110" s="72"/>
    </row>
    <row r="111" spans="6:18" ht="15" customHeight="1">
      <c r="F111" s="72"/>
      <c r="G111" s="72"/>
      <c r="H111" s="93"/>
      <c r="I111" s="72"/>
      <c r="J111" s="134"/>
      <c r="K111" s="73"/>
      <c r="L111" s="73"/>
      <c r="M111" s="73"/>
      <c r="N111" s="73"/>
      <c r="O111" s="73"/>
      <c r="P111" s="72"/>
      <c r="Q111" s="72"/>
      <c r="R111" s="72"/>
    </row>
    <row r="112" spans="6:18" ht="15" customHeight="1">
      <c r="F112" s="72"/>
      <c r="G112" s="72"/>
      <c r="H112" s="93"/>
      <c r="I112" s="72"/>
      <c r="J112" s="134"/>
      <c r="K112" s="73"/>
      <c r="L112" s="73"/>
      <c r="M112" s="73"/>
      <c r="N112" s="73"/>
      <c r="O112" s="73"/>
      <c r="P112" s="72"/>
      <c r="Q112" s="72"/>
      <c r="R112" s="72"/>
    </row>
    <row r="113" spans="6:18" ht="15" customHeight="1">
      <c r="F113" s="72"/>
      <c r="G113" s="72"/>
      <c r="H113" s="93"/>
      <c r="I113" s="72"/>
      <c r="J113" s="134"/>
      <c r="K113" s="73"/>
      <c r="L113" s="73"/>
      <c r="M113" s="73"/>
      <c r="N113" s="73"/>
      <c r="O113" s="73"/>
      <c r="P113" s="72"/>
      <c r="Q113" s="72"/>
      <c r="R113" s="72"/>
    </row>
    <row r="114" spans="6:18" ht="15" customHeight="1">
      <c r="F114" s="72"/>
      <c r="G114" s="72"/>
      <c r="H114" s="93"/>
      <c r="I114" s="72"/>
      <c r="J114" s="134"/>
      <c r="K114" s="73"/>
      <c r="L114" s="73"/>
      <c r="M114" s="73"/>
      <c r="N114" s="73"/>
      <c r="O114" s="73"/>
      <c r="P114" s="72"/>
      <c r="Q114" s="72"/>
      <c r="R114" s="72"/>
    </row>
    <row r="115" spans="6:18" ht="15" customHeight="1">
      <c r="F115" s="72"/>
      <c r="G115" s="72"/>
      <c r="H115" s="93"/>
      <c r="I115" s="72"/>
      <c r="J115" s="134"/>
      <c r="K115" s="73"/>
      <c r="L115" s="73"/>
      <c r="M115" s="73"/>
      <c r="N115" s="73"/>
      <c r="O115" s="73"/>
      <c r="P115" s="72"/>
      <c r="Q115" s="72"/>
      <c r="R115" s="72"/>
    </row>
    <row r="116" spans="6:18" ht="15" customHeight="1">
      <c r="F116" s="72"/>
      <c r="G116" s="72"/>
      <c r="H116" s="93"/>
      <c r="I116" s="72"/>
      <c r="J116" s="134"/>
      <c r="K116" s="73"/>
      <c r="L116" s="73"/>
      <c r="M116" s="73"/>
      <c r="N116" s="73"/>
      <c r="O116" s="73"/>
      <c r="P116" s="72"/>
      <c r="Q116" s="72"/>
      <c r="R116" s="72"/>
    </row>
    <row r="117" spans="6:18" ht="15" customHeight="1">
      <c r="F117" s="72"/>
      <c r="G117" s="72"/>
      <c r="H117" s="93"/>
      <c r="I117" s="72"/>
      <c r="J117" s="134"/>
      <c r="K117" s="73"/>
      <c r="L117" s="73"/>
      <c r="M117" s="73"/>
      <c r="N117" s="73"/>
      <c r="O117" s="73"/>
      <c r="P117" s="72"/>
      <c r="Q117" s="72"/>
      <c r="R117" s="72"/>
    </row>
    <row r="118" spans="6:18" ht="15" customHeight="1">
      <c r="F118" s="72"/>
      <c r="G118" s="72"/>
      <c r="H118" s="93"/>
      <c r="I118" s="72"/>
      <c r="J118" s="134"/>
      <c r="K118" s="73"/>
      <c r="L118" s="73"/>
      <c r="M118" s="73"/>
      <c r="N118" s="73"/>
      <c r="O118" s="73"/>
      <c r="P118" s="72"/>
      <c r="Q118" s="72"/>
      <c r="R118" s="72"/>
    </row>
    <row r="119" spans="6:18" ht="15" customHeight="1">
      <c r="F119" s="72"/>
      <c r="G119" s="72"/>
      <c r="H119" s="93"/>
      <c r="I119" s="72"/>
      <c r="J119" s="134"/>
      <c r="K119" s="73"/>
      <c r="L119" s="73"/>
      <c r="M119" s="73"/>
      <c r="N119" s="73"/>
      <c r="O119" s="73"/>
      <c r="P119" s="72"/>
      <c r="Q119" s="72"/>
      <c r="R119" s="72"/>
    </row>
    <row r="120" spans="6:18" ht="15" customHeight="1">
      <c r="F120" s="72"/>
      <c r="G120" s="72"/>
      <c r="H120" s="93"/>
      <c r="I120" s="72"/>
      <c r="J120" s="134"/>
      <c r="K120" s="73"/>
      <c r="L120" s="73"/>
      <c r="M120" s="73"/>
      <c r="N120" s="73"/>
      <c r="O120" s="73"/>
      <c r="P120" s="72"/>
      <c r="Q120" s="72"/>
      <c r="R120" s="72"/>
    </row>
    <row r="121" spans="6:18" ht="15" customHeight="1">
      <c r="F121" s="72"/>
      <c r="G121" s="72"/>
      <c r="H121" s="93"/>
      <c r="I121" s="72"/>
      <c r="J121" s="134"/>
      <c r="K121" s="73"/>
      <c r="L121" s="73"/>
      <c r="M121" s="73"/>
      <c r="N121" s="73"/>
      <c r="O121" s="73"/>
      <c r="P121" s="72"/>
      <c r="Q121" s="72"/>
      <c r="R121" s="72"/>
    </row>
    <row r="122" spans="6:18" ht="15" customHeight="1">
      <c r="F122" s="72"/>
      <c r="G122" s="72"/>
      <c r="H122" s="93"/>
      <c r="I122" s="72"/>
      <c r="J122" s="134"/>
      <c r="K122" s="73"/>
      <c r="L122" s="73"/>
      <c r="M122" s="73"/>
      <c r="N122" s="73"/>
      <c r="O122" s="73"/>
      <c r="P122" s="72"/>
      <c r="Q122" s="72"/>
      <c r="R122" s="72"/>
    </row>
    <row r="123" spans="6:18" ht="15" customHeight="1">
      <c r="F123" s="72"/>
      <c r="G123" s="72"/>
      <c r="H123" s="93"/>
      <c r="I123" s="72"/>
      <c r="J123" s="134"/>
      <c r="K123" s="73"/>
      <c r="L123" s="73"/>
      <c r="M123" s="73"/>
      <c r="N123" s="73"/>
      <c r="O123" s="73"/>
      <c r="P123" s="72"/>
      <c r="Q123" s="72"/>
      <c r="R123" s="72"/>
    </row>
    <row r="124" spans="6:18" ht="15" customHeight="1">
      <c r="F124" s="72"/>
      <c r="G124" s="72"/>
      <c r="H124" s="93"/>
      <c r="I124" s="72"/>
      <c r="J124" s="134"/>
      <c r="K124" s="73"/>
      <c r="L124" s="73"/>
      <c r="M124" s="73"/>
      <c r="N124" s="73"/>
      <c r="O124" s="73"/>
      <c r="P124" s="72"/>
      <c r="Q124" s="72"/>
      <c r="R124" s="72"/>
    </row>
    <row r="125" spans="6:18" ht="15" customHeight="1">
      <c r="F125" s="72"/>
      <c r="G125" s="72"/>
      <c r="H125" s="93"/>
      <c r="I125" s="72"/>
      <c r="J125" s="134"/>
      <c r="K125" s="73"/>
      <c r="L125" s="73"/>
      <c r="M125" s="73"/>
      <c r="N125" s="73"/>
      <c r="O125" s="73"/>
      <c r="P125" s="72"/>
      <c r="Q125" s="72"/>
      <c r="R125" s="72"/>
    </row>
    <row r="126" spans="6:18" ht="15" customHeight="1">
      <c r="F126" s="72"/>
      <c r="G126" s="72"/>
      <c r="H126" s="93"/>
      <c r="I126" s="72"/>
      <c r="J126" s="134"/>
      <c r="K126" s="73"/>
      <c r="L126" s="73"/>
      <c r="M126" s="73"/>
      <c r="N126" s="73"/>
      <c r="O126" s="73"/>
      <c r="P126" s="72"/>
      <c r="Q126" s="72"/>
      <c r="R126" s="72"/>
    </row>
    <row r="127" spans="6:18" ht="15" customHeight="1">
      <c r="F127" s="72"/>
      <c r="G127" s="72"/>
      <c r="H127" s="93"/>
      <c r="I127" s="72"/>
      <c r="J127" s="134"/>
      <c r="K127" s="73"/>
      <c r="L127" s="73"/>
      <c r="M127" s="73"/>
      <c r="N127" s="73"/>
      <c r="O127" s="73"/>
      <c r="P127" s="72"/>
      <c r="Q127" s="72"/>
      <c r="R127" s="72"/>
    </row>
    <row r="128" spans="6:18" ht="15" customHeight="1">
      <c r="F128" s="72"/>
      <c r="G128" s="72"/>
      <c r="H128" s="93"/>
      <c r="I128" s="72"/>
      <c r="J128" s="134"/>
      <c r="K128" s="73"/>
      <c r="L128" s="73"/>
      <c r="M128" s="73"/>
      <c r="N128" s="73"/>
      <c r="O128" s="73"/>
      <c r="P128" s="72"/>
      <c r="Q128" s="72"/>
      <c r="R128" s="72"/>
    </row>
    <row r="129" spans="6:18" ht="15" customHeight="1">
      <c r="F129" s="72"/>
      <c r="G129" s="72"/>
      <c r="H129" s="93"/>
      <c r="I129" s="72"/>
      <c r="J129" s="134"/>
      <c r="K129" s="73"/>
      <c r="L129" s="73"/>
      <c r="M129" s="73"/>
      <c r="N129" s="73"/>
      <c r="O129" s="73"/>
      <c r="P129" s="72"/>
      <c r="Q129" s="72"/>
      <c r="R129" s="72"/>
    </row>
    <row r="130" spans="6:18" ht="15" customHeight="1">
      <c r="F130" s="72"/>
      <c r="G130" s="72"/>
      <c r="H130" s="93"/>
      <c r="I130" s="72"/>
      <c r="J130" s="134"/>
      <c r="K130" s="73"/>
      <c r="L130" s="73"/>
      <c r="M130" s="73"/>
      <c r="N130" s="73"/>
      <c r="O130" s="73"/>
      <c r="P130" s="72"/>
      <c r="Q130" s="72"/>
      <c r="R130" s="72"/>
    </row>
    <row r="131" spans="6:18" ht="15" customHeight="1">
      <c r="F131" s="72"/>
      <c r="G131" s="72"/>
      <c r="H131" s="93"/>
      <c r="I131" s="72"/>
      <c r="J131" s="134"/>
      <c r="K131" s="73"/>
      <c r="L131" s="73"/>
      <c r="M131" s="73"/>
      <c r="N131" s="73"/>
      <c r="O131" s="73"/>
      <c r="P131" s="72"/>
      <c r="Q131" s="72"/>
      <c r="R131" s="72"/>
    </row>
    <row r="132" spans="6:18" ht="15" customHeight="1">
      <c r="F132" s="72"/>
      <c r="G132" s="72"/>
      <c r="H132" s="93"/>
      <c r="I132" s="72"/>
      <c r="J132" s="134"/>
      <c r="K132" s="73"/>
      <c r="L132" s="73"/>
      <c r="M132" s="73"/>
      <c r="N132" s="73"/>
      <c r="O132" s="73"/>
      <c r="P132" s="72"/>
      <c r="Q132" s="72"/>
      <c r="R132" s="72"/>
    </row>
    <row r="133" spans="6:18" ht="15" customHeight="1">
      <c r="F133" s="72"/>
      <c r="G133" s="72"/>
      <c r="H133" s="93"/>
      <c r="I133" s="72"/>
      <c r="J133" s="134"/>
      <c r="K133" s="73"/>
      <c r="L133" s="73"/>
      <c r="M133" s="73"/>
      <c r="N133" s="73"/>
      <c r="O133" s="73"/>
      <c r="P133" s="72"/>
      <c r="Q133" s="72"/>
      <c r="R133" s="72"/>
    </row>
    <row r="134" spans="6:18" ht="15" customHeight="1">
      <c r="F134" s="72"/>
      <c r="G134" s="72"/>
      <c r="H134" s="93"/>
      <c r="I134" s="72"/>
      <c r="J134" s="134"/>
      <c r="K134" s="73"/>
      <c r="L134" s="73"/>
      <c r="M134" s="73"/>
      <c r="N134" s="73"/>
      <c r="O134" s="73"/>
      <c r="P134" s="72"/>
      <c r="Q134" s="72"/>
      <c r="R134" s="72"/>
    </row>
    <row r="135" spans="6:18" ht="15" customHeight="1">
      <c r="F135" s="72"/>
      <c r="G135" s="72"/>
      <c r="H135" s="93"/>
      <c r="I135" s="72"/>
      <c r="J135" s="134"/>
      <c r="K135" s="73"/>
      <c r="L135" s="73"/>
      <c r="M135" s="73"/>
      <c r="N135" s="73"/>
      <c r="O135" s="73"/>
      <c r="P135" s="72"/>
      <c r="Q135" s="72"/>
      <c r="R135" s="72"/>
    </row>
    <row r="136" spans="6:18" ht="15" customHeight="1">
      <c r="F136" s="72"/>
      <c r="G136" s="72"/>
      <c r="H136" s="93"/>
      <c r="I136" s="72"/>
      <c r="J136" s="134"/>
      <c r="K136" s="73"/>
      <c r="L136" s="73"/>
      <c r="M136" s="73"/>
      <c r="N136" s="73"/>
      <c r="O136" s="73"/>
      <c r="P136" s="72"/>
      <c r="Q136" s="72"/>
      <c r="R136" s="72"/>
    </row>
    <row r="137" spans="6:18" ht="15" customHeight="1">
      <c r="F137" s="72"/>
      <c r="G137" s="72"/>
      <c r="H137" s="93"/>
      <c r="I137" s="72"/>
      <c r="J137" s="134"/>
      <c r="K137" s="73"/>
      <c r="L137" s="73"/>
      <c r="M137" s="73"/>
      <c r="N137" s="73"/>
      <c r="O137" s="73"/>
      <c r="P137" s="72"/>
      <c r="Q137" s="72"/>
      <c r="R137" s="72"/>
    </row>
    <row r="138" spans="6:18" ht="15" customHeight="1">
      <c r="F138" s="72"/>
      <c r="G138" s="72"/>
      <c r="H138" s="93"/>
      <c r="I138" s="72"/>
      <c r="J138" s="134"/>
      <c r="K138" s="73"/>
      <c r="L138" s="73"/>
      <c r="M138" s="73"/>
      <c r="N138" s="73"/>
      <c r="O138" s="73"/>
      <c r="P138" s="72"/>
      <c r="Q138" s="72"/>
      <c r="R138" s="72"/>
    </row>
    <row r="139" spans="6:18" ht="15" customHeight="1">
      <c r="F139" s="72"/>
      <c r="G139" s="72"/>
      <c r="H139" s="93"/>
      <c r="I139" s="72"/>
      <c r="J139" s="134"/>
      <c r="K139" s="73"/>
      <c r="L139" s="73"/>
      <c r="M139" s="73"/>
      <c r="N139" s="73"/>
      <c r="O139" s="73"/>
      <c r="P139" s="72"/>
      <c r="Q139" s="72"/>
      <c r="R139" s="72"/>
    </row>
    <row r="140" spans="6:18" ht="15" customHeight="1">
      <c r="F140" s="72"/>
      <c r="G140" s="72"/>
      <c r="H140" s="93"/>
      <c r="I140" s="72"/>
      <c r="J140" s="134"/>
      <c r="K140" s="73"/>
      <c r="L140" s="73"/>
      <c r="M140" s="73"/>
      <c r="N140" s="73"/>
      <c r="O140" s="73"/>
      <c r="P140" s="72"/>
      <c r="Q140" s="72"/>
      <c r="R140" s="72"/>
    </row>
    <row r="141" spans="6:18" ht="15" customHeight="1">
      <c r="F141" s="72"/>
      <c r="G141" s="72"/>
      <c r="H141" s="93"/>
      <c r="I141" s="72"/>
      <c r="J141" s="134"/>
      <c r="K141" s="73"/>
      <c r="L141" s="73"/>
      <c r="M141" s="73"/>
      <c r="N141" s="73"/>
      <c r="O141" s="73"/>
      <c r="P141" s="72"/>
      <c r="Q141" s="72"/>
      <c r="R141" s="72"/>
    </row>
    <row r="142" spans="6:18" ht="15" customHeight="1">
      <c r="F142" s="72"/>
      <c r="G142" s="72"/>
      <c r="H142" s="93"/>
      <c r="I142" s="72"/>
      <c r="J142" s="134"/>
      <c r="K142" s="73"/>
      <c r="L142" s="73"/>
      <c r="M142" s="73"/>
      <c r="N142" s="73"/>
      <c r="O142" s="73"/>
      <c r="P142" s="72"/>
      <c r="Q142" s="72"/>
      <c r="R142" s="72"/>
    </row>
    <row r="143" spans="6:18" ht="15" customHeight="1">
      <c r="F143" s="72"/>
      <c r="G143" s="72"/>
      <c r="H143" s="93"/>
      <c r="I143" s="72"/>
      <c r="J143" s="134"/>
      <c r="K143" s="73"/>
      <c r="L143" s="73"/>
      <c r="M143" s="73"/>
      <c r="N143" s="73"/>
      <c r="O143" s="73"/>
      <c r="P143" s="72"/>
      <c r="Q143" s="72"/>
      <c r="R143" s="72"/>
    </row>
    <row r="144" spans="6:18" ht="15" customHeight="1">
      <c r="F144" s="72"/>
      <c r="G144" s="72"/>
      <c r="H144" s="93"/>
      <c r="I144" s="72"/>
      <c r="J144" s="134"/>
      <c r="K144" s="73"/>
      <c r="L144" s="73"/>
      <c r="M144" s="73"/>
      <c r="N144" s="73"/>
      <c r="O144" s="73"/>
      <c r="P144" s="72"/>
      <c r="Q144" s="72"/>
      <c r="R144" s="72"/>
    </row>
    <row r="145" spans="6:18" ht="15" customHeight="1">
      <c r="F145" s="72"/>
      <c r="G145" s="72"/>
      <c r="H145" s="93"/>
      <c r="I145" s="72"/>
      <c r="J145" s="134"/>
      <c r="K145" s="73"/>
      <c r="L145" s="73"/>
      <c r="M145" s="73"/>
      <c r="N145" s="73"/>
      <c r="O145" s="73"/>
      <c r="P145" s="72"/>
      <c r="Q145" s="72"/>
      <c r="R145" s="72"/>
    </row>
    <row r="146" spans="6:18" ht="15" customHeight="1">
      <c r="F146" s="72"/>
      <c r="G146" s="72"/>
      <c r="H146" s="93"/>
      <c r="I146" s="72"/>
      <c r="J146" s="134"/>
      <c r="K146" s="73"/>
      <c r="L146" s="73"/>
      <c r="M146" s="73"/>
      <c r="N146" s="73"/>
      <c r="O146" s="73"/>
      <c r="P146" s="72"/>
      <c r="Q146" s="72"/>
      <c r="R146" s="72"/>
    </row>
    <row r="147" spans="6:18" ht="15" customHeight="1">
      <c r="F147" s="72"/>
      <c r="G147" s="72"/>
      <c r="H147" s="93"/>
      <c r="I147" s="72"/>
      <c r="J147" s="134"/>
      <c r="K147" s="73"/>
      <c r="L147" s="73"/>
      <c r="M147" s="73"/>
      <c r="N147" s="73"/>
      <c r="O147" s="73"/>
      <c r="P147" s="72"/>
      <c r="Q147" s="72"/>
      <c r="R147" s="72"/>
    </row>
    <row r="148" spans="6:18" ht="15" customHeight="1">
      <c r="F148" s="72"/>
      <c r="G148" s="72"/>
      <c r="H148" s="93"/>
      <c r="I148" s="72"/>
      <c r="J148" s="134"/>
      <c r="K148" s="73"/>
      <c r="L148" s="73"/>
      <c r="M148" s="73"/>
      <c r="N148" s="73"/>
      <c r="O148" s="73"/>
      <c r="P148" s="72"/>
      <c r="Q148" s="72"/>
      <c r="R148" s="72"/>
    </row>
    <row r="149" spans="6:18" ht="15" customHeight="1">
      <c r="F149" s="72"/>
      <c r="G149" s="72"/>
      <c r="H149" s="93"/>
      <c r="I149" s="72"/>
      <c r="J149" s="134"/>
      <c r="K149" s="73"/>
      <c r="L149" s="73"/>
      <c r="M149" s="73"/>
      <c r="N149" s="73"/>
      <c r="O149" s="73"/>
      <c r="P149" s="72"/>
      <c r="Q149" s="72"/>
      <c r="R149" s="72"/>
    </row>
    <row r="150" spans="6:18" ht="15" customHeight="1">
      <c r="F150" s="72"/>
      <c r="G150" s="72"/>
      <c r="H150" s="93"/>
      <c r="I150" s="72"/>
      <c r="J150" s="134"/>
      <c r="K150" s="73"/>
      <c r="L150" s="73"/>
      <c r="M150" s="73"/>
      <c r="N150" s="73"/>
      <c r="O150" s="73"/>
      <c r="P150" s="72"/>
      <c r="Q150" s="72"/>
      <c r="R150" s="72"/>
    </row>
    <row r="151" spans="6:18" ht="15" customHeight="1">
      <c r="F151" s="72"/>
      <c r="G151" s="72"/>
      <c r="H151" s="93"/>
      <c r="I151" s="72"/>
      <c r="J151" s="134"/>
      <c r="K151" s="73"/>
      <c r="L151" s="73"/>
      <c r="M151" s="73"/>
      <c r="N151" s="73"/>
      <c r="O151" s="73"/>
      <c r="P151" s="72"/>
      <c r="Q151" s="72"/>
      <c r="R151" s="72"/>
    </row>
    <row r="152" spans="6:18" ht="15" customHeight="1">
      <c r="F152" s="72"/>
      <c r="G152" s="72"/>
      <c r="H152" s="93"/>
      <c r="I152" s="72"/>
      <c r="J152" s="134"/>
      <c r="K152" s="73"/>
      <c r="L152" s="73"/>
      <c r="M152" s="73"/>
      <c r="N152" s="73"/>
      <c r="O152" s="73"/>
      <c r="P152" s="72"/>
      <c r="Q152" s="72"/>
      <c r="R152" s="72"/>
    </row>
    <row r="153" spans="6:18" ht="15" customHeight="1">
      <c r="F153" s="72"/>
      <c r="G153" s="72"/>
      <c r="H153" s="93"/>
      <c r="I153" s="72"/>
      <c r="J153" s="134"/>
      <c r="K153" s="73"/>
      <c r="L153" s="73"/>
      <c r="M153" s="73"/>
      <c r="N153" s="73"/>
      <c r="O153" s="73"/>
      <c r="P153" s="72"/>
      <c r="Q153" s="72"/>
      <c r="R153" s="72"/>
    </row>
    <row r="154" spans="6:18" ht="15" customHeight="1">
      <c r="F154" s="72"/>
      <c r="G154" s="72"/>
      <c r="H154" s="93"/>
      <c r="I154" s="72"/>
      <c r="J154" s="134"/>
      <c r="K154" s="73"/>
      <c r="L154" s="73"/>
      <c r="M154" s="73"/>
      <c r="N154" s="73"/>
      <c r="O154" s="73"/>
      <c r="P154" s="72"/>
      <c r="Q154" s="72"/>
      <c r="R154" s="72"/>
    </row>
    <row r="155" spans="6:18" ht="15" customHeight="1">
      <c r="F155" s="72"/>
      <c r="G155" s="72"/>
      <c r="H155" s="93"/>
      <c r="I155" s="72"/>
      <c r="J155" s="134"/>
      <c r="K155" s="73"/>
      <c r="L155" s="73"/>
      <c r="M155" s="73"/>
      <c r="N155" s="73"/>
      <c r="O155" s="73"/>
      <c r="P155" s="72"/>
      <c r="Q155" s="72"/>
      <c r="R155" s="72"/>
    </row>
    <row r="156" spans="6:18" ht="15" customHeight="1">
      <c r="F156" s="72"/>
      <c r="G156" s="72"/>
      <c r="H156" s="93"/>
      <c r="I156" s="72"/>
      <c r="J156" s="134"/>
      <c r="K156" s="73"/>
      <c r="L156" s="73"/>
      <c r="M156" s="73"/>
      <c r="N156" s="73"/>
      <c r="O156" s="73"/>
      <c r="P156" s="72"/>
      <c r="Q156" s="72"/>
      <c r="R156" s="72"/>
    </row>
    <row r="157" spans="6:18" ht="15" customHeight="1">
      <c r="F157" s="72"/>
      <c r="G157" s="72"/>
      <c r="H157" s="93"/>
      <c r="I157" s="72"/>
      <c r="J157" s="134"/>
      <c r="K157" s="73"/>
      <c r="L157" s="73"/>
      <c r="M157" s="73"/>
      <c r="N157" s="73"/>
      <c r="O157" s="73"/>
      <c r="P157" s="72"/>
      <c r="Q157" s="72"/>
      <c r="R157" s="72"/>
    </row>
    <row r="158" spans="6:18" ht="15" customHeight="1">
      <c r="G158" s="72"/>
      <c r="H158" s="93"/>
      <c r="I158" s="72"/>
      <c r="J158" s="134"/>
      <c r="K158" s="73"/>
      <c r="L158" s="73"/>
      <c r="M158" s="73"/>
      <c r="N158" s="73"/>
      <c r="O158" s="73"/>
      <c r="P158" s="72"/>
      <c r="Q158" s="72"/>
      <c r="R158" s="72"/>
    </row>
    <row r="159" spans="6:18" ht="15" customHeight="1">
      <c r="G159" s="72"/>
      <c r="H159" s="93"/>
      <c r="I159" s="72"/>
      <c r="J159" s="134"/>
      <c r="K159" s="73"/>
      <c r="L159" s="73"/>
      <c r="M159" s="73"/>
      <c r="N159" s="73"/>
      <c r="O159" s="73"/>
      <c r="P159" s="72"/>
      <c r="Q159" s="72"/>
      <c r="R159" s="72"/>
    </row>
    <row r="160" spans="6:18" ht="15" customHeight="1">
      <c r="G160" s="72"/>
      <c r="H160" s="93"/>
      <c r="I160" s="72"/>
      <c r="J160" s="134"/>
      <c r="K160" s="73"/>
      <c r="L160" s="73"/>
      <c r="M160" s="73"/>
      <c r="N160" s="73"/>
      <c r="O160" s="73"/>
      <c r="P160" s="72"/>
      <c r="Q160" s="72"/>
      <c r="R160" s="72"/>
    </row>
    <row r="161" spans="7:18" ht="15" customHeight="1">
      <c r="G161" s="72"/>
      <c r="H161" s="93"/>
      <c r="I161" s="72"/>
      <c r="J161" s="134"/>
      <c r="K161" s="73"/>
      <c r="L161" s="73"/>
      <c r="M161" s="73"/>
      <c r="N161" s="73"/>
      <c r="O161" s="73"/>
      <c r="P161" s="72"/>
      <c r="Q161" s="72"/>
      <c r="R161" s="72"/>
    </row>
  </sheetData>
  <mergeCells count="2">
    <mergeCell ref="A2:F2"/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K305"/>
  <sheetViews>
    <sheetView zoomScaleNormal="100" zoomScaleSheetLayoutView="90" workbookViewId="0">
      <pane ySplit="4" topLeftCell="A5" activePane="bottomLeft" state="frozen"/>
      <selection pane="bottomLeft" activeCell="AD5" sqref="AD5"/>
    </sheetView>
  </sheetViews>
  <sheetFormatPr defaultColWidth="10.28515625" defaultRowHeight="15" customHeight="1"/>
  <cols>
    <col min="1" max="1" width="8.140625" style="4" customWidth="1"/>
    <col min="2" max="2" width="28.28515625" style="4" bestFit="1" customWidth="1"/>
    <col min="3" max="3" width="19.140625" style="4" bestFit="1" customWidth="1"/>
    <col min="4" max="4" width="10.5703125" style="4" customWidth="1"/>
    <col min="5" max="5" width="11.7109375" style="4" bestFit="1" customWidth="1"/>
    <col min="6" max="6" width="14" style="4" customWidth="1"/>
    <col min="7" max="7" width="9.28515625" style="21" customWidth="1"/>
    <col min="8" max="8" width="11.5703125" style="21" customWidth="1"/>
    <col min="9" max="9" width="30.5703125" style="82" bestFit="1" customWidth="1"/>
    <col min="10" max="10" width="10" style="21" customWidth="1"/>
    <col min="11" max="11" width="23.140625" style="82" bestFit="1" customWidth="1"/>
    <col min="12" max="12" width="10" style="21" customWidth="1"/>
    <col min="13" max="13" width="19.140625" style="115" customWidth="1"/>
    <col min="14" max="14" width="10.42578125" style="115" customWidth="1"/>
    <col min="15" max="15" width="13.85546875" style="116" customWidth="1"/>
    <col min="16" max="16" width="18.7109375" style="174" bestFit="1" customWidth="1"/>
    <col min="17" max="17" width="10" style="4" customWidth="1"/>
    <col min="18" max="18" width="12.42578125" style="17" customWidth="1"/>
    <col min="19" max="19" width="16.42578125" style="17" customWidth="1"/>
    <col min="20" max="20" width="16.42578125" style="118" customWidth="1"/>
    <col min="21" max="21" width="18" style="119" customWidth="1"/>
    <col min="22" max="22" width="16.42578125" style="235" customWidth="1"/>
    <col min="23" max="23" width="16.42578125" style="238" customWidth="1"/>
    <col min="24" max="24" width="16.42578125" style="118" customWidth="1"/>
    <col min="25" max="25" width="16.42578125" style="119" customWidth="1"/>
    <col min="26" max="26" width="16.42578125" style="117" customWidth="1"/>
    <col min="27" max="28" width="16.42578125" style="4" customWidth="1"/>
    <col min="29" max="30" width="16.42578125" style="120" customWidth="1"/>
    <col min="31" max="31" width="16.42578125" style="28" customWidth="1"/>
    <col min="32" max="32" width="16.42578125" style="87" customWidth="1"/>
    <col min="33" max="218" width="10.28515625" style="87"/>
    <col min="219" max="16384" width="10.28515625" style="4"/>
  </cols>
  <sheetData>
    <row r="1" spans="1:219" ht="15" customHeight="1">
      <c r="A1" s="304" t="s">
        <v>173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</row>
    <row r="2" spans="1:219" ht="15" customHeight="1">
      <c r="A2" s="87"/>
      <c r="B2" s="87"/>
      <c r="C2" s="87"/>
      <c r="D2" s="87"/>
      <c r="E2" s="87"/>
      <c r="F2" s="87"/>
      <c r="G2" s="97"/>
      <c r="H2" s="97"/>
      <c r="I2" s="131"/>
      <c r="J2" s="97"/>
      <c r="K2" s="131"/>
      <c r="L2" s="97"/>
      <c r="M2" s="112"/>
      <c r="N2" s="112"/>
      <c r="O2" s="113"/>
      <c r="P2" s="172"/>
      <c r="Q2" s="87"/>
      <c r="R2" s="87"/>
      <c r="S2" s="87"/>
      <c r="T2" s="87"/>
      <c r="U2" s="87"/>
      <c r="V2" s="234"/>
      <c r="W2" s="236"/>
      <c r="X2" s="87"/>
      <c r="Y2" s="87"/>
      <c r="Z2" s="87"/>
      <c r="AA2" s="87"/>
      <c r="AB2" s="87"/>
      <c r="AC2" s="87"/>
      <c r="AD2" s="87"/>
      <c r="AE2" s="87"/>
    </row>
    <row r="3" spans="1:219" s="87" customFormat="1" ht="15" customHeight="1">
      <c r="G3" s="97"/>
      <c r="H3" s="97"/>
      <c r="I3" s="131"/>
      <c r="J3" s="97"/>
      <c r="K3" s="131"/>
      <c r="L3" s="97"/>
      <c r="M3" s="112"/>
      <c r="N3" s="112"/>
      <c r="O3" s="113"/>
      <c r="P3" s="172"/>
      <c r="R3" s="305" t="s">
        <v>252</v>
      </c>
      <c r="S3" s="306"/>
      <c r="T3" s="306"/>
      <c r="U3" s="306"/>
      <c r="V3" s="306"/>
      <c r="W3" s="307"/>
      <c r="X3" s="308" t="s">
        <v>253</v>
      </c>
      <c r="Y3" s="309"/>
      <c r="Z3" s="309"/>
      <c r="AA3" s="309"/>
      <c r="AB3" s="309"/>
      <c r="AC3" s="310"/>
      <c r="AD3" s="311" t="s">
        <v>254</v>
      </c>
      <c r="AE3" s="312"/>
      <c r="AF3" s="313"/>
    </row>
    <row r="4" spans="1:219" s="8" customFormat="1" ht="46.5" customHeight="1">
      <c r="A4" s="129" t="s">
        <v>34</v>
      </c>
      <c r="B4" s="33" t="s">
        <v>147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433</v>
      </c>
      <c r="I4" s="83" t="s">
        <v>106</v>
      </c>
      <c r="J4" s="33" t="s">
        <v>23</v>
      </c>
      <c r="K4" s="83" t="s">
        <v>122</v>
      </c>
      <c r="L4" s="33" t="s">
        <v>123</v>
      </c>
      <c r="M4" s="33" t="s">
        <v>39</v>
      </c>
      <c r="N4" s="33" t="s">
        <v>32</v>
      </c>
      <c r="O4" s="33" t="s">
        <v>135</v>
      </c>
      <c r="P4" s="173" t="s">
        <v>69</v>
      </c>
      <c r="Q4" s="33" t="s">
        <v>126</v>
      </c>
      <c r="R4" s="33" t="s">
        <v>124</v>
      </c>
      <c r="S4" s="33" t="s">
        <v>139</v>
      </c>
      <c r="T4" s="33" t="s">
        <v>140</v>
      </c>
      <c r="U4" s="33" t="s">
        <v>141</v>
      </c>
      <c r="V4" s="88" t="s">
        <v>137</v>
      </c>
      <c r="W4" s="237" t="s">
        <v>138</v>
      </c>
      <c r="X4" s="33" t="s">
        <v>125</v>
      </c>
      <c r="Y4" s="33" t="s">
        <v>146</v>
      </c>
      <c r="Z4" s="33" t="s">
        <v>142</v>
      </c>
      <c r="AA4" s="33" t="s">
        <v>143</v>
      </c>
      <c r="AB4" s="33" t="s">
        <v>144</v>
      </c>
      <c r="AC4" s="33" t="s">
        <v>145</v>
      </c>
      <c r="AD4" s="88" t="s">
        <v>129</v>
      </c>
      <c r="AE4" s="88" t="s">
        <v>37</v>
      </c>
      <c r="AF4" s="89" t="s">
        <v>36</v>
      </c>
      <c r="AG4" s="90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</row>
    <row r="5" spans="1:219" s="8" customFormat="1" ht="15" customHeight="1">
      <c r="A5" s="129">
        <v>1</v>
      </c>
      <c r="B5" s="21" t="str">
        <f>VLOOKUP(Ruimtestaat[[#This Row],[Code]],Locaties[#All],2,FALSE)</f>
        <v>Novalis College hoofdgebouw</v>
      </c>
      <c r="C5" s="21" t="str">
        <f>VLOOKUP(Ruimtestaat[[#This Row],[Code]],Locaties[#All],4,FALSE)</f>
        <v>Sterrenlaan 16</v>
      </c>
      <c r="D5" s="21" t="str">
        <f>VLOOKUP(Ruimtestaat[[#This Row],[Code]],Locaties[#All],5,FALSE)</f>
        <v>5631 KA</v>
      </c>
      <c r="E5" s="200" t="str">
        <f>VLOOKUP(Ruimtestaat[[#This Row],[Code]],Locaties[#All],6,FALSE)</f>
        <v>Eindhoven</v>
      </c>
      <c r="F5" s="213" t="s">
        <v>613</v>
      </c>
      <c r="G5" s="213" t="s">
        <v>523</v>
      </c>
      <c r="H5" s="213" t="s">
        <v>441</v>
      </c>
      <c r="I5" s="252" t="s">
        <v>517</v>
      </c>
      <c r="J5" s="213">
        <v>7</v>
      </c>
      <c r="K5" s="252" t="str">
        <f>VLOOKUP(Ruimtestaat[[#This Row],[Ruimte code]],Ruimtegroepen[#All],2,FALSE)</f>
        <v>Entree</v>
      </c>
      <c r="L5" s="213" t="s">
        <v>109</v>
      </c>
      <c r="M5" s="200" t="s">
        <v>549</v>
      </c>
      <c r="N5" s="212">
        <v>9</v>
      </c>
      <c r="O5" s="212"/>
      <c r="P5" s="240" t="str">
        <f>VLOOKUP(Ruimtestaat[[#This Row],[Ruimte code]],Ruimtegroepen[#All],4,FALSE)</f>
        <v>V  (Verkeersruimte)</v>
      </c>
      <c r="Q5" s="213">
        <v>40</v>
      </c>
      <c r="R5" s="213" t="s">
        <v>2</v>
      </c>
      <c r="S5" s="213">
        <f>IF(Q5&gt;0,IF(RIGHT(Ruimtestaat[[#This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" s="213">
        <f>IF(S5&gt;0,VLOOKUP($J5,Ruimtegroepen[],3,FALSE)*VLOOKUP($L5,Vloersoorten[],3,FALSE)*VLOOKUP($R5,Frequenties[],3,FALSE)*VLOOKUP($A5,Locaties[],3,FALSE),0)</f>
        <v>0</v>
      </c>
      <c r="U5" s="213">
        <f>Ruimtestaat[[#This Row],[Uitvoeringen werkdagen]]*Ruimtestaat[[#This Row],[Oppervlak (netto)]]</f>
        <v>1800</v>
      </c>
      <c r="V5" s="253">
        <f>IF(T5&gt;0,Ruimtestaat[[#This Row],[Prest. (m2 /jaar) werkdagen]]/Ruimtestaat[[#This Row],[Norm (m2/uur) werkdagen]],0)</f>
        <v>0</v>
      </c>
      <c r="W5" s="254">
        <f>Ruimtestaat[[#This Row],[uren / jaar werkdagen]]*Tariefsopbouw!$D$38</f>
        <v>0</v>
      </c>
      <c r="X5" s="33"/>
      <c r="Y5" s="33">
        <f>IF(Ruimtestaat[[#This Row],[Frequentie weekend]]&gt;0,VALUE(LEFT(X5,1))*Q5,0)</f>
        <v>0</v>
      </c>
      <c r="Z5" s="33">
        <f>IF($Y5&gt;0,VLOOKUP($J5,Ruimtegroepen[],3,FALSE)*VLOOKUP($L5,Vloersoorten[],3,FALSE)*VLOOKUP($X5,Frequenties[],3,FALSE)*VLOOKUP(#REF!,Locaties[],3,FALSE),0)</f>
        <v>0</v>
      </c>
      <c r="AA5" s="33"/>
      <c r="AB5" s="33"/>
      <c r="AC5" s="33">
        <f>Ruimtestaat[[#This Row],[uren / jaar weekend]]*Tariefsopbouw!$D$40</f>
        <v>0</v>
      </c>
      <c r="AD5" s="88">
        <f>Ruimtestaat[[#This Row],[Prest. (m2 /jaar) weekend]]+Ruimtestaat[[#This Row],[Prest. (m2 /jaar) werkdagen]]</f>
        <v>1800</v>
      </c>
      <c r="AE5" s="88">
        <f>Ruimtestaat[[#This Row],[uren / jaar weekend]]+Ruimtestaat[[#This Row],[uren / jaar werkdagen]]</f>
        <v>0</v>
      </c>
      <c r="AF5" s="89">
        <f>Ruimtestaat[[#This Row],[kosten / jaar weekend]]+Ruimtestaat[[#This Row],[kosten / jaar werkdagen]]</f>
        <v>0</v>
      </c>
      <c r="AG5" s="90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</row>
    <row r="6" spans="1:219" s="8" customFormat="1" ht="15" customHeight="1">
      <c r="A6" s="129">
        <v>1</v>
      </c>
      <c r="B6" s="21" t="str">
        <f>VLOOKUP(Ruimtestaat[[#This Row],[Code]],Locaties[#All],2,FALSE)</f>
        <v>Novalis College hoofdgebouw</v>
      </c>
      <c r="C6" s="21" t="str">
        <f>VLOOKUP(Ruimtestaat[[#This Row],[Code]],Locaties[#All],4,FALSE)</f>
        <v>Sterrenlaan 16</v>
      </c>
      <c r="D6" s="21" t="str">
        <f>VLOOKUP(Ruimtestaat[[#This Row],[Code]],Locaties[#All],5,FALSE)</f>
        <v>5631 KA</v>
      </c>
      <c r="E6" s="200" t="str">
        <f>VLOOKUP(Ruimtestaat[[#This Row],[Code]],Locaties[#All],6,FALSE)</f>
        <v>Eindhoven</v>
      </c>
      <c r="F6" s="213" t="s">
        <v>613</v>
      </c>
      <c r="G6" s="213" t="s">
        <v>523</v>
      </c>
      <c r="H6" s="213" t="s">
        <v>442</v>
      </c>
      <c r="I6" s="252" t="s">
        <v>386</v>
      </c>
      <c r="J6" s="213">
        <v>6</v>
      </c>
      <c r="K6" s="252" t="str">
        <f>VLOOKUP(Ruimtestaat[[#This Row],[Ruimte code]],Ruimtegroepen[#All],2,FALSE)</f>
        <v>Gangen/hallen</v>
      </c>
      <c r="L6" s="213" t="s">
        <v>110</v>
      </c>
      <c r="M6" s="200" t="s">
        <v>277</v>
      </c>
      <c r="N6" s="212">
        <v>119</v>
      </c>
      <c r="O6" s="212"/>
      <c r="P6" s="240" t="str">
        <f>VLOOKUP(Ruimtestaat[[#This Row],[Ruimte code]],Ruimtegroepen[#All],4,FALSE)</f>
        <v>V  (Verkeersruimte)</v>
      </c>
      <c r="Q6" s="213">
        <v>40</v>
      </c>
      <c r="R6" s="213" t="s">
        <v>2</v>
      </c>
      <c r="S6" s="213">
        <f>IF(Q6&gt;0,IF(RIGHT(Ruimtestaat[[#This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" s="213">
        <f>IF(S6&gt;0,VLOOKUP($J6,Ruimtegroepen[],3,FALSE)*VLOOKUP($L6,Vloersoorten[],3,FALSE)*VLOOKUP($R6,Frequenties[],3,FALSE)*VLOOKUP($A6,Locaties[],3,FALSE),0)</f>
        <v>0</v>
      </c>
      <c r="U6" s="213">
        <f>Ruimtestaat[[#This Row],[Uitvoeringen werkdagen]]*Ruimtestaat[[#This Row],[Oppervlak (netto)]]</f>
        <v>23800</v>
      </c>
      <c r="V6" s="253">
        <f>IF(T6&gt;0,Ruimtestaat[[#This Row],[Prest. (m2 /jaar) werkdagen]]/Ruimtestaat[[#This Row],[Norm (m2/uur) werkdagen]],0)</f>
        <v>0</v>
      </c>
      <c r="W6" s="254">
        <f>Ruimtestaat[[#This Row],[uren / jaar werkdagen]]*Tariefsopbouw!$D$38</f>
        <v>0</v>
      </c>
      <c r="X6" s="33"/>
      <c r="Y6" s="33">
        <f>IF(Ruimtestaat[[#This Row],[Frequentie weekend]]&gt;0,VALUE(LEFT(X6,1))*Q6,0)</f>
        <v>0</v>
      </c>
      <c r="Z6" s="33">
        <f>IF($Y6&gt;0,VLOOKUP($J6,Ruimtegroepen[],3,FALSE)*VLOOKUP($L6,Vloersoorten[],3,FALSE)*VLOOKUP($X6,Frequenties[],3,FALSE)*VLOOKUP(#REF!,Locaties[],3,FALSE),0)</f>
        <v>0</v>
      </c>
      <c r="AA6" s="33"/>
      <c r="AB6" s="33"/>
      <c r="AC6" s="33">
        <f>Ruimtestaat[[#This Row],[uren / jaar weekend]]*Tariefsopbouw!$D$40</f>
        <v>0</v>
      </c>
      <c r="AD6" s="88">
        <f>Ruimtestaat[[#This Row],[Prest. (m2 /jaar) weekend]]+Ruimtestaat[[#This Row],[Prest. (m2 /jaar) werkdagen]]</f>
        <v>23800</v>
      </c>
      <c r="AE6" s="88">
        <f>Ruimtestaat[[#This Row],[uren / jaar weekend]]+Ruimtestaat[[#This Row],[uren / jaar werkdagen]]</f>
        <v>0</v>
      </c>
      <c r="AF6" s="89">
        <f>Ruimtestaat[[#This Row],[kosten / jaar weekend]]+Ruimtestaat[[#This Row],[kosten / jaar werkdagen]]</f>
        <v>0</v>
      </c>
      <c r="AG6" s="90" t="s">
        <v>3</v>
      </c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</row>
    <row r="7" spans="1:219" ht="15" customHeight="1">
      <c r="A7" s="129">
        <v>1</v>
      </c>
      <c r="B7" s="21" t="str">
        <f>VLOOKUP(Ruimtestaat[[#This Row],[Code]],Locaties[#All],2,FALSE)</f>
        <v>Novalis College hoofdgebouw</v>
      </c>
      <c r="C7" s="21" t="str">
        <f>VLOOKUP(Ruimtestaat[[#This Row],[Code]],Locaties[#All],4,FALSE)</f>
        <v>Sterrenlaan 16</v>
      </c>
      <c r="D7" s="21" t="str">
        <f>VLOOKUP(Ruimtestaat[[#This Row],[Code]],Locaties[#All],5,FALSE)</f>
        <v>5631 KA</v>
      </c>
      <c r="E7" s="200" t="str">
        <f>VLOOKUP(Ruimtestaat[[#This Row],[Code]],Locaties[#All],6,FALSE)</f>
        <v>Eindhoven</v>
      </c>
      <c r="F7" s="213" t="s">
        <v>613</v>
      </c>
      <c r="G7" s="213" t="s">
        <v>523</v>
      </c>
      <c r="H7" s="200" t="s">
        <v>526</v>
      </c>
      <c r="I7" s="241" t="s">
        <v>527</v>
      </c>
      <c r="J7" s="200">
        <v>10</v>
      </c>
      <c r="K7" s="241" t="str">
        <f>VLOOKUP(Ruimtestaat[[#This Row],[Ruimte code]],Ruimtegroepen[#All],2,FALSE)</f>
        <v>Trappenhuizen/lift</v>
      </c>
      <c r="L7" s="240" t="s">
        <v>762</v>
      </c>
      <c r="M7" s="200" t="s">
        <v>550</v>
      </c>
      <c r="N7" s="212">
        <v>11</v>
      </c>
      <c r="O7" s="212"/>
      <c r="P7" s="240" t="str">
        <f>VLOOKUP(Ruimtestaat[[#This Row],[Ruimte code]],Ruimtegroepen[#All],4,FALSE)</f>
        <v>V  (Verkeersruimte)</v>
      </c>
      <c r="Q7" s="213">
        <v>40</v>
      </c>
      <c r="R7" s="213" t="s">
        <v>2</v>
      </c>
      <c r="S7" s="213">
        <f>IF(Q7&gt;0,IF(RIGHT(Ruimtestaat[[#This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" s="213">
        <f>IF(S7&gt;0,VLOOKUP($J7,Ruimtegroepen[],3,FALSE)*VLOOKUP($L7,Vloersoorten[],3,FALSE)*VLOOKUP($R7,Frequenties[],3,FALSE)*VLOOKUP($A7,Locaties[],3,FALSE),0)</f>
        <v>0</v>
      </c>
      <c r="U7" s="213">
        <f>Ruimtestaat[[#This Row],[Uitvoeringen werkdagen]]*Ruimtestaat[[#This Row],[Oppervlak (netto)]]</f>
        <v>2200</v>
      </c>
      <c r="V7" s="253">
        <f>IF(T7&gt;0,Ruimtestaat[[#This Row],[Prest. (m2 /jaar) werkdagen]]/Ruimtestaat[[#This Row],[Norm (m2/uur) werkdagen]],0)</f>
        <v>0</v>
      </c>
      <c r="W7" s="254">
        <f>Ruimtestaat[[#This Row],[uren / jaar werkdagen]]*Tariefsopbouw!$D$38</f>
        <v>0</v>
      </c>
      <c r="X7" s="33"/>
      <c r="Y7" s="33">
        <f>IF(Ruimtestaat[[#This Row],[Frequentie weekend]]&gt;0,VALUE(LEFT(X7,1))*Q7,0)</f>
        <v>0</v>
      </c>
      <c r="Z7" s="33">
        <f>IF($Y7&gt;0,VLOOKUP($J7,Ruimtegroepen[],3,FALSE)*VLOOKUP($L7,Vloersoorten[],3,FALSE)*VLOOKUP($X7,Frequenties[],3,FALSE)*VLOOKUP(#REF!,Locaties[],3,FALSE),0)</f>
        <v>0</v>
      </c>
      <c r="AA7" s="33"/>
      <c r="AB7" s="33"/>
      <c r="AC7" s="33">
        <f>Ruimtestaat[[#This Row],[uren / jaar weekend]]*Tariefsopbouw!$D$40</f>
        <v>0</v>
      </c>
      <c r="AD7" s="88">
        <f>Ruimtestaat[[#This Row],[Prest. (m2 /jaar) weekend]]+Ruimtestaat[[#This Row],[Prest. (m2 /jaar) werkdagen]]</f>
        <v>2200</v>
      </c>
      <c r="AE7" s="88">
        <f>Ruimtestaat[[#This Row],[uren / jaar weekend]]+Ruimtestaat[[#This Row],[uren / jaar werkdagen]]</f>
        <v>0</v>
      </c>
      <c r="AF7" s="89">
        <f>Ruimtestaat[[#This Row],[kosten / jaar weekend]]+Ruimtestaat[[#This Row],[kosten / jaar werkdagen]]</f>
        <v>0</v>
      </c>
      <c r="AG7" s="114"/>
      <c r="HK7" s="87"/>
    </row>
    <row r="8" spans="1:219" ht="15" customHeight="1">
      <c r="A8" s="129">
        <v>1</v>
      </c>
      <c r="B8" s="21" t="str">
        <f>VLOOKUP(Ruimtestaat[[#This Row],[Code]],Locaties[#All],2,FALSE)</f>
        <v>Novalis College hoofdgebouw</v>
      </c>
      <c r="C8" s="21" t="str">
        <f>VLOOKUP(Ruimtestaat[[#This Row],[Code]],Locaties[#All],4,FALSE)</f>
        <v>Sterrenlaan 16</v>
      </c>
      <c r="D8" s="21" t="str">
        <f>VLOOKUP(Ruimtestaat[[#This Row],[Code]],Locaties[#All],5,FALSE)</f>
        <v>5631 KA</v>
      </c>
      <c r="E8" s="200" t="str">
        <f>VLOOKUP(Ruimtestaat[[#This Row],[Code]],Locaties[#All],6,FALSE)</f>
        <v>Eindhoven</v>
      </c>
      <c r="F8" s="213" t="s">
        <v>613</v>
      </c>
      <c r="G8" s="213" t="s">
        <v>523</v>
      </c>
      <c r="H8" s="200" t="s">
        <v>443</v>
      </c>
      <c r="I8" s="241" t="s">
        <v>528</v>
      </c>
      <c r="J8" s="213">
        <v>6</v>
      </c>
      <c r="K8" s="241" t="str">
        <f>VLOOKUP(Ruimtestaat[[#This Row],[Ruimte code]],Ruimtegroepen[#All],2,FALSE)</f>
        <v>Gangen/hallen</v>
      </c>
      <c r="L8" s="213" t="s">
        <v>110</v>
      </c>
      <c r="M8" s="200" t="s">
        <v>277</v>
      </c>
      <c r="N8" s="212">
        <v>7</v>
      </c>
      <c r="O8" s="212"/>
      <c r="P8" s="240" t="str">
        <f>VLOOKUP(Ruimtestaat[[#This Row],[Ruimte code]],Ruimtegroepen[#All],4,FALSE)</f>
        <v>V  (Verkeersruimte)</v>
      </c>
      <c r="Q8" s="213">
        <v>40</v>
      </c>
      <c r="R8" s="213" t="s">
        <v>2</v>
      </c>
      <c r="S8" s="213">
        <f>IF(Q8&gt;0,IF(RIGHT(Ruimtestaat[[#This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" s="213">
        <f>IF(S8&gt;0,VLOOKUP($J8,Ruimtegroepen[],3,FALSE)*VLOOKUP($L8,Vloersoorten[],3,FALSE)*VLOOKUP($R8,Frequenties[],3,FALSE)*VLOOKUP($A8,Locaties[],3,FALSE),0)</f>
        <v>0</v>
      </c>
      <c r="U8" s="213">
        <f>Ruimtestaat[[#This Row],[Uitvoeringen werkdagen]]*Ruimtestaat[[#This Row],[Oppervlak (netto)]]</f>
        <v>1400</v>
      </c>
      <c r="V8" s="253">
        <f>IF(T8&gt;0,Ruimtestaat[[#This Row],[Prest. (m2 /jaar) werkdagen]]/Ruimtestaat[[#This Row],[Norm (m2/uur) werkdagen]],0)</f>
        <v>0</v>
      </c>
      <c r="W8" s="254">
        <f>Ruimtestaat[[#This Row],[uren / jaar werkdagen]]*Tariefsopbouw!$D$38</f>
        <v>0</v>
      </c>
      <c r="X8" s="33"/>
      <c r="Y8" s="33">
        <f>IF(Ruimtestaat[[#This Row],[Frequentie weekend]]&gt;0,VALUE(LEFT(X8,1))*Q8,0)</f>
        <v>0</v>
      </c>
      <c r="Z8" s="33">
        <f>IF($Y8&gt;0,VLOOKUP($J8,Ruimtegroepen[],3,FALSE)*VLOOKUP($L8,Vloersoorten[],3,FALSE)*VLOOKUP($X8,Frequenties[],3,FALSE)*VLOOKUP(#REF!,Locaties[],3,FALSE),0)</f>
        <v>0</v>
      </c>
      <c r="AA8" s="33"/>
      <c r="AB8" s="33"/>
      <c r="AC8" s="33">
        <f>Ruimtestaat[[#This Row],[uren / jaar weekend]]*Tariefsopbouw!$D$40</f>
        <v>0</v>
      </c>
      <c r="AD8" s="88">
        <f>Ruimtestaat[[#This Row],[Prest. (m2 /jaar) weekend]]+Ruimtestaat[[#This Row],[Prest. (m2 /jaar) werkdagen]]</f>
        <v>1400</v>
      </c>
      <c r="AE8" s="88">
        <f>Ruimtestaat[[#This Row],[uren / jaar weekend]]+Ruimtestaat[[#This Row],[uren / jaar werkdagen]]</f>
        <v>0</v>
      </c>
      <c r="AF8" s="89">
        <f>Ruimtestaat[[#This Row],[kosten / jaar weekend]]+Ruimtestaat[[#This Row],[kosten / jaar werkdagen]]</f>
        <v>0</v>
      </c>
      <c r="AG8" s="114"/>
      <c r="HK8" s="87"/>
    </row>
    <row r="9" spans="1:219" ht="15" customHeight="1">
      <c r="A9" s="129">
        <v>1</v>
      </c>
      <c r="B9" s="21" t="str">
        <f>VLOOKUP(Ruimtestaat[[#This Row],[Code]],Locaties[#All],2,FALSE)</f>
        <v>Novalis College hoofdgebouw</v>
      </c>
      <c r="C9" s="21" t="str">
        <f>VLOOKUP(Ruimtestaat[[#This Row],[Code]],Locaties[#All],4,FALSE)</f>
        <v>Sterrenlaan 16</v>
      </c>
      <c r="D9" s="21" t="str">
        <f>VLOOKUP(Ruimtestaat[[#This Row],[Code]],Locaties[#All],5,FALSE)</f>
        <v>5631 KA</v>
      </c>
      <c r="E9" s="200" t="str">
        <f>VLOOKUP(Ruimtestaat[[#This Row],[Code]],Locaties[#All],6,FALSE)</f>
        <v>Eindhoven</v>
      </c>
      <c r="F9" s="213" t="s">
        <v>613</v>
      </c>
      <c r="G9" s="213" t="s">
        <v>523</v>
      </c>
      <c r="H9" s="200" t="s">
        <v>444</v>
      </c>
      <c r="I9" s="241" t="s">
        <v>529</v>
      </c>
      <c r="J9" s="200">
        <v>5</v>
      </c>
      <c r="K9" s="241" t="str">
        <f>VLOOKUP(Ruimtestaat[[#This Row],[Ruimte code]],Ruimtegroepen[#All],2,FALSE)</f>
        <v>Sanitair</v>
      </c>
      <c r="L9" s="240" t="s">
        <v>111</v>
      </c>
      <c r="M9" s="200" t="s">
        <v>551</v>
      </c>
      <c r="N9" s="212">
        <v>12</v>
      </c>
      <c r="O9" s="212"/>
      <c r="P9" s="240" t="str">
        <f>VLOOKUP(Ruimtestaat[[#This Row],[Ruimte code]],Ruimtegroepen[#All],4,FALSE)</f>
        <v>S  (Sanitair)</v>
      </c>
      <c r="Q9" s="213">
        <v>42</v>
      </c>
      <c r="R9" s="213" t="s">
        <v>2</v>
      </c>
      <c r="S9" s="213">
        <f>IF(Q9&gt;0,IF(RIGHT(Ruimtestaat[[#This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9" s="213">
        <f>IF(S9&gt;0,VLOOKUP($J9,Ruimtegroepen[],3,FALSE)*VLOOKUP($L9,Vloersoorten[],3,FALSE)*VLOOKUP($R9,Frequenties[],3,FALSE)*VLOOKUP($A9,Locaties[],3,FALSE),0)</f>
        <v>0</v>
      </c>
      <c r="U9" s="213">
        <f>Ruimtestaat[[#This Row],[Uitvoeringen werkdagen]]*Ruimtestaat[[#This Row],[Oppervlak (netto)]]</f>
        <v>2520</v>
      </c>
      <c r="V9" s="253">
        <f>IF(T9&gt;0,Ruimtestaat[[#This Row],[Prest. (m2 /jaar) werkdagen]]/Ruimtestaat[[#This Row],[Norm (m2/uur) werkdagen]],0)</f>
        <v>0</v>
      </c>
      <c r="W9" s="254">
        <f>Ruimtestaat[[#This Row],[uren / jaar werkdagen]]*Tariefsopbouw!$D$38</f>
        <v>0</v>
      </c>
      <c r="X9" s="33"/>
      <c r="Y9" s="33">
        <f>IF(Ruimtestaat[[#This Row],[Frequentie weekend]]&gt;0,VALUE(LEFT(X9,1))*Q9,0)</f>
        <v>0</v>
      </c>
      <c r="Z9" s="33">
        <f>IF($Y9&gt;0,VLOOKUP($J9,Ruimtegroepen[],3,FALSE)*VLOOKUP($L9,Vloersoorten[],3,FALSE)*VLOOKUP($X9,Frequenties[],3,FALSE)*VLOOKUP(#REF!,Locaties[],3,FALSE),0)</f>
        <v>0</v>
      </c>
      <c r="AA9" s="33"/>
      <c r="AB9" s="33"/>
      <c r="AC9" s="33">
        <f>Ruimtestaat[[#This Row],[uren / jaar weekend]]*Tariefsopbouw!$D$40</f>
        <v>0</v>
      </c>
      <c r="AD9" s="88">
        <f>Ruimtestaat[[#This Row],[Prest. (m2 /jaar) weekend]]+Ruimtestaat[[#This Row],[Prest. (m2 /jaar) werkdagen]]</f>
        <v>2520</v>
      </c>
      <c r="AE9" s="88">
        <f>Ruimtestaat[[#This Row],[uren / jaar weekend]]+Ruimtestaat[[#This Row],[uren / jaar werkdagen]]</f>
        <v>0</v>
      </c>
      <c r="AF9" s="89">
        <f>Ruimtestaat[[#This Row],[kosten / jaar weekend]]+Ruimtestaat[[#This Row],[kosten / jaar werkdagen]]</f>
        <v>0</v>
      </c>
      <c r="AG9" s="114"/>
      <c r="HK9" s="87"/>
    </row>
    <row r="10" spans="1:219" ht="15" customHeight="1">
      <c r="A10" s="129">
        <v>1</v>
      </c>
      <c r="B10" s="21" t="str">
        <f>VLOOKUP(Ruimtestaat[[#This Row],[Code]],Locaties[#All],2,FALSE)</f>
        <v>Novalis College hoofdgebouw</v>
      </c>
      <c r="C10" s="21" t="str">
        <f>VLOOKUP(Ruimtestaat[[#This Row],[Code]],Locaties[#All],4,FALSE)</f>
        <v>Sterrenlaan 16</v>
      </c>
      <c r="D10" s="21" t="str">
        <f>VLOOKUP(Ruimtestaat[[#This Row],[Code]],Locaties[#All],5,FALSE)</f>
        <v>5631 KA</v>
      </c>
      <c r="E10" s="200" t="str">
        <f>VLOOKUP(Ruimtestaat[[#This Row],[Code]],Locaties[#All],6,FALSE)</f>
        <v>Eindhoven</v>
      </c>
      <c r="F10" s="213" t="s">
        <v>613</v>
      </c>
      <c r="G10" s="213" t="s">
        <v>523</v>
      </c>
      <c r="H10" s="200" t="s">
        <v>445</v>
      </c>
      <c r="I10" s="241" t="s">
        <v>530</v>
      </c>
      <c r="J10" s="200">
        <v>5</v>
      </c>
      <c r="K10" s="241" t="str">
        <f>VLOOKUP(Ruimtestaat[[#This Row],[Ruimte code]],Ruimtegroepen[#All],2,FALSE)</f>
        <v>Sanitair</v>
      </c>
      <c r="L10" s="240" t="s">
        <v>111</v>
      </c>
      <c r="M10" s="200" t="s">
        <v>551</v>
      </c>
      <c r="N10" s="212">
        <v>13</v>
      </c>
      <c r="O10" s="212"/>
      <c r="P10" s="240" t="str">
        <f>VLOOKUP(Ruimtestaat[[#This Row],[Ruimte code]],Ruimtegroepen[#All],4,FALSE)</f>
        <v>S  (Sanitair)</v>
      </c>
      <c r="Q10" s="213">
        <v>52</v>
      </c>
      <c r="R10" s="213" t="s">
        <v>2</v>
      </c>
      <c r="S10" s="213">
        <f>IF(Q10&gt;0,IF(RIGHT(Ruimtestaat[[#This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T10" s="213">
        <f>IF(S10&gt;0,VLOOKUP($J10,Ruimtegroepen[],3,FALSE)*VLOOKUP($L10,Vloersoorten[],3,FALSE)*VLOOKUP($R10,Frequenties[],3,FALSE)*VLOOKUP($A10,Locaties[],3,FALSE),0)</f>
        <v>0</v>
      </c>
      <c r="U10" s="213">
        <f>Ruimtestaat[[#This Row],[Uitvoeringen werkdagen]]*Ruimtestaat[[#This Row],[Oppervlak (netto)]]</f>
        <v>3380</v>
      </c>
      <c r="V10" s="253">
        <f>IF(T10&gt;0,Ruimtestaat[[#This Row],[Prest. (m2 /jaar) werkdagen]]/Ruimtestaat[[#This Row],[Norm (m2/uur) werkdagen]],0)</f>
        <v>0</v>
      </c>
      <c r="W10" s="254">
        <f>Ruimtestaat[[#This Row],[uren / jaar werkdagen]]*Tariefsopbouw!$D$38</f>
        <v>0</v>
      </c>
      <c r="X10" s="33"/>
      <c r="Y10" s="33">
        <f>IF(Ruimtestaat[[#This Row],[Frequentie weekend]]&gt;0,VALUE(LEFT(X10,1))*Q10,0)</f>
        <v>0</v>
      </c>
      <c r="Z10" s="33">
        <f>IF($Y10&gt;0,VLOOKUP($J10,Ruimtegroepen[],3,FALSE)*VLOOKUP($L10,Vloersoorten[],3,FALSE)*VLOOKUP($X10,Frequenties[],3,FALSE)*VLOOKUP(#REF!,Locaties[],3,FALSE),0)</f>
        <v>0</v>
      </c>
      <c r="AA10" s="33"/>
      <c r="AB10" s="33"/>
      <c r="AC10" s="33">
        <f>Ruimtestaat[[#This Row],[uren / jaar weekend]]*Tariefsopbouw!$D$40</f>
        <v>0</v>
      </c>
      <c r="AD10" s="88">
        <f>Ruimtestaat[[#This Row],[Prest. (m2 /jaar) weekend]]+Ruimtestaat[[#This Row],[Prest. (m2 /jaar) werkdagen]]</f>
        <v>3380</v>
      </c>
      <c r="AE10" s="88">
        <f>Ruimtestaat[[#This Row],[uren / jaar weekend]]+Ruimtestaat[[#This Row],[uren / jaar werkdagen]]</f>
        <v>0</v>
      </c>
      <c r="AF10" s="89">
        <f>Ruimtestaat[[#This Row],[kosten / jaar weekend]]+Ruimtestaat[[#This Row],[kosten / jaar werkdagen]]</f>
        <v>0</v>
      </c>
      <c r="AG10" s="114"/>
      <c r="HK10" s="87"/>
    </row>
    <row r="11" spans="1:219" ht="15" customHeight="1">
      <c r="A11" s="129">
        <v>1</v>
      </c>
      <c r="B11" s="21" t="str">
        <f>VLOOKUP(Ruimtestaat[[#This Row],[Code]],Locaties[#All],2,FALSE)</f>
        <v>Novalis College hoofdgebouw</v>
      </c>
      <c r="C11" s="21" t="str">
        <f>VLOOKUP(Ruimtestaat[[#This Row],[Code]],Locaties[#All],4,FALSE)</f>
        <v>Sterrenlaan 16</v>
      </c>
      <c r="D11" s="21" t="str">
        <f>VLOOKUP(Ruimtestaat[[#This Row],[Code]],Locaties[#All],5,FALSE)</f>
        <v>5631 KA</v>
      </c>
      <c r="E11" s="200" t="str">
        <f>VLOOKUP(Ruimtestaat[[#This Row],[Code]],Locaties[#All],6,FALSE)</f>
        <v>Eindhoven</v>
      </c>
      <c r="F11" s="213" t="s">
        <v>613</v>
      </c>
      <c r="G11" s="213" t="s">
        <v>523</v>
      </c>
      <c r="H11" s="200" t="s">
        <v>446</v>
      </c>
      <c r="I11" s="241" t="s">
        <v>464</v>
      </c>
      <c r="J11" s="200">
        <v>21</v>
      </c>
      <c r="K11" s="241" t="str">
        <f>VLOOKUP(Ruimtestaat[[#This Row],[Ruimte code]],Ruimtegroepen[#All],2,FALSE)</f>
        <v>Niet in onderhoud</v>
      </c>
      <c r="L11" s="200"/>
      <c r="M11" s="200"/>
      <c r="N11" s="212"/>
      <c r="O11" s="212">
        <v>2</v>
      </c>
      <c r="P11" s="240" t="str">
        <f>VLOOKUP(Ruimtestaat[[#This Row],[Ruimte code]],Ruimtegroepen[#All],4,FALSE)</f>
        <v>Niet in onderhoud</v>
      </c>
      <c r="Q11" s="213"/>
      <c r="R11" s="213"/>
      <c r="S11" s="213">
        <f>IF(Q11&gt;0,IF(RIGHT(Ruimtestaat[[#This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1" s="213">
        <f>IF(S11&gt;0,VLOOKUP($J11,Ruimtegroepen[],3,FALSE)*VLOOKUP($L11,Vloersoorten[],3,FALSE)*VLOOKUP($R11,Frequenties[],3,FALSE)*VLOOKUP($A11,Locaties[],3,FALSE),0)</f>
        <v>0</v>
      </c>
      <c r="U11" s="213">
        <f>Ruimtestaat[[#This Row],[Uitvoeringen werkdagen]]*Ruimtestaat[[#This Row],[Oppervlak (netto)]]</f>
        <v>0</v>
      </c>
      <c r="V11" s="253">
        <f>IF(T11&gt;0,Ruimtestaat[[#This Row],[Prest. (m2 /jaar) werkdagen]]/Ruimtestaat[[#This Row],[Norm (m2/uur) werkdagen]],0)</f>
        <v>0</v>
      </c>
      <c r="W11" s="254">
        <f>Ruimtestaat[[#This Row],[uren / jaar werkdagen]]*Tariefsopbouw!$D$38</f>
        <v>0</v>
      </c>
      <c r="X11" s="33"/>
      <c r="Y11" s="33">
        <f>IF(Ruimtestaat[[#This Row],[Frequentie weekend]]&gt;0,VALUE(LEFT(X11,1))*Q11,0)</f>
        <v>0</v>
      </c>
      <c r="Z11" s="33">
        <f>IF($Y11&gt;0,VLOOKUP($J11,Ruimtegroepen[],3,FALSE)*VLOOKUP($L11,Vloersoorten[],3,FALSE)*VLOOKUP($X11,Frequenties[],3,FALSE)*VLOOKUP(#REF!,Locaties[],3,FALSE),0)</f>
        <v>0</v>
      </c>
      <c r="AA11" s="33"/>
      <c r="AB11" s="33"/>
      <c r="AC11" s="33">
        <f>Ruimtestaat[[#This Row],[uren / jaar weekend]]*Tariefsopbouw!$D$40</f>
        <v>0</v>
      </c>
      <c r="AD11" s="88">
        <f>Ruimtestaat[[#This Row],[Prest. (m2 /jaar) weekend]]+Ruimtestaat[[#This Row],[Prest. (m2 /jaar) werkdagen]]</f>
        <v>0</v>
      </c>
      <c r="AE11" s="88">
        <f>Ruimtestaat[[#This Row],[uren / jaar weekend]]+Ruimtestaat[[#This Row],[uren / jaar werkdagen]]</f>
        <v>0</v>
      </c>
      <c r="AF11" s="89">
        <f>Ruimtestaat[[#This Row],[kosten / jaar weekend]]+Ruimtestaat[[#This Row],[kosten / jaar werkdagen]]</f>
        <v>0</v>
      </c>
      <c r="AG11" s="114"/>
      <c r="HK11" s="87"/>
    </row>
    <row r="12" spans="1:219" ht="15" customHeight="1">
      <c r="A12" s="129">
        <v>1</v>
      </c>
      <c r="B12" s="21" t="str">
        <f>VLOOKUP(Ruimtestaat[[#This Row],[Code]],Locaties[#All],2,FALSE)</f>
        <v>Novalis College hoofdgebouw</v>
      </c>
      <c r="C12" s="21" t="str">
        <f>VLOOKUP(Ruimtestaat[[#This Row],[Code]],Locaties[#All],4,FALSE)</f>
        <v>Sterrenlaan 16</v>
      </c>
      <c r="D12" s="21" t="str">
        <f>VLOOKUP(Ruimtestaat[[#This Row],[Code]],Locaties[#All],5,FALSE)</f>
        <v>5631 KA</v>
      </c>
      <c r="E12" s="200" t="str">
        <f>VLOOKUP(Ruimtestaat[[#This Row],[Code]],Locaties[#All],6,FALSE)</f>
        <v>Eindhoven</v>
      </c>
      <c r="F12" s="213" t="s">
        <v>613</v>
      </c>
      <c r="G12" s="213" t="s">
        <v>523</v>
      </c>
      <c r="H12" s="200" t="s">
        <v>447</v>
      </c>
      <c r="I12" s="241" t="s">
        <v>276</v>
      </c>
      <c r="J12" s="200">
        <v>10</v>
      </c>
      <c r="K12" s="241" t="str">
        <f>VLOOKUP(Ruimtestaat[[#This Row],[Ruimte code]],Ruimtegroepen[#All],2,FALSE)</f>
        <v>Trappenhuizen/lift</v>
      </c>
      <c r="L12" s="200" t="s">
        <v>112</v>
      </c>
      <c r="M12" s="200" t="s">
        <v>552</v>
      </c>
      <c r="N12" s="212">
        <v>2</v>
      </c>
      <c r="O12" s="212"/>
      <c r="P12" s="240" t="str">
        <f>VLOOKUP(Ruimtestaat[[#This Row],[Ruimte code]],Ruimtegroepen[#All],4,FALSE)</f>
        <v>V  (Verkeersruimte)</v>
      </c>
      <c r="Q12" s="213">
        <v>40</v>
      </c>
      <c r="R12" s="213" t="s">
        <v>2</v>
      </c>
      <c r="S12" s="213">
        <f>IF(Q12&gt;0,IF(RIGHT(Ruimtestaat[[#This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" s="213">
        <f>IF(S12&gt;0,VLOOKUP($J12,Ruimtegroepen[],3,FALSE)*VLOOKUP($L12,Vloersoorten[],3,FALSE)*VLOOKUP($R12,Frequenties[],3,FALSE)*VLOOKUP($A12,Locaties[],3,FALSE),0)</f>
        <v>0</v>
      </c>
      <c r="U12" s="213">
        <f>Ruimtestaat[[#This Row],[Uitvoeringen werkdagen]]*Ruimtestaat[[#This Row],[Oppervlak (netto)]]</f>
        <v>400</v>
      </c>
      <c r="V12" s="253">
        <f>IF(T12&gt;0,Ruimtestaat[[#This Row],[Prest. (m2 /jaar) werkdagen]]/Ruimtestaat[[#This Row],[Norm (m2/uur) werkdagen]],0)</f>
        <v>0</v>
      </c>
      <c r="W12" s="254">
        <f>Ruimtestaat[[#This Row],[uren / jaar werkdagen]]*Tariefsopbouw!$D$38</f>
        <v>0</v>
      </c>
      <c r="X12" s="33"/>
      <c r="Y12" s="33">
        <f>IF(Ruimtestaat[[#This Row],[Frequentie weekend]]&gt;0,VALUE(LEFT(X12,1))*Q12,0)</f>
        <v>0</v>
      </c>
      <c r="Z12" s="33">
        <f>IF($Y12&gt;0,VLOOKUP($J12,Ruimtegroepen[],3,FALSE)*VLOOKUP($L12,Vloersoorten[],3,FALSE)*VLOOKUP($X12,Frequenties[],3,FALSE)*VLOOKUP(#REF!,Locaties[],3,FALSE),0)</f>
        <v>0</v>
      </c>
      <c r="AA12" s="33"/>
      <c r="AB12" s="33"/>
      <c r="AC12" s="33">
        <f>Ruimtestaat[[#This Row],[uren / jaar weekend]]*Tariefsopbouw!$D$40</f>
        <v>0</v>
      </c>
      <c r="AD12" s="88">
        <f>Ruimtestaat[[#This Row],[Prest. (m2 /jaar) weekend]]+Ruimtestaat[[#This Row],[Prest. (m2 /jaar) werkdagen]]</f>
        <v>400</v>
      </c>
      <c r="AE12" s="88">
        <f>Ruimtestaat[[#This Row],[uren / jaar weekend]]+Ruimtestaat[[#This Row],[uren / jaar werkdagen]]</f>
        <v>0</v>
      </c>
      <c r="AF12" s="89">
        <f>Ruimtestaat[[#This Row],[kosten / jaar weekend]]+Ruimtestaat[[#This Row],[kosten / jaar werkdagen]]</f>
        <v>0</v>
      </c>
      <c r="AG12" s="114"/>
      <c r="HK12" s="87"/>
    </row>
    <row r="13" spans="1:219" ht="15" customHeight="1">
      <c r="A13" s="129">
        <v>1</v>
      </c>
      <c r="B13" s="21" t="str">
        <f>VLOOKUP(Ruimtestaat[[#This Row],[Code]],Locaties[#All],2,FALSE)</f>
        <v>Novalis College hoofdgebouw</v>
      </c>
      <c r="C13" s="21" t="str">
        <f>VLOOKUP(Ruimtestaat[[#This Row],[Code]],Locaties[#All],4,FALSE)</f>
        <v>Sterrenlaan 16</v>
      </c>
      <c r="D13" s="21" t="str">
        <f>VLOOKUP(Ruimtestaat[[#This Row],[Code]],Locaties[#All],5,FALSE)</f>
        <v>5631 KA</v>
      </c>
      <c r="E13" s="200" t="str">
        <f>VLOOKUP(Ruimtestaat[[#This Row],[Code]],Locaties[#All],6,FALSE)</f>
        <v>Eindhoven</v>
      </c>
      <c r="F13" s="213" t="s">
        <v>613</v>
      </c>
      <c r="G13" s="213" t="s">
        <v>523</v>
      </c>
      <c r="H13" s="200" t="s">
        <v>448</v>
      </c>
      <c r="I13" s="241" t="s">
        <v>386</v>
      </c>
      <c r="J13" s="213">
        <v>6</v>
      </c>
      <c r="K13" s="241" t="str">
        <f>VLOOKUP(Ruimtestaat[[#This Row],[Ruimte code]],Ruimtegroepen[#All],2,FALSE)</f>
        <v>Gangen/hallen</v>
      </c>
      <c r="L13" s="213" t="s">
        <v>110</v>
      </c>
      <c r="M13" s="200" t="s">
        <v>277</v>
      </c>
      <c r="N13" s="212">
        <v>160</v>
      </c>
      <c r="O13" s="212"/>
      <c r="P13" s="240" t="str">
        <f>VLOOKUP(Ruimtestaat[[#This Row],[Ruimte code]],Ruimtegroepen[#All],4,FALSE)</f>
        <v>V  (Verkeersruimte)</v>
      </c>
      <c r="Q13" s="213">
        <v>40</v>
      </c>
      <c r="R13" s="213" t="s">
        <v>2</v>
      </c>
      <c r="S13" s="213">
        <f>IF(Q13&gt;0,IF(RIGHT(Ruimtestaat[[#This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3" s="213">
        <f>IF(S13&gt;0,VLOOKUP($J13,Ruimtegroepen[],3,FALSE)*VLOOKUP($L13,Vloersoorten[],3,FALSE)*VLOOKUP($R13,Frequenties[],3,FALSE)*VLOOKUP($A13,Locaties[],3,FALSE),0)</f>
        <v>0</v>
      </c>
      <c r="U13" s="213">
        <f>Ruimtestaat[[#This Row],[Uitvoeringen werkdagen]]*Ruimtestaat[[#This Row],[Oppervlak (netto)]]</f>
        <v>32000</v>
      </c>
      <c r="V13" s="253">
        <f>IF(T13&gt;0,Ruimtestaat[[#This Row],[Prest. (m2 /jaar) werkdagen]]/Ruimtestaat[[#This Row],[Norm (m2/uur) werkdagen]],0)</f>
        <v>0</v>
      </c>
      <c r="W13" s="254">
        <f>Ruimtestaat[[#This Row],[uren / jaar werkdagen]]*Tariefsopbouw!$D$38</f>
        <v>0</v>
      </c>
      <c r="X13" s="33"/>
      <c r="Y13" s="33">
        <f>IF(Ruimtestaat[[#This Row],[Frequentie weekend]]&gt;0,VALUE(LEFT(X13,1))*Q13,0)</f>
        <v>0</v>
      </c>
      <c r="Z13" s="33">
        <f>IF($Y13&gt;0,VLOOKUP($J13,Ruimtegroepen[],3,FALSE)*VLOOKUP($L13,Vloersoorten[],3,FALSE)*VLOOKUP($X13,Frequenties[],3,FALSE)*VLOOKUP(#REF!,Locaties[],3,FALSE),0)</f>
        <v>0</v>
      </c>
      <c r="AA13" s="33"/>
      <c r="AB13" s="33"/>
      <c r="AC13" s="33">
        <f>Ruimtestaat[[#This Row],[uren / jaar weekend]]*Tariefsopbouw!$D$40</f>
        <v>0</v>
      </c>
      <c r="AD13" s="88">
        <f>Ruimtestaat[[#This Row],[Prest. (m2 /jaar) weekend]]+Ruimtestaat[[#This Row],[Prest. (m2 /jaar) werkdagen]]</f>
        <v>32000</v>
      </c>
      <c r="AE13" s="88">
        <f>Ruimtestaat[[#This Row],[uren / jaar weekend]]+Ruimtestaat[[#This Row],[uren / jaar werkdagen]]</f>
        <v>0</v>
      </c>
      <c r="AF13" s="89">
        <f>Ruimtestaat[[#This Row],[kosten / jaar weekend]]+Ruimtestaat[[#This Row],[kosten / jaar werkdagen]]</f>
        <v>0</v>
      </c>
      <c r="AG13" s="114"/>
      <c r="HK13" s="87"/>
    </row>
    <row r="14" spans="1:219" ht="15" customHeight="1">
      <c r="A14" s="129">
        <v>1</v>
      </c>
      <c r="B14" s="21" t="str">
        <f>VLOOKUP(Ruimtestaat[[#This Row],[Code]],Locaties[#All],2,FALSE)</f>
        <v>Novalis College hoofdgebouw</v>
      </c>
      <c r="C14" s="21" t="str">
        <f>VLOOKUP(Ruimtestaat[[#This Row],[Code]],Locaties[#All],4,FALSE)</f>
        <v>Sterrenlaan 16</v>
      </c>
      <c r="D14" s="21" t="str">
        <f>VLOOKUP(Ruimtestaat[[#This Row],[Code]],Locaties[#All],5,FALSE)</f>
        <v>5631 KA</v>
      </c>
      <c r="E14" s="200" t="str">
        <f>VLOOKUP(Ruimtestaat[[#This Row],[Code]],Locaties[#All],6,FALSE)</f>
        <v>Eindhoven</v>
      </c>
      <c r="F14" s="213" t="s">
        <v>613</v>
      </c>
      <c r="G14" s="213" t="s">
        <v>523</v>
      </c>
      <c r="H14" s="200" t="s">
        <v>450</v>
      </c>
      <c r="I14" s="241" t="s">
        <v>512</v>
      </c>
      <c r="J14" s="200">
        <v>10</v>
      </c>
      <c r="K14" s="241" t="str">
        <f>VLOOKUP(Ruimtestaat[[#This Row],[Ruimte code]],Ruimtegroepen[#All],2,FALSE)</f>
        <v>Trappenhuizen/lift</v>
      </c>
      <c r="L14" s="240" t="s">
        <v>109</v>
      </c>
      <c r="M14" s="200" t="s">
        <v>38</v>
      </c>
      <c r="N14" s="212">
        <v>21</v>
      </c>
      <c r="O14" s="212"/>
      <c r="P14" s="240" t="str">
        <f>VLOOKUP(Ruimtestaat[[#This Row],[Ruimte code]],Ruimtegroepen[#All],4,FALSE)</f>
        <v>V  (Verkeersruimte)</v>
      </c>
      <c r="Q14" s="213">
        <v>40</v>
      </c>
      <c r="R14" s="213" t="s">
        <v>2</v>
      </c>
      <c r="S14" s="213">
        <f>IF(Q14&gt;0,IF(RIGHT(Ruimtestaat[[#This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4" s="213">
        <f>IF(S14&gt;0,VLOOKUP($J14,Ruimtegroepen[],3,FALSE)*VLOOKUP($L14,Vloersoorten[],3,FALSE)*VLOOKUP($R14,Frequenties[],3,FALSE)*VLOOKUP($A14,Locaties[],3,FALSE),0)</f>
        <v>0</v>
      </c>
      <c r="U14" s="213">
        <f>Ruimtestaat[[#This Row],[Uitvoeringen werkdagen]]*Ruimtestaat[[#This Row],[Oppervlak (netto)]]</f>
        <v>4200</v>
      </c>
      <c r="V14" s="253">
        <f>IF(T14&gt;0,Ruimtestaat[[#This Row],[Prest. (m2 /jaar) werkdagen]]/Ruimtestaat[[#This Row],[Norm (m2/uur) werkdagen]],0)</f>
        <v>0</v>
      </c>
      <c r="W14" s="254">
        <f>Ruimtestaat[[#This Row],[uren / jaar werkdagen]]*Tariefsopbouw!$D$38</f>
        <v>0</v>
      </c>
      <c r="X14" s="33"/>
      <c r="Y14" s="33">
        <f>IF(Ruimtestaat[[#This Row],[Frequentie weekend]]&gt;0,VALUE(LEFT(X14,1))*Q14,0)</f>
        <v>0</v>
      </c>
      <c r="Z14" s="33">
        <f>IF($Y14&gt;0,VLOOKUP($J14,Ruimtegroepen[],3,FALSE)*VLOOKUP($L14,Vloersoorten[],3,FALSE)*VLOOKUP($X14,Frequenties[],3,FALSE)*VLOOKUP(#REF!,Locaties[],3,FALSE),0)</f>
        <v>0</v>
      </c>
      <c r="AA14" s="33"/>
      <c r="AB14" s="33"/>
      <c r="AC14" s="33">
        <f>Ruimtestaat[[#This Row],[uren / jaar weekend]]*Tariefsopbouw!$D$40</f>
        <v>0</v>
      </c>
      <c r="AD14" s="88">
        <f>Ruimtestaat[[#This Row],[Prest. (m2 /jaar) weekend]]+Ruimtestaat[[#This Row],[Prest. (m2 /jaar) werkdagen]]</f>
        <v>4200</v>
      </c>
      <c r="AE14" s="88">
        <f>Ruimtestaat[[#This Row],[uren / jaar weekend]]+Ruimtestaat[[#This Row],[uren / jaar werkdagen]]</f>
        <v>0</v>
      </c>
      <c r="AF14" s="89">
        <f>Ruimtestaat[[#This Row],[kosten / jaar weekend]]+Ruimtestaat[[#This Row],[kosten / jaar werkdagen]]</f>
        <v>0</v>
      </c>
      <c r="AG14" s="114"/>
      <c r="HK14" s="87"/>
    </row>
    <row r="15" spans="1:219" ht="15" customHeight="1">
      <c r="A15" s="129">
        <v>1</v>
      </c>
      <c r="B15" s="21" t="str">
        <f>VLOOKUP(Ruimtestaat[[#This Row],[Code]],Locaties[#All],2,FALSE)</f>
        <v>Novalis College hoofdgebouw</v>
      </c>
      <c r="C15" s="21" t="str">
        <f>VLOOKUP(Ruimtestaat[[#This Row],[Code]],Locaties[#All],4,FALSE)</f>
        <v>Sterrenlaan 16</v>
      </c>
      <c r="D15" s="21" t="str">
        <f>VLOOKUP(Ruimtestaat[[#This Row],[Code]],Locaties[#All],5,FALSE)</f>
        <v>5631 KA</v>
      </c>
      <c r="E15" s="200" t="str">
        <f>VLOOKUP(Ruimtestaat[[#This Row],[Code]],Locaties[#All],6,FALSE)</f>
        <v>Eindhoven</v>
      </c>
      <c r="F15" s="213" t="s">
        <v>613</v>
      </c>
      <c r="G15" s="213" t="s">
        <v>523</v>
      </c>
      <c r="H15" s="200" t="s">
        <v>531</v>
      </c>
      <c r="I15" s="241" t="s">
        <v>532</v>
      </c>
      <c r="J15" s="200">
        <v>10</v>
      </c>
      <c r="K15" s="241" t="str">
        <f>VLOOKUP(Ruimtestaat[[#This Row],[Ruimte code]],Ruimtegroepen[#All],2,FALSE)</f>
        <v>Trappenhuizen/lift</v>
      </c>
      <c r="L15" s="240" t="s">
        <v>762</v>
      </c>
      <c r="M15" s="200" t="s">
        <v>553</v>
      </c>
      <c r="N15" s="212">
        <v>5</v>
      </c>
      <c r="O15" s="212"/>
      <c r="P15" s="240" t="str">
        <f>VLOOKUP(Ruimtestaat[[#This Row],[Ruimte code]],Ruimtegroepen[#All],4,FALSE)</f>
        <v>V  (Verkeersruimte)</v>
      </c>
      <c r="Q15" s="213">
        <v>40</v>
      </c>
      <c r="R15" s="213" t="s">
        <v>2</v>
      </c>
      <c r="S15" s="213">
        <f>IF(Q15&gt;0,IF(RIGHT(Ruimtestaat[[#This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5" s="213">
        <f>IF(S15&gt;0,VLOOKUP($J15,Ruimtegroepen[],3,FALSE)*VLOOKUP($L15,Vloersoorten[],3,FALSE)*VLOOKUP($R15,Frequenties[],3,FALSE)*VLOOKUP($A15,Locaties[],3,FALSE),0)</f>
        <v>0</v>
      </c>
      <c r="U15" s="213">
        <f>Ruimtestaat[[#This Row],[Uitvoeringen werkdagen]]*Ruimtestaat[[#This Row],[Oppervlak (netto)]]</f>
        <v>1000</v>
      </c>
      <c r="V15" s="253">
        <f>IF(T15&gt;0,Ruimtestaat[[#This Row],[Prest. (m2 /jaar) werkdagen]]/Ruimtestaat[[#This Row],[Norm (m2/uur) werkdagen]],0)</f>
        <v>0</v>
      </c>
      <c r="W15" s="254">
        <f>Ruimtestaat[[#This Row],[uren / jaar werkdagen]]*Tariefsopbouw!$D$38</f>
        <v>0</v>
      </c>
      <c r="X15" s="33"/>
      <c r="Y15" s="33">
        <f>IF(Ruimtestaat[[#This Row],[Frequentie weekend]]&gt;0,VALUE(LEFT(X15,1))*Q15,0)</f>
        <v>0</v>
      </c>
      <c r="Z15" s="33">
        <f>IF($Y15&gt;0,VLOOKUP($J15,Ruimtegroepen[],3,FALSE)*VLOOKUP($L15,Vloersoorten[],3,FALSE)*VLOOKUP($X15,Frequenties[],3,FALSE)*VLOOKUP(#REF!,Locaties[],3,FALSE),0)</f>
        <v>0</v>
      </c>
      <c r="AA15" s="33"/>
      <c r="AB15" s="33"/>
      <c r="AC15" s="33">
        <f>Ruimtestaat[[#This Row],[uren / jaar weekend]]*Tariefsopbouw!$D$40</f>
        <v>0</v>
      </c>
      <c r="AD15" s="88">
        <f>Ruimtestaat[[#This Row],[Prest. (m2 /jaar) weekend]]+Ruimtestaat[[#This Row],[Prest. (m2 /jaar) werkdagen]]</f>
        <v>1000</v>
      </c>
      <c r="AE15" s="88">
        <f>Ruimtestaat[[#This Row],[uren / jaar weekend]]+Ruimtestaat[[#This Row],[uren / jaar werkdagen]]</f>
        <v>0</v>
      </c>
      <c r="AF15" s="89">
        <f>Ruimtestaat[[#This Row],[kosten / jaar weekend]]+Ruimtestaat[[#This Row],[kosten / jaar werkdagen]]</f>
        <v>0</v>
      </c>
      <c r="AG15" s="114"/>
      <c r="HK15" s="87"/>
    </row>
    <row r="16" spans="1:219" ht="15" customHeight="1">
      <c r="A16" s="129">
        <v>1</v>
      </c>
      <c r="B16" s="21" t="str">
        <f>VLOOKUP(Ruimtestaat[[#This Row],[Code]],Locaties[#All],2,FALSE)</f>
        <v>Novalis College hoofdgebouw</v>
      </c>
      <c r="C16" s="21" t="str">
        <f>VLOOKUP(Ruimtestaat[[#This Row],[Code]],Locaties[#All],4,FALSE)</f>
        <v>Sterrenlaan 16</v>
      </c>
      <c r="D16" s="21" t="str">
        <f>VLOOKUP(Ruimtestaat[[#This Row],[Code]],Locaties[#All],5,FALSE)</f>
        <v>5631 KA</v>
      </c>
      <c r="E16" s="200" t="str">
        <f>VLOOKUP(Ruimtestaat[[#This Row],[Code]],Locaties[#All],6,FALSE)</f>
        <v>Eindhoven</v>
      </c>
      <c r="F16" s="213" t="s">
        <v>613</v>
      </c>
      <c r="G16" s="213" t="s">
        <v>523</v>
      </c>
      <c r="H16" s="200" t="s">
        <v>452</v>
      </c>
      <c r="I16" s="241" t="s">
        <v>512</v>
      </c>
      <c r="J16" s="200">
        <v>10</v>
      </c>
      <c r="K16" s="241" t="str">
        <f>VLOOKUP(Ruimtestaat[[#This Row],[Ruimte code]],Ruimtegroepen[#All],2,FALSE)</f>
        <v>Trappenhuizen/lift</v>
      </c>
      <c r="L16" s="240" t="s">
        <v>109</v>
      </c>
      <c r="M16" s="200" t="s">
        <v>38</v>
      </c>
      <c r="N16" s="212">
        <v>28</v>
      </c>
      <c r="O16" s="212"/>
      <c r="P16" s="240" t="str">
        <f>VLOOKUP(Ruimtestaat[[#This Row],[Ruimte code]],Ruimtegroepen[#All],4,FALSE)</f>
        <v>V  (Verkeersruimte)</v>
      </c>
      <c r="Q16" s="213">
        <v>40</v>
      </c>
      <c r="R16" s="213" t="s">
        <v>2</v>
      </c>
      <c r="S16" s="213">
        <f>IF(Q16&gt;0,IF(RIGHT(Ruimtestaat[[#This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" s="213">
        <f>IF(S16&gt;0,VLOOKUP($J16,Ruimtegroepen[],3,FALSE)*VLOOKUP($L16,Vloersoorten[],3,FALSE)*VLOOKUP($R16,Frequenties[],3,FALSE)*VLOOKUP($A16,Locaties[],3,FALSE),0)</f>
        <v>0</v>
      </c>
      <c r="U16" s="213">
        <f>Ruimtestaat[[#This Row],[Uitvoeringen werkdagen]]*Ruimtestaat[[#This Row],[Oppervlak (netto)]]</f>
        <v>5600</v>
      </c>
      <c r="V16" s="253">
        <f>IF(T16&gt;0,Ruimtestaat[[#This Row],[Prest. (m2 /jaar) werkdagen]]/Ruimtestaat[[#This Row],[Norm (m2/uur) werkdagen]],0)</f>
        <v>0</v>
      </c>
      <c r="W16" s="254">
        <f>Ruimtestaat[[#This Row],[uren / jaar werkdagen]]*Tariefsopbouw!$D$38</f>
        <v>0</v>
      </c>
      <c r="X16" s="33"/>
      <c r="Y16" s="33">
        <f>IF(Ruimtestaat[[#This Row],[Frequentie weekend]]&gt;0,VALUE(LEFT(X16,1))*Q16,0)</f>
        <v>0</v>
      </c>
      <c r="Z16" s="33">
        <f>IF($Y16&gt;0,VLOOKUP($J16,Ruimtegroepen[],3,FALSE)*VLOOKUP($L16,Vloersoorten[],3,FALSE)*VLOOKUP($X16,Frequenties[],3,FALSE)*VLOOKUP(#REF!,Locaties[],3,FALSE),0)</f>
        <v>0</v>
      </c>
      <c r="AA16" s="33"/>
      <c r="AB16" s="33"/>
      <c r="AC16" s="33">
        <f>Ruimtestaat[[#This Row],[uren / jaar weekend]]*Tariefsopbouw!$D$40</f>
        <v>0</v>
      </c>
      <c r="AD16" s="88">
        <f>Ruimtestaat[[#This Row],[Prest. (m2 /jaar) weekend]]+Ruimtestaat[[#This Row],[Prest. (m2 /jaar) werkdagen]]</f>
        <v>5600</v>
      </c>
      <c r="AE16" s="88">
        <f>Ruimtestaat[[#This Row],[uren / jaar weekend]]+Ruimtestaat[[#This Row],[uren / jaar werkdagen]]</f>
        <v>0</v>
      </c>
      <c r="AF16" s="89">
        <f>Ruimtestaat[[#This Row],[kosten / jaar weekend]]+Ruimtestaat[[#This Row],[kosten / jaar werkdagen]]</f>
        <v>0</v>
      </c>
      <c r="AG16" s="114"/>
      <c r="HK16" s="87"/>
    </row>
    <row r="17" spans="1:219" ht="15" customHeight="1">
      <c r="A17" s="129">
        <v>1</v>
      </c>
      <c r="B17" s="21" t="str">
        <f>VLOOKUP(Ruimtestaat[[#This Row],[Code]],Locaties[#All],2,FALSE)</f>
        <v>Novalis College hoofdgebouw</v>
      </c>
      <c r="C17" s="21" t="str">
        <f>VLOOKUP(Ruimtestaat[[#This Row],[Code]],Locaties[#All],4,FALSE)</f>
        <v>Sterrenlaan 16</v>
      </c>
      <c r="D17" s="21" t="str">
        <f>VLOOKUP(Ruimtestaat[[#This Row],[Code]],Locaties[#All],5,FALSE)</f>
        <v>5631 KA</v>
      </c>
      <c r="E17" s="200" t="str">
        <f>VLOOKUP(Ruimtestaat[[#This Row],[Code]],Locaties[#All],6,FALSE)</f>
        <v>Eindhoven</v>
      </c>
      <c r="F17" s="213" t="s">
        <v>613</v>
      </c>
      <c r="G17" s="213" t="s">
        <v>523</v>
      </c>
      <c r="H17" s="255" t="s">
        <v>533</v>
      </c>
      <c r="I17" s="241" t="s">
        <v>501</v>
      </c>
      <c r="J17" s="200">
        <v>10</v>
      </c>
      <c r="K17" s="241" t="str">
        <f>VLOOKUP(Ruimtestaat[[#This Row],[Ruimte code]],Ruimtegroepen[#All],2,FALSE)</f>
        <v>Trappenhuizen/lift</v>
      </c>
      <c r="L17" s="240" t="s">
        <v>762</v>
      </c>
      <c r="M17" s="200" t="s">
        <v>550</v>
      </c>
      <c r="N17" s="212">
        <v>5</v>
      </c>
      <c r="O17" s="212"/>
      <c r="P17" s="240" t="str">
        <f>VLOOKUP(Ruimtestaat[[#This Row],[Ruimte code]],Ruimtegroepen[#All],4,FALSE)</f>
        <v>V  (Verkeersruimte)</v>
      </c>
      <c r="Q17" s="213">
        <v>40</v>
      </c>
      <c r="R17" s="213" t="s">
        <v>2</v>
      </c>
      <c r="S17" s="213">
        <f>IF(Q17&gt;0,IF(RIGHT(Ruimtestaat[[#This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" s="213">
        <f>IF(S17&gt;0,VLOOKUP($J17,Ruimtegroepen[],3,FALSE)*VLOOKUP($L17,Vloersoorten[],3,FALSE)*VLOOKUP($R17,Frequenties[],3,FALSE)*VLOOKUP($A17,Locaties[],3,FALSE),0)</f>
        <v>0</v>
      </c>
      <c r="U17" s="213">
        <f>Ruimtestaat[[#This Row],[Uitvoeringen werkdagen]]*Ruimtestaat[[#This Row],[Oppervlak (netto)]]</f>
        <v>1000</v>
      </c>
      <c r="V17" s="253">
        <f>IF(T17&gt;0,Ruimtestaat[[#This Row],[Prest. (m2 /jaar) werkdagen]]/Ruimtestaat[[#This Row],[Norm (m2/uur) werkdagen]],0)</f>
        <v>0</v>
      </c>
      <c r="W17" s="254">
        <f>Ruimtestaat[[#This Row],[uren / jaar werkdagen]]*Tariefsopbouw!$D$38</f>
        <v>0</v>
      </c>
      <c r="X17" s="33"/>
      <c r="Y17" s="33">
        <f>IF(Ruimtestaat[[#This Row],[Frequentie weekend]]&gt;0,VALUE(LEFT(X17,1))*Q17,0)</f>
        <v>0</v>
      </c>
      <c r="Z17" s="33">
        <f>IF($Y17&gt;0,VLOOKUP($J17,Ruimtegroepen[],3,FALSE)*VLOOKUP($L17,Vloersoorten[],3,FALSE)*VLOOKUP($X17,Frequenties[],3,FALSE)*VLOOKUP(#REF!,Locaties[],3,FALSE),0)</f>
        <v>0</v>
      </c>
      <c r="AA17" s="33"/>
      <c r="AB17" s="33"/>
      <c r="AC17" s="33">
        <f>Ruimtestaat[[#This Row],[uren / jaar weekend]]*Tariefsopbouw!$D$40</f>
        <v>0</v>
      </c>
      <c r="AD17" s="88">
        <f>Ruimtestaat[[#This Row],[Prest. (m2 /jaar) weekend]]+Ruimtestaat[[#This Row],[Prest. (m2 /jaar) werkdagen]]</f>
        <v>1000</v>
      </c>
      <c r="AE17" s="88">
        <f>Ruimtestaat[[#This Row],[uren / jaar weekend]]+Ruimtestaat[[#This Row],[uren / jaar werkdagen]]</f>
        <v>0</v>
      </c>
      <c r="AF17" s="89">
        <f>Ruimtestaat[[#This Row],[kosten / jaar weekend]]+Ruimtestaat[[#This Row],[kosten / jaar werkdagen]]</f>
        <v>0</v>
      </c>
      <c r="AG17" s="114"/>
      <c r="HK17" s="87"/>
    </row>
    <row r="18" spans="1:219" ht="15" customHeight="1">
      <c r="A18" s="129">
        <v>1</v>
      </c>
      <c r="B18" s="21" t="str">
        <f>VLOOKUP(Ruimtestaat[[#This Row],[Code]],Locaties[#All],2,FALSE)</f>
        <v>Novalis College hoofdgebouw</v>
      </c>
      <c r="C18" s="21" t="str">
        <f>VLOOKUP(Ruimtestaat[[#This Row],[Code]],Locaties[#All],4,FALSE)</f>
        <v>Sterrenlaan 16</v>
      </c>
      <c r="D18" s="21" t="str">
        <f>VLOOKUP(Ruimtestaat[[#This Row],[Code]],Locaties[#All],5,FALSE)</f>
        <v>5631 KA</v>
      </c>
      <c r="E18" s="200" t="str">
        <f>VLOOKUP(Ruimtestaat[[#This Row],[Code]],Locaties[#All],6,FALSE)</f>
        <v>Eindhoven</v>
      </c>
      <c r="F18" s="213" t="s">
        <v>613</v>
      </c>
      <c r="G18" s="213" t="s">
        <v>523</v>
      </c>
      <c r="H18" s="200" t="s">
        <v>453</v>
      </c>
      <c r="I18" s="241" t="s">
        <v>534</v>
      </c>
      <c r="J18" s="200">
        <v>7</v>
      </c>
      <c r="K18" s="241" t="str">
        <f>VLOOKUP(Ruimtestaat[[#This Row],[Ruimte code]],Ruimtegroepen[#All],2,FALSE)</f>
        <v>Entree</v>
      </c>
      <c r="L18" s="240" t="s">
        <v>109</v>
      </c>
      <c r="M18" s="200" t="s">
        <v>549</v>
      </c>
      <c r="N18" s="212">
        <v>6</v>
      </c>
      <c r="O18" s="212"/>
      <c r="P18" s="240" t="str">
        <f>VLOOKUP(Ruimtestaat[[#This Row],[Ruimte code]],Ruimtegroepen[#All],4,FALSE)</f>
        <v>V  (Verkeersruimte)</v>
      </c>
      <c r="Q18" s="213">
        <v>40</v>
      </c>
      <c r="R18" s="213" t="s">
        <v>2</v>
      </c>
      <c r="S18" s="213">
        <f>IF(Q18&gt;0,IF(RIGHT(Ruimtestaat[[#This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" s="213">
        <f>IF(S18&gt;0,VLOOKUP($J18,Ruimtegroepen[],3,FALSE)*VLOOKUP($L18,Vloersoorten[],3,FALSE)*VLOOKUP($R18,Frequenties[],3,FALSE)*VLOOKUP($A18,Locaties[],3,FALSE),0)</f>
        <v>0</v>
      </c>
      <c r="U18" s="213">
        <f>Ruimtestaat[[#This Row],[Uitvoeringen werkdagen]]*Ruimtestaat[[#This Row],[Oppervlak (netto)]]</f>
        <v>1200</v>
      </c>
      <c r="V18" s="253">
        <f>IF(T18&gt;0,Ruimtestaat[[#This Row],[Prest. (m2 /jaar) werkdagen]]/Ruimtestaat[[#This Row],[Norm (m2/uur) werkdagen]],0)</f>
        <v>0</v>
      </c>
      <c r="W18" s="254">
        <f>Ruimtestaat[[#This Row],[uren / jaar werkdagen]]*Tariefsopbouw!$D$38</f>
        <v>0</v>
      </c>
      <c r="X18" s="33"/>
      <c r="Y18" s="33">
        <f>IF(Ruimtestaat[[#This Row],[Frequentie weekend]]&gt;0,VALUE(LEFT(X18,1))*Q18,0)</f>
        <v>0</v>
      </c>
      <c r="Z18" s="33">
        <f>IF($Y18&gt;0,VLOOKUP($J18,Ruimtegroepen[],3,FALSE)*VLOOKUP($L18,Vloersoorten[],3,FALSE)*VLOOKUP($X18,Frequenties[],3,FALSE)*VLOOKUP(#REF!,Locaties[],3,FALSE),0)</f>
        <v>0</v>
      </c>
      <c r="AA18" s="33"/>
      <c r="AB18" s="33"/>
      <c r="AC18" s="33">
        <f>Ruimtestaat[[#This Row],[uren / jaar weekend]]*Tariefsopbouw!$D$40</f>
        <v>0</v>
      </c>
      <c r="AD18" s="88">
        <f>Ruimtestaat[[#This Row],[Prest. (m2 /jaar) weekend]]+Ruimtestaat[[#This Row],[Prest. (m2 /jaar) werkdagen]]</f>
        <v>1200</v>
      </c>
      <c r="AE18" s="88">
        <f>Ruimtestaat[[#This Row],[uren / jaar weekend]]+Ruimtestaat[[#This Row],[uren / jaar werkdagen]]</f>
        <v>0</v>
      </c>
      <c r="AF18" s="89">
        <f>Ruimtestaat[[#This Row],[kosten / jaar weekend]]+Ruimtestaat[[#This Row],[kosten / jaar werkdagen]]</f>
        <v>0</v>
      </c>
      <c r="AG18" s="114"/>
      <c r="HK18" s="87"/>
    </row>
    <row r="19" spans="1:219" ht="15" customHeight="1">
      <c r="A19" s="129">
        <v>1</v>
      </c>
      <c r="B19" s="21" t="str">
        <f>VLOOKUP(Ruimtestaat[[#This Row],[Code]],Locaties[#All],2,FALSE)</f>
        <v>Novalis College hoofdgebouw</v>
      </c>
      <c r="C19" s="21" t="str">
        <f>VLOOKUP(Ruimtestaat[[#This Row],[Code]],Locaties[#All],4,FALSE)</f>
        <v>Sterrenlaan 16</v>
      </c>
      <c r="D19" s="21" t="str">
        <f>VLOOKUP(Ruimtestaat[[#This Row],[Code]],Locaties[#All],5,FALSE)</f>
        <v>5631 KA</v>
      </c>
      <c r="E19" s="200" t="str">
        <f>VLOOKUP(Ruimtestaat[[#This Row],[Code]],Locaties[#All],6,FALSE)</f>
        <v>Eindhoven</v>
      </c>
      <c r="F19" s="213" t="s">
        <v>613</v>
      </c>
      <c r="G19" s="213" t="s">
        <v>523</v>
      </c>
      <c r="H19" s="255" t="s">
        <v>454</v>
      </c>
      <c r="I19" s="241" t="s">
        <v>386</v>
      </c>
      <c r="J19" s="213">
        <v>6</v>
      </c>
      <c r="K19" s="241" t="str">
        <f>VLOOKUP(Ruimtestaat[[#This Row],[Ruimte code]],Ruimtegroepen[#All],2,FALSE)</f>
        <v>Gangen/hallen</v>
      </c>
      <c r="L19" s="213" t="s">
        <v>110</v>
      </c>
      <c r="M19" s="200" t="s">
        <v>277</v>
      </c>
      <c r="N19" s="212">
        <v>102</v>
      </c>
      <c r="O19" s="212"/>
      <c r="P19" s="240" t="str">
        <f>VLOOKUP(Ruimtestaat[[#This Row],[Ruimte code]],Ruimtegroepen[#All],4,FALSE)</f>
        <v>V  (Verkeersruimte)</v>
      </c>
      <c r="Q19" s="213">
        <v>40</v>
      </c>
      <c r="R19" s="213" t="s">
        <v>2</v>
      </c>
      <c r="S19" s="213">
        <f>IF(Q19&gt;0,IF(RIGHT(Ruimtestaat[[#This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" s="213">
        <f>IF(S19&gt;0,VLOOKUP($J19,Ruimtegroepen[],3,FALSE)*VLOOKUP($L19,Vloersoorten[],3,FALSE)*VLOOKUP($R19,Frequenties[],3,FALSE)*VLOOKUP($A19,Locaties[],3,FALSE),0)</f>
        <v>0</v>
      </c>
      <c r="U19" s="213">
        <f>Ruimtestaat[[#This Row],[Uitvoeringen werkdagen]]*Ruimtestaat[[#This Row],[Oppervlak (netto)]]</f>
        <v>20400</v>
      </c>
      <c r="V19" s="253">
        <f>IF(T19&gt;0,Ruimtestaat[[#This Row],[Prest. (m2 /jaar) werkdagen]]/Ruimtestaat[[#This Row],[Norm (m2/uur) werkdagen]],0)</f>
        <v>0</v>
      </c>
      <c r="W19" s="254">
        <f>Ruimtestaat[[#This Row],[uren / jaar werkdagen]]*Tariefsopbouw!$D$38</f>
        <v>0</v>
      </c>
      <c r="X19" s="33"/>
      <c r="Y19" s="33">
        <f>IF(Ruimtestaat[[#This Row],[Frequentie weekend]]&gt;0,VALUE(LEFT(X19,1))*Q19,0)</f>
        <v>0</v>
      </c>
      <c r="Z19" s="33">
        <f>IF($Y19&gt;0,VLOOKUP($J19,Ruimtegroepen[],3,FALSE)*VLOOKUP($L19,Vloersoorten[],3,FALSE)*VLOOKUP($X19,Frequenties[],3,FALSE)*VLOOKUP(#REF!,Locaties[],3,FALSE),0)</f>
        <v>0</v>
      </c>
      <c r="AA19" s="33"/>
      <c r="AB19" s="33"/>
      <c r="AC19" s="33">
        <f>Ruimtestaat[[#This Row],[uren / jaar weekend]]*Tariefsopbouw!$D$40</f>
        <v>0</v>
      </c>
      <c r="AD19" s="88">
        <f>Ruimtestaat[[#This Row],[Prest. (m2 /jaar) weekend]]+Ruimtestaat[[#This Row],[Prest. (m2 /jaar) werkdagen]]</f>
        <v>20400</v>
      </c>
      <c r="AE19" s="88">
        <f>Ruimtestaat[[#This Row],[uren / jaar weekend]]+Ruimtestaat[[#This Row],[uren / jaar werkdagen]]</f>
        <v>0</v>
      </c>
      <c r="AF19" s="89">
        <f>Ruimtestaat[[#This Row],[kosten / jaar weekend]]+Ruimtestaat[[#This Row],[kosten / jaar werkdagen]]</f>
        <v>0</v>
      </c>
      <c r="AG19" s="114"/>
      <c r="HK19" s="87"/>
    </row>
    <row r="20" spans="1:219" ht="15" customHeight="1">
      <c r="A20" s="129">
        <v>1</v>
      </c>
      <c r="B20" s="21" t="str">
        <f>VLOOKUP(Ruimtestaat[[#This Row],[Code]],Locaties[#All],2,FALSE)</f>
        <v>Novalis College hoofdgebouw</v>
      </c>
      <c r="C20" s="21" t="str">
        <f>VLOOKUP(Ruimtestaat[[#This Row],[Code]],Locaties[#All],4,FALSE)</f>
        <v>Sterrenlaan 16</v>
      </c>
      <c r="D20" s="21" t="str">
        <f>VLOOKUP(Ruimtestaat[[#This Row],[Code]],Locaties[#All],5,FALSE)</f>
        <v>5631 KA</v>
      </c>
      <c r="E20" s="200" t="str">
        <f>VLOOKUP(Ruimtestaat[[#This Row],[Code]],Locaties[#All],6,FALSE)</f>
        <v>Eindhoven</v>
      </c>
      <c r="F20" s="213" t="s">
        <v>613</v>
      </c>
      <c r="G20" s="213" t="s">
        <v>523</v>
      </c>
      <c r="H20" s="255" t="s">
        <v>455</v>
      </c>
      <c r="I20" s="241" t="s">
        <v>458</v>
      </c>
      <c r="J20" s="213">
        <v>15</v>
      </c>
      <c r="K20" s="241" t="str">
        <f>VLOOKUP(Ruimtestaat[[#This Row],[Ruimte code]],Ruimtegroepen[#All],2,FALSE)</f>
        <v>Keuken/pantry</v>
      </c>
      <c r="L20" s="240" t="s">
        <v>111</v>
      </c>
      <c r="M20" s="200" t="s">
        <v>551</v>
      </c>
      <c r="N20" s="212">
        <v>27</v>
      </c>
      <c r="O20" s="212"/>
      <c r="P20" s="240" t="str">
        <f>VLOOKUP(Ruimtestaat[[#This Row],[Ruimte code]],Ruimtegroepen[#All],4,FALSE)</f>
        <v>V  (Verkeersruimte)</v>
      </c>
      <c r="Q20" s="213">
        <v>40</v>
      </c>
      <c r="R20" s="213" t="s">
        <v>2</v>
      </c>
      <c r="S20" s="213">
        <f>IF(Q20&gt;0,IF(RIGHT(Ruimtestaat[[#This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" s="213">
        <f>IF(S20&gt;0,VLOOKUP($J20,Ruimtegroepen[],3,FALSE)*VLOOKUP($L20,Vloersoorten[],3,FALSE)*VLOOKUP($R20,Frequenties[],3,FALSE)*VLOOKUP($A20,Locaties[],3,FALSE),0)</f>
        <v>0</v>
      </c>
      <c r="U20" s="213">
        <f>Ruimtestaat[[#This Row],[Uitvoeringen werkdagen]]*Ruimtestaat[[#This Row],[Oppervlak (netto)]]</f>
        <v>5400</v>
      </c>
      <c r="V20" s="253">
        <f>IF(T20&gt;0,Ruimtestaat[[#This Row],[Prest. (m2 /jaar) werkdagen]]/Ruimtestaat[[#This Row],[Norm (m2/uur) werkdagen]],0)</f>
        <v>0</v>
      </c>
      <c r="W20" s="254">
        <f>Ruimtestaat[[#This Row],[uren / jaar werkdagen]]*Tariefsopbouw!$D$38</f>
        <v>0</v>
      </c>
      <c r="X20" s="33"/>
      <c r="Y20" s="33">
        <f>IF(Ruimtestaat[[#This Row],[Frequentie weekend]]&gt;0,VALUE(LEFT(X20,1))*Q20,0)</f>
        <v>0</v>
      </c>
      <c r="Z20" s="33">
        <f>IF($Y20&gt;0,VLOOKUP($J20,Ruimtegroepen[],3,FALSE)*VLOOKUP($L20,Vloersoorten[],3,FALSE)*VLOOKUP($X20,Frequenties[],3,FALSE)*VLOOKUP(#REF!,Locaties[],3,FALSE),0)</f>
        <v>0</v>
      </c>
      <c r="AA20" s="33"/>
      <c r="AB20" s="33"/>
      <c r="AC20" s="33">
        <f>Ruimtestaat[[#This Row],[uren / jaar weekend]]*Tariefsopbouw!$D$40</f>
        <v>0</v>
      </c>
      <c r="AD20" s="88">
        <f>Ruimtestaat[[#This Row],[Prest. (m2 /jaar) weekend]]+Ruimtestaat[[#This Row],[Prest. (m2 /jaar) werkdagen]]</f>
        <v>5400</v>
      </c>
      <c r="AE20" s="88">
        <f>Ruimtestaat[[#This Row],[uren / jaar weekend]]+Ruimtestaat[[#This Row],[uren / jaar werkdagen]]</f>
        <v>0</v>
      </c>
      <c r="AF20" s="89">
        <f>Ruimtestaat[[#This Row],[kosten / jaar weekend]]+Ruimtestaat[[#This Row],[kosten / jaar werkdagen]]</f>
        <v>0</v>
      </c>
      <c r="AG20" s="114"/>
      <c r="HK20" s="87"/>
    </row>
    <row r="21" spans="1:219" ht="15" customHeight="1">
      <c r="A21" s="129">
        <v>1</v>
      </c>
      <c r="B21" s="21" t="str">
        <f>VLOOKUP(Ruimtestaat[[#This Row],[Code]],Locaties[#All],2,FALSE)</f>
        <v>Novalis College hoofdgebouw</v>
      </c>
      <c r="C21" s="21" t="str">
        <f>VLOOKUP(Ruimtestaat[[#This Row],[Code]],Locaties[#All],4,FALSE)</f>
        <v>Sterrenlaan 16</v>
      </c>
      <c r="D21" s="21" t="str">
        <f>VLOOKUP(Ruimtestaat[[#This Row],[Code]],Locaties[#All],5,FALSE)</f>
        <v>5631 KA</v>
      </c>
      <c r="E21" s="200" t="str">
        <f>VLOOKUP(Ruimtestaat[[#This Row],[Code]],Locaties[#All],6,FALSE)</f>
        <v>Eindhoven</v>
      </c>
      <c r="F21" s="213" t="s">
        <v>613</v>
      </c>
      <c r="G21" s="213" t="s">
        <v>523</v>
      </c>
      <c r="H21" s="255" t="s">
        <v>456</v>
      </c>
      <c r="I21" s="241" t="s">
        <v>535</v>
      </c>
      <c r="J21" s="200">
        <v>21</v>
      </c>
      <c r="K21" s="241" t="str">
        <f>VLOOKUP(Ruimtestaat[[#This Row],[Ruimte code]],Ruimtegroepen[#All],2,FALSE)</f>
        <v>Niet in onderhoud</v>
      </c>
      <c r="L21" s="213" t="s">
        <v>110</v>
      </c>
      <c r="M21" s="200" t="s">
        <v>277</v>
      </c>
      <c r="N21" s="212"/>
      <c r="O21" s="212">
        <v>4</v>
      </c>
      <c r="P21" s="240" t="str">
        <f>VLOOKUP(Ruimtestaat[[#This Row],[Ruimte code]],Ruimtegroepen[#All],4,FALSE)</f>
        <v>Niet in onderhoud</v>
      </c>
      <c r="Q21" s="213"/>
      <c r="R21" s="213"/>
      <c r="S21" s="213">
        <f>IF(Q21&gt;0,IF(RIGHT(Ruimtestaat[[#This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1" s="213">
        <f>IF(S21&gt;0,VLOOKUP($J21,Ruimtegroepen[],3,FALSE)*VLOOKUP($L21,Vloersoorten[],3,FALSE)*VLOOKUP($R21,Frequenties[],3,FALSE)*VLOOKUP($A21,Locaties[],3,FALSE),0)</f>
        <v>0</v>
      </c>
      <c r="U21" s="213">
        <f>Ruimtestaat[[#This Row],[Uitvoeringen werkdagen]]*Ruimtestaat[[#This Row],[Oppervlak (netto)]]</f>
        <v>0</v>
      </c>
      <c r="V21" s="253">
        <f>IF(T21&gt;0,Ruimtestaat[[#This Row],[Prest. (m2 /jaar) werkdagen]]/Ruimtestaat[[#This Row],[Norm (m2/uur) werkdagen]],0)</f>
        <v>0</v>
      </c>
      <c r="W21" s="254">
        <f>Ruimtestaat[[#This Row],[uren / jaar werkdagen]]*Tariefsopbouw!$D$38</f>
        <v>0</v>
      </c>
      <c r="X21" s="33"/>
      <c r="Y21" s="33">
        <f>IF(Ruimtestaat[[#This Row],[Frequentie weekend]]&gt;0,VALUE(LEFT(X21,1))*Q21,0)</f>
        <v>0</v>
      </c>
      <c r="Z21" s="33">
        <f>IF($Y21&gt;0,VLOOKUP($J21,Ruimtegroepen[],3,FALSE)*VLOOKUP($L21,Vloersoorten[],3,FALSE)*VLOOKUP($X21,Frequenties[],3,FALSE)*VLOOKUP(#REF!,Locaties[],3,FALSE),0)</f>
        <v>0</v>
      </c>
      <c r="AA21" s="33"/>
      <c r="AB21" s="33"/>
      <c r="AC21" s="33">
        <f>Ruimtestaat[[#This Row],[uren / jaar weekend]]*Tariefsopbouw!$D$40</f>
        <v>0</v>
      </c>
      <c r="AD21" s="88">
        <f>Ruimtestaat[[#This Row],[Prest. (m2 /jaar) weekend]]+Ruimtestaat[[#This Row],[Prest. (m2 /jaar) werkdagen]]</f>
        <v>0</v>
      </c>
      <c r="AE21" s="88">
        <f>Ruimtestaat[[#This Row],[uren / jaar weekend]]+Ruimtestaat[[#This Row],[uren / jaar werkdagen]]</f>
        <v>0</v>
      </c>
      <c r="AF21" s="89">
        <f>Ruimtestaat[[#This Row],[kosten / jaar weekend]]+Ruimtestaat[[#This Row],[kosten / jaar werkdagen]]</f>
        <v>0</v>
      </c>
      <c r="AG21" s="114"/>
      <c r="HK21" s="87"/>
    </row>
    <row r="22" spans="1:219" ht="15" customHeight="1">
      <c r="A22" s="129">
        <v>1</v>
      </c>
      <c r="B22" s="21" t="str">
        <f>VLOOKUP(Ruimtestaat[[#This Row],[Code]],Locaties[#All],2,FALSE)</f>
        <v>Novalis College hoofdgebouw</v>
      </c>
      <c r="C22" s="21" t="str">
        <f>VLOOKUP(Ruimtestaat[[#This Row],[Code]],Locaties[#All],4,FALSE)</f>
        <v>Sterrenlaan 16</v>
      </c>
      <c r="D22" s="21" t="str">
        <f>VLOOKUP(Ruimtestaat[[#This Row],[Code]],Locaties[#All],5,FALSE)</f>
        <v>5631 KA</v>
      </c>
      <c r="E22" s="200" t="str">
        <f>VLOOKUP(Ruimtestaat[[#This Row],[Code]],Locaties[#All],6,FALSE)</f>
        <v>Eindhoven</v>
      </c>
      <c r="F22" s="213" t="s">
        <v>613</v>
      </c>
      <c r="G22" s="213" t="s">
        <v>523</v>
      </c>
      <c r="H22" s="200" t="s">
        <v>457</v>
      </c>
      <c r="I22" s="241" t="s">
        <v>518</v>
      </c>
      <c r="J22" s="213">
        <v>21</v>
      </c>
      <c r="K22" s="241" t="str">
        <f>VLOOKUP(Ruimtestaat[[#This Row],[Ruimte code]],Ruimtegroepen[#All],2,FALSE)</f>
        <v>Niet in onderhoud</v>
      </c>
      <c r="L22" s="240" t="s">
        <v>111</v>
      </c>
      <c r="M22" s="200" t="s">
        <v>554</v>
      </c>
      <c r="N22" s="212"/>
      <c r="O22" s="212"/>
      <c r="P22" s="240" t="str">
        <f>VLOOKUP(Ruimtestaat[[#This Row],[Ruimte code]],Ruimtegroepen[#All],4,FALSE)</f>
        <v>Niet in onderhoud</v>
      </c>
      <c r="Q22" s="213"/>
      <c r="R22" s="213"/>
      <c r="S22" s="213">
        <f>IF(Q22&gt;0,IF(RIGHT(Ruimtestaat[[#This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" s="213">
        <f>IF(S22&gt;0,VLOOKUP($J22,Ruimtegroepen[],3,FALSE)*VLOOKUP($L22,Vloersoorten[],3,FALSE)*VLOOKUP($R22,Frequenties[],3,FALSE)*VLOOKUP($A22,Locaties[],3,FALSE),0)</f>
        <v>0</v>
      </c>
      <c r="U22" s="213">
        <f>Ruimtestaat[[#This Row],[Uitvoeringen werkdagen]]*Ruimtestaat[[#This Row],[Oppervlak (netto)]]</f>
        <v>0</v>
      </c>
      <c r="V22" s="253">
        <f>IF(T22&gt;0,Ruimtestaat[[#This Row],[Prest. (m2 /jaar) werkdagen]]/Ruimtestaat[[#This Row],[Norm (m2/uur) werkdagen]],0)</f>
        <v>0</v>
      </c>
      <c r="W22" s="254">
        <f>Ruimtestaat[[#This Row],[uren / jaar werkdagen]]*Tariefsopbouw!$D$38</f>
        <v>0</v>
      </c>
      <c r="X22" s="33"/>
      <c r="Y22" s="33">
        <f>IF(Ruimtestaat[[#This Row],[Frequentie weekend]]&gt;0,VALUE(LEFT(X22,1))*Q22,0)</f>
        <v>0</v>
      </c>
      <c r="Z22" s="33">
        <f>IF($Y22&gt;0,VLOOKUP($J22,Ruimtegroepen[],3,FALSE)*VLOOKUP($L22,Vloersoorten[],3,FALSE)*VLOOKUP($X22,Frequenties[],3,FALSE)*VLOOKUP(#REF!,Locaties[],3,FALSE),0)</f>
        <v>0</v>
      </c>
      <c r="AA22" s="33"/>
      <c r="AB22" s="33"/>
      <c r="AC22" s="33">
        <f>Ruimtestaat[[#This Row],[uren / jaar weekend]]*Tariefsopbouw!$D$40</f>
        <v>0</v>
      </c>
      <c r="AD22" s="88">
        <f>Ruimtestaat[[#This Row],[Prest. (m2 /jaar) weekend]]+Ruimtestaat[[#This Row],[Prest. (m2 /jaar) werkdagen]]</f>
        <v>0</v>
      </c>
      <c r="AE22" s="88">
        <f>Ruimtestaat[[#This Row],[uren / jaar weekend]]+Ruimtestaat[[#This Row],[uren / jaar werkdagen]]</f>
        <v>0</v>
      </c>
      <c r="AF22" s="89">
        <f>Ruimtestaat[[#This Row],[kosten / jaar weekend]]+Ruimtestaat[[#This Row],[kosten / jaar werkdagen]]</f>
        <v>0</v>
      </c>
      <c r="AG22" s="114"/>
      <c r="HK22" s="87"/>
    </row>
    <row r="23" spans="1:219" ht="15" customHeight="1">
      <c r="A23" s="129">
        <v>1</v>
      </c>
      <c r="B23" s="21" t="str">
        <f>VLOOKUP(Ruimtestaat[[#This Row],[Code]],Locaties[#All],2,FALSE)</f>
        <v>Novalis College hoofdgebouw</v>
      </c>
      <c r="C23" s="21" t="str">
        <f>VLOOKUP(Ruimtestaat[[#This Row],[Code]],Locaties[#All],4,FALSE)</f>
        <v>Sterrenlaan 16</v>
      </c>
      <c r="D23" s="21" t="str">
        <f>VLOOKUP(Ruimtestaat[[#This Row],[Code]],Locaties[#All],5,FALSE)</f>
        <v>5631 KA</v>
      </c>
      <c r="E23" s="200" t="str">
        <f>VLOOKUP(Ruimtestaat[[#This Row],[Code]],Locaties[#All],6,FALSE)</f>
        <v>Eindhoven</v>
      </c>
      <c r="F23" s="213" t="s">
        <v>613</v>
      </c>
      <c r="G23" s="213" t="s">
        <v>523</v>
      </c>
      <c r="H23" s="200" t="s">
        <v>459</v>
      </c>
      <c r="I23" s="241" t="s">
        <v>536</v>
      </c>
      <c r="J23" s="200">
        <v>18</v>
      </c>
      <c r="K23" s="241" t="str">
        <f>VLOOKUP(Ruimtestaat[[#This Row],[Ruimte code]],Ruimtegroepen[#All],2,FALSE)</f>
        <v>Gym - / speellokaal</v>
      </c>
      <c r="L23" s="213" t="s">
        <v>762</v>
      </c>
      <c r="M23" s="200" t="s">
        <v>555</v>
      </c>
      <c r="N23" s="212">
        <v>107</v>
      </c>
      <c r="O23" s="212"/>
      <c r="P23" s="240" t="str">
        <f>VLOOKUP(Ruimtestaat[[#This Row],[Ruimte code]],Ruimtegroepen[#All],4,FALSE)</f>
        <v>Sp  (Sportruimte)</v>
      </c>
      <c r="Q23" s="213">
        <v>40</v>
      </c>
      <c r="R23" s="213" t="s">
        <v>2</v>
      </c>
      <c r="S23" s="213">
        <f>IF(Q23&gt;0,IF(RIGHT(Ruimtestaat[[#This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" s="213">
        <f>IF(S23&gt;0,VLOOKUP($J23,Ruimtegroepen[],3,FALSE)*VLOOKUP($L23,Vloersoorten[],3,FALSE)*VLOOKUP($R23,Frequenties[],3,FALSE)*VLOOKUP($A23,Locaties[],3,FALSE),0)</f>
        <v>0</v>
      </c>
      <c r="U23" s="213">
        <f>Ruimtestaat[[#This Row],[Uitvoeringen werkdagen]]*Ruimtestaat[[#This Row],[Oppervlak (netto)]]</f>
        <v>21400</v>
      </c>
      <c r="V23" s="253">
        <f>IF(T23&gt;0,Ruimtestaat[[#This Row],[Prest. (m2 /jaar) werkdagen]]/Ruimtestaat[[#This Row],[Norm (m2/uur) werkdagen]],0)</f>
        <v>0</v>
      </c>
      <c r="W23" s="254">
        <f>Ruimtestaat[[#This Row],[uren / jaar werkdagen]]*Tariefsopbouw!$D$38</f>
        <v>0</v>
      </c>
      <c r="X23" s="33"/>
      <c r="Y23" s="33">
        <f>IF(Ruimtestaat[[#This Row],[Frequentie weekend]]&gt;0,VALUE(LEFT(X23,1))*Q23,0)</f>
        <v>0</v>
      </c>
      <c r="Z23" s="33">
        <f>IF($Y23&gt;0,VLOOKUP($J23,Ruimtegroepen[],3,FALSE)*VLOOKUP($L23,Vloersoorten[],3,FALSE)*VLOOKUP($X23,Frequenties[],3,FALSE)*VLOOKUP(#REF!,Locaties[],3,FALSE),0)</f>
        <v>0</v>
      </c>
      <c r="AA23" s="33"/>
      <c r="AB23" s="33"/>
      <c r="AC23" s="33">
        <f>Ruimtestaat[[#This Row],[uren / jaar weekend]]*Tariefsopbouw!$D$40</f>
        <v>0</v>
      </c>
      <c r="AD23" s="88">
        <f>Ruimtestaat[[#This Row],[Prest. (m2 /jaar) weekend]]+Ruimtestaat[[#This Row],[Prest. (m2 /jaar) werkdagen]]</f>
        <v>21400</v>
      </c>
      <c r="AE23" s="88">
        <f>Ruimtestaat[[#This Row],[uren / jaar weekend]]+Ruimtestaat[[#This Row],[uren / jaar werkdagen]]</f>
        <v>0</v>
      </c>
      <c r="AF23" s="89">
        <f>Ruimtestaat[[#This Row],[kosten / jaar weekend]]+Ruimtestaat[[#This Row],[kosten / jaar werkdagen]]</f>
        <v>0</v>
      </c>
      <c r="AG23" s="114"/>
      <c r="HK23" s="87"/>
    </row>
    <row r="24" spans="1:219" ht="15" customHeight="1">
      <c r="A24" s="129">
        <v>1</v>
      </c>
      <c r="B24" s="21" t="str">
        <f>VLOOKUP(Ruimtestaat[[#This Row],[Code]],Locaties[#All],2,FALSE)</f>
        <v>Novalis College hoofdgebouw</v>
      </c>
      <c r="C24" s="21" t="str">
        <f>VLOOKUP(Ruimtestaat[[#This Row],[Code]],Locaties[#All],4,FALSE)</f>
        <v>Sterrenlaan 16</v>
      </c>
      <c r="D24" s="21" t="str">
        <f>VLOOKUP(Ruimtestaat[[#This Row],[Code]],Locaties[#All],5,FALSE)</f>
        <v>5631 KA</v>
      </c>
      <c r="E24" s="200" t="str">
        <f>VLOOKUP(Ruimtestaat[[#This Row],[Code]],Locaties[#All],6,FALSE)</f>
        <v>Eindhoven</v>
      </c>
      <c r="F24" s="213" t="s">
        <v>613</v>
      </c>
      <c r="G24" s="213" t="s">
        <v>523</v>
      </c>
      <c r="H24" s="200" t="s">
        <v>460</v>
      </c>
      <c r="I24" s="241" t="s">
        <v>505</v>
      </c>
      <c r="J24" s="200">
        <v>3</v>
      </c>
      <c r="K24" s="241" t="str">
        <f>VLOOKUP(Ruimtestaat[[#This Row],[Ruimte code]],Ruimtegroepen[#All],2,FALSE)</f>
        <v>Reproruimte</v>
      </c>
      <c r="L24" s="213" t="s">
        <v>110</v>
      </c>
      <c r="M24" s="200" t="s">
        <v>277</v>
      </c>
      <c r="N24" s="212">
        <v>56</v>
      </c>
      <c r="O24" s="212"/>
      <c r="P24" s="240" t="str">
        <f>VLOOKUP(Ruimtestaat[[#This Row],[Ruimte code]],Ruimtegroepen[#All],4,FALSE)</f>
        <v>V  (Verkeersruimte)</v>
      </c>
      <c r="Q24" s="213">
        <v>40</v>
      </c>
      <c r="R24" s="213" t="s">
        <v>18</v>
      </c>
      <c r="S24" s="213">
        <f>IF(Q24&gt;0,IF(RIGHT(Ruimtestaat[[#This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24" s="213">
        <f>IF(S24&gt;0,VLOOKUP($J24,Ruimtegroepen[],3,FALSE)*VLOOKUP($L24,Vloersoorten[],3,FALSE)*VLOOKUP($R24,Frequenties[],3,FALSE)*VLOOKUP($A24,Locaties[],3,FALSE),0)</f>
        <v>0</v>
      </c>
      <c r="U24" s="213">
        <f>Ruimtestaat[[#This Row],[Uitvoeringen werkdagen]]*Ruimtestaat[[#This Row],[Oppervlak (netto)]]</f>
        <v>6720</v>
      </c>
      <c r="V24" s="253">
        <f>IF(T24&gt;0,Ruimtestaat[[#This Row],[Prest. (m2 /jaar) werkdagen]]/Ruimtestaat[[#This Row],[Norm (m2/uur) werkdagen]],0)</f>
        <v>0</v>
      </c>
      <c r="W24" s="254">
        <f>Ruimtestaat[[#This Row],[uren / jaar werkdagen]]*Tariefsopbouw!$D$38</f>
        <v>0</v>
      </c>
      <c r="X24" s="33"/>
      <c r="Y24" s="33">
        <f>IF(Ruimtestaat[[#This Row],[Frequentie weekend]]&gt;0,VALUE(LEFT(X24,1))*Q24,0)</f>
        <v>0</v>
      </c>
      <c r="Z24" s="33">
        <f>IF($Y24&gt;0,VLOOKUP($J24,Ruimtegroepen[],3,FALSE)*VLOOKUP($L24,Vloersoorten[],3,FALSE)*VLOOKUP($X24,Frequenties[],3,FALSE)*VLOOKUP(#REF!,Locaties[],3,FALSE),0)</f>
        <v>0</v>
      </c>
      <c r="AA24" s="33"/>
      <c r="AB24" s="33"/>
      <c r="AC24" s="33">
        <f>Ruimtestaat[[#This Row],[uren / jaar weekend]]*Tariefsopbouw!$D$40</f>
        <v>0</v>
      </c>
      <c r="AD24" s="88">
        <f>Ruimtestaat[[#This Row],[Prest. (m2 /jaar) weekend]]+Ruimtestaat[[#This Row],[Prest. (m2 /jaar) werkdagen]]</f>
        <v>6720</v>
      </c>
      <c r="AE24" s="88">
        <f>Ruimtestaat[[#This Row],[uren / jaar weekend]]+Ruimtestaat[[#This Row],[uren / jaar werkdagen]]</f>
        <v>0</v>
      </c>
      <c r="AF24" s="89">
        <f>Ruimtestaat[[#This Row],[kosten / jaar weekend]]+Ruimtestaat[[#This Row],[kosten / jaar werkdagen]]</f>
        <v>0</v>
      </c>
      <c r="AG24" s="114"/>
      <c r="HK24" s="87"/>
    </row>
    <row r="25" spans="1:219" ht="15" customHeight="1">
      <c r="A25" s="129">
        <v>1</v>
      </c>
      <c r="B25" s="21" t="str">
        <f>VLOOKUP(Ruimtestaat[[#This Row],[Code]],Locaties[#All],2,FALSE)</f>
        <v>Novalis College hoofdgebouw</v>
      </c>
      <c r="C25" s="21" t="str">
        <f>VLOOKUP(Ruimtestaat[[#This Row],[Code]],Locaties[#All],4,FALSE)</f>
        <v>Sterrenlaan 16</v>
      </c>
      <c r="D25" s="21" t="str">
        <f>VLOOKUP(Ruimtestaat[[#This Row],[Code]],Locaties[#All],5,FALSE)</f>
        <v>5631 KA</v>
      </c>
      <c r="E25" s="200" t="str">
        <f>VLOOKUP(Ruimtestaat[[#This Row],[Code]],Locaties[#All],6,FALSE)</f>
        <v>Eindhoven</v>
      </c>
      <c r="F25" s="213" t="s">
        <v>613</v>
      </c>
      <c r="G25" s="213" t="s">
        <v>523</v>
      </c>
      <c r="H25" s="200" t="s">
        <v>537</v>
      </c>
      <c r="I25" s="241" t="s">
        <v>538</v>
      </c>
      <c r="J25" s="200">
        <v>21</v>
      </c>
      <c r="K25" s="241" t="str">
        <f>VLOOKUP(Ruimtestaat[[#This Row],[Ruimte code]],Ruimtegroepen[#All],2,FALSE)</f>
        <v>Niet in onderhoud</v>
      </c>
      <c r="L25" s="213" t="s">
        <v>110</v>
      </c>
      <c r="M25" s="200" t="s">
        <v>277</v>
      </c>
      <c r="N25" s="212"/>
      <c r="O25" s="212">
        <v>33</v>
      </c>
      <c r="P25" s="240" t="str">
        <f>VLOOKUP(Ruimtestaat[[#This Row],[Ruimte code]],Ruimtegroepen[#All],4,FALSE)</f>
        <v>Niet in onderhoud</v>
      </c>
      <c r="Q25" s="213"/>
      <c r="R25" s="213"/>
      <c r="S25" s="213">
        <f>IF(Q25&gt;0,IF(RIGHT(Ruimtestaat[[#This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5" s="213">
        <f>IF(S25&gt;0,VLOOKUP($J25,Ruimtegroepen[],3,FALSE)*VLOOKUP($L25,Vloersoorten[],3,FALSE)*VLOOKUP($R25,Frequenties[],3,FALSE)*VLOOKUP($A25,Locaties[],3,FALSE),0)</f>
        <v>0</v>
      </c>
      <c r="U25" s="213">
        <f>Ruimtestaat[[#This Row],[Uitvoeringen werkdagen]]*Ruimtestaat[[#This Row],[Oppervlak (netto)]]</f>
        <v>0</v>
      </c>
      <c r="V25" s="253">
        <f>IF(T25&gt;0,Ruimtestaat[[#This Row],[Prest. (m2 /jaar) werkdagen]]/Ruimtestaat[[#This Row],[Norm (m2/uur) werkdagen]],0)</f>
        <v>0</v>
      </c>
      <c r="W25" s="254">
        <f>Ruimtestaat[[#This Row],[uren / jaar werkdagen]]*Tariefsopbouw!$D$38</f>
        <v>0</v>
      </c>
      <c r="X25" s="33"/>
      <c r="Y25" s="33">
        <f>IF(Ruimtestaat[[#This Row],[Frequentie weekend]]&gt;0,VALUE(LEFT(X25,1))*Q25,0)</f>
        <v>0</v>
      </c>
      <c r="Z25" s="33">
        <f>IF($Y25&gt;0,VLOOKUP($J25,Ruimtegroepen[],3,FALSE)*VLOOKUP($L25,Vloersoorten[],3,FALSE)*VLOOKUP($X25,Frequenties[],3,FALSE)*VLOOKUP(#REF!,Locaties[],3,FALSE),0)</f>
        <v>0</v>
      </c>
      <c r="AA25" s="33"/>
      <c r="AB25" s="33"/>
      <c r="AC25" s="33">
        <f>Ruimtestaat[[#This Row],[uren / jaar weekend]]*Tariefsopbouw!$D$40</f>
        <v>0</v>
      </c>
      <c r="AD25" s="88">
        <f>Ruimtestaat[[#This Row],[Prest. (m2 /jaar) weekend]]+Ruimtestaat[[#This Row],[Prest. (m2 /jaar) werkdagen]]</f>
        <v>0</v>
      </c>
      <c r="AE25" s="88">
        <f>Ruimtestaat[[#This Row],[uren / jaar weekend]]+Ruimtestaat[[#This Row],[uren / jaar werkdagen]]</f>
        <v>0</v>
      </c>
      <c r="AF25" s="89">
        <f>Ruimtestaat[[#This Row],[kosten / jaar weekend]]+Ruimtestaat[[#This Row],[kosten / jaar werkdagen]]</f>
        <v>0</v>
      </c>
      <c r="AG25" s="114"/>
      <c r="HK25" s="87"/>
    </row>
    <row r="26" spans="1:219" ht="15" customHeight="1">
      <c r="A26" s="129">
        <v>1</v>
      </c>
      <c r="B26" s="21" t="str">
        <f>VLOOKUP(Ruimtestaat[[#This Row],[Code]],Locaties[#All],2,FALSE)</f>
        <v>Novalis College hoofdgebouw</v>
      </c>
      <c r="C26" s="21" t="str">
        <f>VLOOKUP(Ruimtestaat[[#This Row],[Code]],Locaties[#All],4,FALSE)</f>
        <v>Sterrenlaan 16</v>
      </c>
      <c r="D26" s="21" t="str">
        <f>VLOOKUP(Ruimtestaat[[#This Row],[Code]],Locaties[#All],5,FALSE)</f>
        <v>5631 KA</v>
      </c>
      <c r="E26" s="200" t="str">
        <f>VLOOKUP(Ruimtestaat[[#This Row],[Code]],Locaties[#All],6,FALSE)</f>
        <v>Eindhoven</v>
      </c>
      <c r="F26" s="213" t="s">
        <v>613</v>
      </c>
      <c r="G26" s="213" t="s">
        <v>523</v>
      </c>
      <c r="H26" s="200" t="s">
        <v>461</v>
      </c>
      <c r="I26" s="241" t="s">
        <v>386</v>
      </c>
      <c r="J26" s="213">
        <v>6</v>
      </c>
      <c r="K26" s="241" t="str">
        <f>VLOOKUP(Ruimtestaat[[#This Row],[Ruimte code]],Ruimtegroepen[#All],2,FALSE)</f>
        <v>Gangen/hallen</v>
      </c>
      <c r="L26" s="213" t="s">
        <v>110</v>
      </c>
      <c r="M26" s="200" t="s">
        <v>277</v>
      </c>
      <c r="N26" s="212">
        <v>52</v>
      </c>
      <c r="O26" s="212"/>
      <c r="P26" s="240" t="str">
        <f>VLOOKUP(Ruimtestaat[[#This Row],[Ruimte code]],Ruimtegroepen[#All],4,FALSE)</f>
        <v>V  (Verkeersruimte)</v>
      </c>
      <c r="Q26" s="213">
        <v>40</v>
      </c>
      <c r="R26" s="213" t="s">
        <v>2</v>
      </c>
      <c r="S26" s="213">
        <f>IF(Q26&gt;0,IF(RIGHT(Ruimtestaat[[#This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" s="213">
        <f>IF(S26&gt;0,VLOOKUP($J26,Ruimtegroepen[],3,FALSE)*VLOOKUP($L26,Vloersoorten[],3,FALSE)*VLOOKUP($R26,Frequenties[],3,FALSE)*VLOOKUP($A26,Locaties[],3,FALSE),0)</f>
        <v>0</v>
      </c>
      <c r="U26" s="213">
        <f>Ruimtestaat[[#This Row],[Uitvoeringen werkdagen]]*Ruimtestaat[[#This Row],[Oppervlak (netto)]]</f>
        <v>10400</v>
      </c>
      <c r="V26" s="253">
        <f>IF(T26&gt;0,Ruimtestaat[[#This Row],[Prest. (m2 /jaar) werkdagen]]/Ruimtestaat[[#This Row],[Norm (m2/uur) werkdagen]],0)</f>
        <v>0</v>
      </c>
      <c r="W26" s="254">
        <f>Ruimtestaat[[#This Row],[uren / jaar werkdagen]]*Tariefsopbouw!$D$38</f>
        <v>0</v>
      </c>
      <c r="X26" s="33"/>
      <c r="Y26" s="33">
        <f>IF(Ruimtestaat[[#This Row],[Frequentie weekend]]&gt;0,VALUE(LEFT(X26,1))*Q26,0)</f>
        <v>0</v>
      </c>
      <c r="Z26" s="33">
        <f>IF($Y26&gt;0,VLOOKUP($J26,Ruimtegroepen[],3,FALSE)*VLOOKUP($L26,Vloersoorten[],3,FALSE)*VLOOKUP($X26,Frequenties[],3,FALSE)*VLOOKUP(#REF!,Locaties[],3,FALSE),0)</f>
        <v>0</v>
      </c>
      <c r="AA26" s="33"/>
      <c r="AB26" s="33"/>
      <c r="AC26" s="33">
        <f>Ruimtestaat[[#This Row],[uren / jaar weekend]]*Tariefsopbouw!$D$40</f>
        <v>0</v>
      </c>
      <c r="AD26" s="88">
        <f>Ruimtestaat[[#This Row],[Prest. (m2 /jaar) weekend]]+Ruimtestaat[[#This Row],[Prest. (m2 /jaar) werkdagen]]</f>
        <v>10400</v>
      </c>
      <c r="AE26" s="88">
        <f>Ruimtestaat[[#This Row],[uren / jaar weekend]]+Ruimtestaat[[#This Row],[uren / jaar werkdagen]]</f>
        <v>0</v>
      </c>
      <c r="AF26" s="89">
        <f>Ruimtestaat[[#This Row],[kosten / jaar weekend]]+Ruimtestaat[[#This Row],[kosten / jaar werkdagen]]</f>
        <v>0</v>
      </c>
      <c r="AG26" s="114"/>
      <c r="HK26" s="87"/>
    </row>
    <row r="27" spans="1:219" ht="15" customHeight="1">
      <c r="A27" s="129">
        <v>1</v>
      </c>
      <c r="B27" s="21" t="str">
        <f>VLOOKUP(Ruimtestaat[[#This Row],[Code]],Locaties[#All],2,FALSE)</f>
        <v>Novalis College hoofdgebouw</v>
      </c>
      <c r="C27" s="21" t="str">
        <f>VLOOKUP(Ruimtestaat[[#This Row],[Code]],Locaties[#All],4,FALSE)</f>
        <v>Sterrenlaan 16</v>
      </c>
      <c r="D27" s="21" t="str">
        <f>VLOOKUP(Ruimtestaat[[#This Row],[Code]],Locaties[#All],5,FALSE)</f>
        <v>5631 KA</v>
      </c>
      <c r="E27" s="200" t="str">
        <f>VLOOKUP(Ruimtestaat[[#This Row],[Code]],Locaties[#All],6,FALSE)</f>
        <v>Eindhoven</v>
      </c>
      <c r="F27" s="213" t="s">
        <v>613</v>
      </c>
      <c r="G27" s="213" t="s">
        <v>523</v>
      </c>
      <c r="H27" s="200" t="s">
        <v>462</v>
      </c>
      <c r="I27" s="241" t="s">
        <v>539</v>
      </c>
      <c r="J27" s="200">
        <v>2</v>
      </c>
      <c r="K27" s="241" t="str">
        <f>VLOOKUP(Ruimtestaat[[#This Row],[Ruimte code]],Ruimtegroepen[#All],2,FALSE)</f>
        <v>Kantoren</v>
      </c>
      <c r="L27" s="213" t="s">
        <v>110</v>
      </c>
      <c r="M27" s="200" t="s">
        <v>277</v>
      </c>
      <c r="N27" s="212">
        <v>25</v>
      </c>
      <c r="O27" s="212"/>
      <c r="P27" s="240" t="str">
        <f>VLOOKUP(Ruimtestaat[[#This Row],[Ruimte code]],Ruimtegroepen[#All],4,FALSE)</f>
        <v>B  (Bureauruimte)</v>
      </c>
      <c r="Q27" s="213">
        <v>40</v>
      </c>
      <c r="R27" s="213" t="s">
        <v>17</v>
      </c>
      <c r="S27" s="213">
        <f>IF(Q27&gt;0,IF(RIGHT(Ruimtestaat[[#This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7" s="213">
        <f>IF(S27&gt;0,VLOOKUP($J27,Ruimtegroepen[],3,FALSE)*VLOOKUP($L27,Vloersoorten[],3,FALSE)*VLOOKUP($R27,Frequenties[],3,FALSE)*VLOOKUP($A27,Locaties[],3,FALSE),0)</f>
        <v>0</v>
      </c>
      <c r="U27" s="213">
        <f>Ruimtestaat[[#This Row],[Uitvoeringen werkdagen]]*Ruimtestaat[[#This Row],[Oppervlak (netto)]]</f>
        <v>2000</v>
      </c>
      <c r="V27" s="253">
        <f>IF(T27&gt;0,Ruimtestaat[[#This Row],[Prest. (m2 /jaar) werkdagen]]/Ruimtestaat[[#This Row],[Norm (m2/uur) werkdagen]],0)</f>
        <v>0</v>
      </c>
      <c r="W27" s="254">
        <f>Ruimtestaat[[#This Row],[uren / jaar werkdagen]]*Tariefsopbouw!$D$38</f>
        <v>0</v>
      </c>
      <c r="X27" s="33"/>
      <c r="Y27" s="33">
        <f>IF(Ruimtestaat[[#This Row],[Frequentie weekend]]&gt;0,VALUE(LEFT(X27,1))*Q27,0)</f>
        <v>0</v>
      </c>
      <c r="Z27" s="33">
        <f>IF($Y27&gt;0,VLOOKUP($J27,Ruimtegroepen[],3,FALSE)*VLOOKUP($L27,Vloersoorten[],3,FALSE)*VLOOKUP($X27,Frequenties[],3,FALSE)*VLOOKUP(#REF!,Locaties[],3,FALSE),0)</f>
        <v>0</v>
      </c>
      <c r="AA27" s="33"/>
      <c r="AB27" s="33"/>
      <c r="AC27" s="33">
        <f>Ruimtestaat[[#This Row],[uren / jaar weekend]]*Tariefsopbouw!$D$40</f>
        <v>0</v>
      </c>
      <c r="AD27" s="88">
        <f>Ruimtestaat[[#This Row],[Prest. (m2 /jaar) weekend]]+Ruimtestaat[[#This Row],[Prest. (m2 /jaar) werkdagen]]</f>
        <v>2000</v>
      </c>
      <c r="AE27" s="88">
        <f>Ruimtestaat[[#This Row],[uren / jaar weekend]]+Ruimtestaat[[#This Row],[uren / jaar werkdagen]]</f>
        <v>0</v>
      </c>
      <c r="AF27" s="89">
        <f>Ruimtestaat[[#This Row],[kosten / jaar weekend]]+Ruimtestaat[[#This Row],[kosten / jaar werkdagen]]</f>
        <v>0</v>
      </c>
      <c r="AG27" s="114"/>
      <c r="HK27" s="87"/>
    </row>
    <row r="28" spans="1:219" ht="15" customHeight="1">
      <c r="A28" s="129">
        <v>1</v>
      </c>
      <c r="B28" s="21" t="str">
        <f>VLOOKUP(Ruimtestaat[[#This Row],[Code]],Locaties[#All],2,FALSE)</f>
        <v>Novalis College hoofdgebouw</v>
      </c>
      <c r="C28" s="21" t="str">
        <f>VLOOKUP(Ruimtestaat[[#This Row],[Code]],Locaties[#All],4,FALSE)</f>
        <v>Sterrenlaan 16</v>
      </c>
      <c r="D28" s="21" t="str">
        <f>VLOOKUP(Ruimtestaat[[#This Row],[Code]],Locaties[#All],5,FALSE)</f>
        <v>5631 KA</v>
      </c>
      <c r="E28" s="200" t="str">
        <f>VLOOKUP(Ruimtestaat[[#This Row],[Code]],Locaties[#All],6,FALSE)</f>
        <v>Eindhoven</v>
      </c>
      <c r="F28" s="213" t="s">
        <v>613</v>
      </c>
      <c r="G28" s="213" t="s">
        <v>523</v>
      </c>
      <c r="H28" s="200" t="s">
        <v>463</v>
      </c>
      <c r="I28" s="241" t="s">
        <v>540</v>
      </c>
      <c r="J28" s="200">
        <v>2</v>
      </c>
      <c r="K28" s="241" t="str">
        <f>VLOOKUP(Ruimtestaat[[#This Row],[Ruimte code]],Ruimtegroepen[#All],2,FALSE)</f>
        <v>Kantoren</v>
      </c>
      <c r="L28" s="213" t="s">
        <v>110</v>
      </c>
      <c r="M28" s="200" t="s">
        <v>277</v>
      </c>
      <c r="N28" s="212">
        <v>17</v>
      </c>
      <c r="O28" s="212"/>
      <c r="P28" s="240" t="str">
        <f>VLOOKUP(Ruimtestaat[[#This Row],[Ruimte code]],Ruimtegroepen[#All],4,FALSE)</f>
        <v>B  (Bureauruimte)</v>
      </c>
      <c r="Q28" s="213">
        <v>40</v>
      </c>
      <c r="R28" s="213" t="s">
        <v>17</v>
      </c>
      <c r="S28" s="213">
        <f>IF(Q28&gt;0,IF(RIGHT(Ruimtestaat[[#This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8" s="213">
        <f>IF(S28&gt;0,VLOOKUP($J28,Ruimtegroepen[],3,FALSE)*VLOOKUP($L28,Vloersoorten[],3,FALSE)*VLOOKUP($R28,Frequenties[],3,FALSE)*VLOOKUP($A28,Locaties[],3,FALSE),0)</f>
        <v>0</v>
      </c>
      <c r="U28" s="213">
        <f>Ruimtestaat[[#This Row],[Uitvoeringen werkdagen]]*Ruimtestaat[[#This Row],[Oppervlak (netto)]]</f>
        <v>1360</v>
      </c>
      <c r="V28" s="253">
        <f>IF(T28&gt;0,Ruimtestaat[[#This Row],[Prest. (m2 /jaar) werkdagen]]/Ruimtestaat[[#This Row],[Norm (m2/uur) werkdagen]],0)</f>
        <v>0</v>
      </c>
      <c r="W28" s="254">
        <f>Ruimtestaat[[#This Row],[uren / jaar werkdagen]]*Tariefsopbouw!$D$38</f>
        <v>0</v>
      </c>
      <c r="X28" s="33"/>
      <c r="Y28" s="33">
        <f>IF(Ruimtestaat[[#This Row],[Frequentie weekend]]&gt;0,VALUE(LEFT(X28,1))*Q28,0)</f>
        <v>0</v>
      </c>
      <c r="Z28" s="33">
        <f>IF($Y28&gt;0,VLOOKUP($J28,Ruimtegroepen[],3,FALSE)*VLOOKUP($L28,Vloersoorten[],3,FALSE)*VLOOKUP($X28,Frequenties[],3,FALSE)*VLOOKUP(#REF!,Locaties[],3,FALSE),0)</f>
        <v>0</v>
      </c>
      <c r="AA28" s="33"/>
      <c r="AB28" s="33"/>
      <c r="AC28" s="33">
        <f>Ruimtestaat[[#This Row],[uren / jaar weekend]]*Tariefsopbouw!$D$40</f>
        <v>0</v>
      </c>
      <c r="AD28" s="88">
        <f>Ruimtestaat[[#This Row],[Prest. (m2 /jaar) weekend]]+Ruimtestaat[[#This Row],[Prest. (m2 /jaar) werkdagen]]</f>
        <v>1360</v>
      </c>
      <c r="AE28" s="88">
        <f>Ruimtestaat[[#This Row],[uren / jaar weekend]]+Ruimtestaat[[#This Row],[uren / jaar werkdagen]]</f>
        <v>0</v>
      </c>
      <c r="AF28" s="89">
        <f>Ruimtestaat[[#This Row],[kosten / jaar weekend]]+Ruimtestaat[[#This Row],[kosten / jaar werkdagen]]</f>
        <v>0</v>
      </c>
      <c r="AG28" s="114"/>
      <c r="HK28" s="87"/>
    </row>
    <row r="29" spans="1:219" ht="15" customHeight="1">
      <c r="A29" s="129">
        <v>1</v>
      </c>
      <c r="B29" s="21" t="str">
        <f>VLOOKUP(Ruimtestaat[[#This Row],[Code]],Locaties[#All],2,FALSE)</f>
        <v>Novalis College hoofdgebouw</v>
      </c>
      <c r="C29" s="21" t="str">
        <f>VLOOKUP(Ruimtestaat[[#This Row],[Code]],Locaties[#All],4,FALSE)</f>
        <v>Sterrenlaan 16</v>
      </c>
      <c r="D29" s="21" t="str">
        <f>VLOOKUP(Ruimtestaat[[#This Row],[Code]],Locaties[#All],5,FALSE)</f>
        <v>5631 KA</v>
      </c>
      <c r="E29" s="200" t="str">
        <f>VLOOKUP(Ruimtestaat[[#This Row],[Code]],Locaties[#All],6,FALSE)</f>
        <v>Eindhoven</v>
      </c>
      <c r="F29" s="213" t="s">
        <v>613</v>
      </c>
      <c r="G29" s="213" t="s">
        <v>523</v>
      </c>
      <c r="H29" s="200" t="s">
        <v>465</v>
      </c>
      <c r="I29" s="241" t="s">
        <v>511</v>
      </c>
      <c r="J29" s="200">
        <v>5</v>
      </c>
      <c r="K29" s="241" t="str">
        <f>VLOOKUP(Ruimtestaat[[#This Row],[Ruimte code]],Ruimtegroepen[#All],2,FALSE)</f>
        <v>Sanitair</v>
      </c>
      <c r="L29" s="240" t="s">
        <v>111</v>
      </c>
      <c r="M29" s="200" t="s">
        <v>551</v>
      </c>
      <c r="N29" s="212">
        <v>5</v>
      </c>
      <c r="O29" s="212"/>
      <c r="P29" s="240" t="str">
        <f>VLOOKUP(Ruimtestaat[[#This Row],[Ruimte code]],Ruimtegroepen[#All],4,FALSE)</f>
        <v>S  (Sanitair)</v>
      </c>
      <c r="Q29" s="213">
        <v>52</v>
      </c>
      <c r="R29" s="213" t="s">
        <v>2</v>
      </c>
      <c r="S29" s="213">
        <f>IF(Q29&gt;0,IF(RIGHT(Ruimtestaat[[#This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T29" s="213">
        <f>IF(S29&gt;0,VLOOKUP($J29,Ruimtegroepen[],3,FALSE)*VLOOKUP($L29,Vloersoorten[],3,FALSE)*VLOOKUP($R29,Frequenties[],3,FALSE)*VLOOKUP($A29,Locaties[],3,FALSE),0)</f>
        <v>0</v>
      </c>
      <c r="U29" s="213">
        <f>Ruimtestaat[[#This Row],[Uitvoeringen werkdagen]]*Ruimtestaat[[#This Row],[Oppervlak (netto)]]</f>
        <v>1300</v>
      </c>
      <c r="V29" s="253">
        <f>IF(T29&gt;0,Ruimtestaat[[#This Row],[Prest. (m2 /jaar) werkdagen]]/Ruimtestaat[[#This Row],[Norm (m2/uur) werkdagen]],0)</f>
        <v>0</v>
      </c>
      <c r="W29" s="254">
        <f>Ruimtestaat[[#This Row],[uren / jaar werkdagen]]*Tariefsopbouw!$D$38</f>
        <v>0</v>
      </c>
      <c r="X29" s="33"/>
      <c r="Y29" s="33">
        <f>IF(Ruimtestaat[[#This Row],[Frequentie weekend]]&gt;0,VALUE(LEFT(X29,1))*Q29,0)</f>
        <v>0</v>
      </c>
      <c r="Z29" s="33">
        <f>IF($Y29&gt;0,VLOOKUP($J29,Ruimtegroepen[],3,FALSE)*VLOOKUP($L29,Vloersoorten[],3,FALSE)*VLOOKUP($X29,Frequenties[],3,FALSE)*VLOOKUP(#REF!,Locaties[],3,FALSE),0)</f>
        <v>0</v>
      </c>
      <c r="AA29" s="33"/>
      <c r="AB29" s="33"/>
      <c r="AC29" s="33">
        <f>Ruimtestaat[[#This Row],[uren / jaar weekend]]*Tariefsopbouw!$D$40</f>
        <v>0</v>
      </c>
      <c r="AD29" s="88">
        <f>Ruimtestaat[[#This Row],[Prest. (m2 /jaar) weekend]]+Ruimtestaat[[#This Row],[Prest. (m2 /jaar) werkdagen]]</f>
        <v>1300</v>
      </c>
      <c r="AE29" s="88">
        <f>Ruimtestaat[[#This Row],[uren / jaar weekend]]+Ruimtestaat[[#This Row],[uren / jaar werkdagen]]</f>
        <v>0</v>
      </c>
      <c r="AF29" s="89">
        <f>Ruimtestaat[[#This Row],[kosten / jaar weekend]]+Ruimtestaat[[#This Row],[kosten / jaar werkdagen]]</f>
        <v>0</v>
      </c>
      <c r="AG29" s="114"/>
      <c r="HK29" s="87"/>
    </row>
    <row r="30" spans="1:219" ht="15" customHeight="1">
      <c r="A30" s="129">
        <v>1</v>
      </c>
      <c r="B30" s="21" t="str">
        <f>VLOOKUP(Ruimtestaat[[#This Row],[Code]],Locaties[#All],2,FALSE)</f>
        <v>Novalis College hoofdgebouw</v>
      </c>
      <c r="C30" s="21" t="str">
        <f>VLOOKUP(Ruimtestaat[[#This Row],[Code]],Locaties[#All],4,FALSE)</f>
        <v>Sterrenlaan 16</v>
      </c>
      <c r="D30" s="21" t="str">
        <f>VLOOKUP(Ruimtestaat[[#This Row],[Code]],Locaties[#All],5,FALSE)</f>
        <v>5631 KA</v>
      </c>
      <c r="E30" s="200" t="str">
        <f>VLOOKUP(Ruimtestaat[[#This Row],[Code]],Locaties[#All],6,FALSE)</f>
        <v>Eindhoven</v>
      </c>
      <c r="F30" s="213" t="s">
        <v>613</v>
      </c>
      <c r="G30" s="213" t="s">
        <v>523</v>
      </c>
      <c r="H30" s="255" t="s">
        <v>541</v>
      </c>
      <c r="I30" s="241" t="s">
        <v>518</v>
      </c>
      <c r="J30" s="200">
        <v>21</v>
      </c>
      <c r="K30" s="241" t="str">
        <f>VLOOKUP(Ruimtestaat[[#This Row],[Ruimte code]],Ruimtegroepen[#All],2,FALSE)</f>
        <v>Niet in onderhoud</v>
      </c>
      <c r="L30" s="240" t="s">
        <v>111</v>
      </c>
      <c r="M30" s="200" t="s">
        <v>554</v>
      </c>
      <c r="N30" s="212"/>
      <c r="O30" s="212"/>
      <c r="P30" s="240" t="str">
        <f>VLOOKUP(Ruimtestaat[[#This Row],[Ruimte code]],Ruimtegroepen[#All],4,FALSE)</f>
        <v>Niet in onderhoud</v>
      </c>
      <c r="Q30" s="213"/>
      <c r="R30" s="213"/>
      <c r="S30" s="213">
        <f>IF(Q30&gt;0,IF(RIGHT(Ruimtestaat[[#This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30" s="213">
        <f>IF(S30&gt;0,VLOOKUP($J30,Ruimtegroepen[],3,FALSE)*VLOOKUP($L30,Vloersoorten[],3,FALSE)*VLOOKUP($R30,Frequenties[],3,FALSE)*VLOOKUP($A30,Locaties[],3,FALSE),0)</f>
        <v>0</v>
      </c>
      <c r="U30" s="213">
        <f>Ruimtestaat[[#This Row],[Uitvoeringen werkdagen]]*Ruimtestaat[[#This Row],[Oppervlak (netto)]]</f>
        <v>0</v>
      </c>
      <c r="V30" s="253">
        <f>IF(T30&gt;0,Ruimtestaat[[#This Row],[Prest. (m2 /jaar) werkdagen]]/Ruimtestaat[[#This Row],[Norm (m2/uur) werkdagen]],0)</f>
        <v>0</v>
      </c>
      <c r="W30" s="254">
        <f>Ruimtestaat[[#This Row],[uren / jaar werkdagen]]*Tariefsopbouw!$D$38</f>
        <v>0</v>
      </c>
      <c r="X30" s="33"/>
      <c r="Y30" s="33">
        <f>IF(Ruimtestaat[[#This Row],[Frequentie weekend]]&gt;0,VALUE(LEFT(X30,1))*Q30,0)</f>
        <v>0</v>
      </c>
      <c r="Z30" s="33">
        <f>IF($Y30&gt;0,VLOOKUP($J30,Ruimtegroepen[],3,FALSE)*VLOOKUP($L30,Vloersoorten[],3,FALSE)*VLOOKUP($X30,Frequenties[],3,FALSE)*VLOOKUP(#REF!,Locaties[],3,FALSE),0)</f>
        <v>0</v>
      </c>
      <c r="AA30" s="33"/>
      <c r="AB30" s="33"/>
      <c r="AC30" s="33">
        <f>Ruimtestaat[[#This Row],[uren / jaar weekend]]*Tariefsopbouw!$D$40</f>
        <v>0</v>
      </c>
      <c r="AD30" s="88">
        <f>Ruimtestaat[[#This Row],[Prest. (m2 /jaar) weekend]]+Ruimtestaat[[#This Row],[Prest. (m2 /jaar) werkdagen]]</f>
        <v>0</v>
      </c>
      <c r="AE30" s="88">
        <f>Ruimtestaat[[#This Row],[uren / jaar weekend]]+Ruimtestaat[[#This Row],[uren / jaar werkdagen]]</f>
        <v>0</v>
      </c>
      <c r="AF30" s="89">
        <f>Ruimtestaat[[#This Row],[kosten / jaar weekend]]+Ruimtestaat[[#This Row],[kosten / jaar werkdagen]]</f>
        <v>0</v>
      </c>
      <c r="AG30" s="114"/>
      <c r="HK30" s="87"/>
    </row>
    <row r="31" spans="1:219" ht="15" customHeight="1">
      <c r="A31" s="129">
        <v>1</v>
      </c>
      <c r="B31" s="21" t="str">
        <f>VLOOKUP(Ruimtestaat[[#This Row],[Code]],Locaties[#All],2,FALSE)</f>
        <v>Novalis College hoofdgebouw</v>
      </c>
      <c r="C31" s="21" t="str">
        <f>VLOOKUP(Ruimtestaat[[#This Row],[Code]],Locaties[#All],4,FALSE)</f>
        <v>Sterrenlaan 16</v>
      </c>
      <c r="D31" s="21" t="str">
        <f>VLOOKUP(Ruimtestaat[[#This Row],[Code]],Locaties[#All],5,FALSE)</f>
        <v>5631 KA</v>
      </c>
      <c r="E31" s="200" t="str">
        <f>VLOOKUP(Ruimtestaat[[#This Row],[Code]],Locaties[#All],6,FALSE)</f>
        <v>Eindhoven</v>
      </c>
      <c r="F31" s="213" t="s">
        <v>613</v>
      </c>
      <c r="G31" s="213" t="s">
        <v>523</v>
      </c>
      <c r="H31" s="200" t="s">
        <v>466</v>
      </c>
      <c r="I31" s="241" t="s">
        <v>542</v>
      </c>
      <c r="J31" s="200">
        <v>5</v>
      </c>
      <c r="K31" s="241" t="str">
        <f>VLOOKUP(Ruimtestaat[[#This Row],[Ruimte code]],Ruimtegroepen[#All],2,FALSE)</f>
        <v>Sanitair</v>
      </c>
      <c r="L31" s="240" t="s">
        <v>111</v>
      </c>
      <c r="M31" s="200" t="s">
        <v>551</v>
      </c>
      <c r="N31" s="212">
        <v>1</v>
      </c>
      <c r="O31" s="212"/>
      <c r="P31" s="240" t="str">
        <f>VLOOKUP(Ruimtestaat[[#This Row],[Ruimte code]],Ruimtegroepen[#All],4,FALSE)</f>
        <v>S  (Sanitair)</v>
      </c>
      <c r="Q31" s="213">
        <v>42</v>
      </c>
      <c r="R31" s="213" t="s">
        <v>2</v>
      </c>
      <c r="S31" s="213">
        <f>IF(Q31&gt;0,IF(RIGHT(Ruimtestaat[[#This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31" s="213">
        <f>IF(S31&gt;0,VLOOKUP($J31,Ruimtegroepen[],3,FALSE)*VLOOKUP($L31,Vloersoorten[],3,FALSE)*VLOOKUP($R31,Frequenties[],3,FALSE)*VLOOKUP($A31,Locaties[],3,FALSE),0)</f>
        <v>0</v>
      </c>
      <c r="U31" s="213">
        <f>Ruimtestaat[[#This Row],[Uitvoeringen werkdagen]]*Ruimtestaat[[#This Row],[Oppervlak (netto)]]</f>
        <v>210</v>
      </c>
      <c r="V31" s="253">
        <f>IF(T31&gt;0,Ruimtestaat[[#This Row],[Prest. (m2 /jaar) werkdagen]]/Ruimtestaat[[#This Row],[Norm (m2/uur) werkdagen]],0)</f>
        <v>0</v>
      </c>
      <c r="W31" s="254">
        <f>Ruimtestaat[[#This Row],[uren / jaar werkdagen]]*Tariefsopbouw!$D$38</f>
        <v>0</v>
      </c>
      <c r="X31" s="33"/>
      <c r="Y31" s="33">
        <f>IF(Ruimtestaat[[#This Row],[Frequentie weekend]]&gt;0,VALUE(LEFT(X31,1))*Q31,0)</f>
        <v>0</v>
      </c>
      <c r="Z31" s="33">
        <f>IF($Y31&gt;0,VLOOKUP($J31,Ruimtegroepen[],3,FALSE)*VLOOKUP($L31,Vloersoorten[],3,FALSE)*VLOOKUP($X31,Frequenties[],3,FALSE)*VLOOKUP(#REF!,Locaties[],3,FALSE),0)</f>
        <v>0</v>
      </c>
      <c r="AA31" s="33"/>
      <c r="AB31" s="33"/>
      <c r="AC31" s="33">
        <f>Ruimtestaat[[#This Row],[uren / jaar weekend]]*Tariefsopbouw!$D$40</f>
        <v>0</v>
      </c>
      <c r="AD31" s="88">
        <f>Ruimtestaat[[#This Row],[Prest. (m2 /jaar) weekend]]+Ruimtestaat[[#This Row],[Prest. (m2 /jaar) werkdagen]]</f>
        <v>210</v>
      </c>
      <c r="AE31" s="88">
        <f>Ruimtestaat[[#This Row],[uren / jaar weekend]]+Ruimtestaat[[#This Row],[uren / jaar werkdagen]]</f>
        <v>0</v>
      </c>
      <c r="AF31" s="89">
        <f>Ruimtestaat[[#This Row],[kosten / jaar weekend]]+Ruimtestaat[[#This Row],[kosten / jaar werkdagen]]</f>
        <v>0</v>
      </c>
      <c r="AG31" s="114"/>
      <c r="HK31" s="87"/>
    </row>
    <row r="32" spans="1:219" ht="15" customHeight="1">
      <c r="A32" s="129">
        <v>1</v>
      </c>
      <c r="B32" s="21" t="str">
        <f>VLOOKUP(Ruimtestaat[[#This Row],[Code]],Locaties[#All],2,FALSE)</f>
        <v>Novalis College hoofdgebouw</v>
      </c>
      <c r="C32" s="21" t="str">
        <f>VLOOKUP(Ruimtestaat[[#This Row],[Code]],Locaties[#All],4,FALSE)</f>
        <v>Sterrenlaan 16</v>
      </c>
      <c r="D32" s="21" t="str">
        <f>VLOOKUP(Ruimtestaat[[#This Row],[Code]],Locaties[#All],5,FALSE)</f>
        <v>5631 KA</v>
      </c>
      <c r="E32" s="200" t="str">
        <f>VLOOKUP(Ruimtestaat[[#This Row],[Code]],Locaties[#All],6,FALSE)</f>
        <v>Eindhoven</v>
      </c>
      <c r="F32" s="213" t="s">
        <v>613</v>
      </c>
      <c r="G32" s="213" t="s">
        <v>523</v>
      </c>
      <c r="H32" s="255" t="s">
        <v>467</v>
      </c>
      <c r="I32" s="241" t="s">
        <v>543</v>
      </c>
      <c r="J32" s="200">
        <v>5</v>
      </c>
      <c r="K32" s="241" t="str">
        <f>VLOOKUP(Ruimtestaat[[#This Row],[Ruimte code]],Ruimtegroepen[#All],2,FALSE)</f>
        <v>Sanitair</v>
      </c>
      <c r="L32" s="240" t="s">
        <v>111</v>
      </c>
      <c r="M32" s="200" t="s">
        <v>551</v>
      </c>
      <c r="N32" s="212">
        <v>1</v>
      </c>
      <c r="O32" s="212"/>
      <c r="P32" s="240" t="str">
        <f>VLOOKUP(Ruimtestaat[[#This Row],[Ruimte code]],Ruimtegroepen[#All],4,FALSE)</f>
        <v>S  (Sanitair)</v>
      </c>
      <c r="Q32" s="213">
        <v>42</v>
      </c>
      <c r="R32" s="213" t="s">
        <v>2</v>
      </c>
      <c r="S32" s="213">
        <f>IF(Q32&gt;0,IF(RIGHT(Ruimtestaat[[#This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32" s="213">
        <f>IF(S32&gt;0,VLOOKUP($J32,Ruimtegroepen[],3,FALSE)*VLOOKUP($L32,Vloersoorten[],3,FALSE)*VLOOKUP($R32,Frequenties[],3,FALSE)*VLOOKUP($A32,Locaties[],3,FALSE),0)</f>
        <v>0</v>
      </c>
      <c r="U32" s="213">
        <f>Ruimtestaat[[#This Row],[Uitvoeringen werkdagen]]*Ruimtestaat[[#This Row],[Oppervlak (netto)]]</f>
        <v>210</v>
      </c>
      <c r="V32" s="253">
        <f>IF(T32&gt;0,Ruimtestaat[[#This Row],[Prest. (m2 /jaar) werkdagen]]/Ruimtestaat[[#This Row],[Norm (m2/uur) werkdagen]],0)</f>
        <v>0</v>
      </c>
      <c r="W32" s="254">
        <f>Ruimtestaat[[#This Row],[uren / jaar werkdagen]]*Tariefsopbouw!$D$38</f>
        <v>0</v>
      </c>
      <c r="X32" s="33"/>
      <c r="Y32" s="33">
        <f>IF(Ruimtestaat[[#This Row],[Frequentie weekend]]&gt;0,VALUE(LEFT(X32,1))*Q32,0)</f>
        <v>0</v>
      </c>
      <c r="Z32" s="33">
        <f>IF($Y32&gt;0,VLOOKUP($J32,Ruimtegroepen[],3,FALSE)*VLOOKUP($L32,Vloersoorten[],3,FALSE)*VLOOKUP($X32,Frequenties[],3,FALSE)*VLOOKUP(#REF!,Locaties[],3,FALSE),0)</f>
        <v>0</v>
      </c>
      <c r="AA32" s="33"/>
      <c r="AB32" s="33"/>
      <c r="AC32" s="33">
        <f>Ruimtestaat[[#This Row],[uren / jaar weekend]]*Tariefsopbouw!$D$40</f>
        <v>0</v>
      </c>
      <c r="AD32" s="88">
        <f>Ruimtestaat[[#This Row],[Prest. (m2 /jaar) weekend]]+Ruimtestaat[[#This Row],[Prest. (m2 /jaar) werkdagen]]</f>
        <v>210</v>
      </c>
      <c r="AE32" s="88">
        <f>Ruimtestaat[[#This Row],[uren / jaar weekend]]+Ruimtestaat[[#This Row],[uren / jaar werkdagen]]</f>
        <v>0</v>
      </c>
      <c r="AF32" s="89">
        <f>Ruimtestaat[[#This Row],[kosten / jaar weekend]]+Ruimtestaat[[#This Row],[kosten / jaar werkdagen]]</f>
        <v>0</v>
      </c>
      <c r="AG32" s="114"/>
      <c r="HK32" s="87"/>
    </row>
    <row r="33" spans="1:219" ht="15" customHeight="1">
      <c r="A33" s="129">
        <v>1</v>
      </c>
      <c r="B33" s="21" t="str">
        <f>VLOOKUP(Ruimtestaat[[#This Row],[Code]],Locaties[#All],2,FALSE)</f>
        <v>Novalis College hoofdgebouw</v>
      </c>
      <c r="C33" s="21" t="str">
        <f>VLOOKUP(Ruimtestaat[[#This Row],[Code]],Locaties[#All],4,FALSE)</f>
        <v>Sterrenlaan 16</v>
      </c>
      <c r="D33" s="21" t="str">
        <f>VLOOKUP(Ruimtestaat[[#This Row],[Code]],Locaties[#All],5,FALSE)</f>
        <v>5631 KA</v>
      </c>
      <c r="E33" s="200" t="str">
        <f>VLOOKUP(Ruimtestaat[[#This Row],[Code]],Locaties[#All],6,FALSE)</f>
        <v>Eindhoven</v>
      </c>
      <c r="F33" s="213" t="s">
        <v>613</v>
      </c>
      <c r="G33" s="213" t="s">
        <v>523</v>
      </c>
      <c r="H33" s="200" t="s">
        <v>468</v>
      </c>
      <c r="I33" s="241" t="s">
        <v>503</v>
      </c>
      <c r="J33" s="200">
        <v>21</v>
      </c>
      <c r="K33" s="241" t="str">
        <f>VLOOKUP(Ruimtestaat[[#This Row],[Ruimte code]],Ruimtegroepen[#All],2,FALSE)</f>
        <v>Niet in onderhoud</v>
      </c>
      <c r="L33" s="213" t="s">
        <v>110</v>
      </c>
      <c r="M33" s="200" t="s">
        <v>277</v>
      </c>
      <c r="N33" s="212"/>
      <c r="O33" s="212">
        <v>5</v>
      </c>
      <c r="P33" s="240" t="str">
        <f>VLOOKUP(Ruimtestaat[[#This Row],[Ruimte code]],Ruimtegroepen[#All],4,FALSE)</f>
        <v>Niet in onderhoud</v>
      </c>
      <c r="Q33" s="213"/>
      <c r="R33" s="213"/>
      <c r="S33" s="213">
        <f>IF(Q33&gt;0,IF(RIGHT(Ruimtestaat[[#This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33" s="213">
        <f>IF(S33&gt;0,VLOOKUP($J33,Ruimtegroepen[],3,FALSE)*VLOOKUP($L33,Vloersoorten[],3,FALSE)*VLOOKUP($R33,Frequenties[],3,FALSE)*VLOOKUP($A33,Locaties[],3,FALSE),0)</f>
        <v>0</v>
      </c>
      <c r="U33" s="213">
        <f>Ruimtestaat[[#This Row],[Uitvoeringen werkdagen]]*Ruimtestaat[[#This Row],[Oppervlak (netto)]]</f>
        <v>0</v>
      </c>
      <c r="V33" s="253">
        <f>IF(T33&gt;0,Ruimtestaat[[#This Row],[Prest. (m2 /jaar) werkdagen]]/Ruimtestaat[[#This Row],[Norm (m2/uur) werkdagen]],0)</f>
        <v>0</v>
      </c>
      <c r="W33" s="254">
        <f>Ruimtestaat[[#This Row],[uren / jaar werkdagen]]*Tariefsopbouw!$D$38</f>
        <v>0</v>
      </c>
      <c r="X33" s="33"/>
      <c r="Y33" s="33">
        <f>IF(Ruimtestaat[[#This Row],[Frequentie weekend]]&gt;0,VALUE(LEFT(X33,1))*Q33,0)</f>
        <v>0</v>
      </c>
      <c r="Z33" s="33">
        <f>IF($Y33&gt;0,VLOOKUP($J33,Ruimtegroepen[],3,FALSE)*VLOOKUP($L33,Vloersoorten[],3,FALSE)*VLOOKUP($X33,Frequenties[],3,FALSE)*VLOOKUP(#REF!,Locaties[],3,FALSE),0)</f>
        <v>0</v>
      </c>
      <c r="AA33" s="33"/>
      <c r="AB33" s="33"/>
      <c r="AC33" s="33">
        <f>Ruimtestaat[[#This Row],[uren / jaar weekend]]*Tariefsopbouw!$D$40</f>
        <v>0</v>
      </c>
      <c r="AD33" s="88">
        <f>Ruimtestaat[[#This Row],[Prest. (m2 /jaar) weekend]]+Ruimtestaat[[#This Row],[Prest. (m2 /jaar) werkdagen]]</f>
        <v>0</v>
      </c>
      <c r="AE33" s="88">
        <f>Ruimtestaat[[#This Row],[uren / jaar weekend]]+Ruimtestaat[[#This Row],[uren / jaar werkdagen]]</f>
        <v>0</v>
      </c>
      <c r="AF33" s="89">
        <f>Ruimtestaat[[#This Row],[kosten / jaar weekend]]+Ruimtestaat[[#This Row],[kosten / jaar werkdagen]]</f>
        <v>0</v>
      </c>
      <c r="AG33" s="114"/>
      <c r="HK33" s="87"/>
    </row>
    <row r="34" spans="1:219" ht="15" customHeight="1">
      <c r="A34" s="129">
        <v>1</v>
      </c>
      <c r="B34" s="21" t="str">
        <f>VLOOKUP(Ruimtestaat[[#This Row],[Code]],Locaties[#All],2,FALSE)</f>
        <v>Novalis College hoofdgebouw</v>
      </c>
      <c r="C34" s="21" t="str">
        <f>VLOOKUP(Ruimtestaat[[#This Row],[Code]],Locaties[#All],4,FALSE)</f>
        <v>Sterrenlaan 16</v>
      </c>
      <c r="D34" s="21" t="str">
        <f>VLOOKUP(Ruimtestaat[[#This Row],[Code]],Locaties[#All],5,FALSE)</f>
        <v>5631 KA</v>
      </c>
      <c r="E34" s="200" t="str">
        <f>VLOOKUP(Ruimtestaat[[#This Row],[Code]],Locaties[#All],6,FALSE)</f>
        <v>Eindhoven</v>
      </c>
      <c r="F34" s="213" t="s">
        <v>613</v>
      </c>
      <c r="G34" s="213" t="s">
        <v>523</v>
      </c>
      <c r="H34" s="200" t="s">
        <v>463</v>
      </c>
      <c r="I34" s="241" t="s">
        <v>503</v>
      </c>
      <c r="J34" s="200">
        <v>21</v>
      </c>
      <c r="K34" s="241" t="str">
        <f>VLOOKUP(Ruimtestaat[[#This Row],[Ruimte code]],Ruimtegroepen[#All],2,FALSE)</f>
        <v>Niet in onderhoud</v>
      </c>
      <c r="L34" s="213" t="s">
        <v>110</v>
      </c>
      <c r="M34" s="200" t="s">
        <v>277</v>
      </c>
      <c r="N34" s="212"/>
      <c r="O34" s="212">
        <v>8</v>
      </c>
      <c r="P34" s="240" t="str">
        <f>VLOOKUP(Ruimtestaat[[#This Row],[Ruimte code]],Ruimtegroepen[#All],4,FALSE)</f>
        <v>Niet in onderhoud</v>
      </c>
      <c r="Q34" s="213"/>
      <c r="R34" s="213"/>
      <c r="S34" s="213">
        <f>IF(Q34&gt;0,IF(RIGHT(Ruimtestaat[[#This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34" s="213">
        <f>IF(S34&gt;0,VLOOKUP($J34,Ruimtegroepen[],3,FALSE)*VLOOKUP($L34,Vloersoorten[],3,FALSE)*VLOOKUP($R34,Frequenties[],3,FALSE)*VLOOKUP($A34,Locaties[],3,FALSE),0)</f>
        <v>0</v>
      </c>
      <c r="U34" s="213">
        <f>Ruimtestaat[[#This Row],[Uitvoeringen werkdagen]]*Ruimtestaat[[#This Row],[Oppervlak (netto)]]</f>
        <v>0</v>
      </c>
      <c r="V34" s="253">
        <f>IF(T34&gt;0,Ruimtestaat[[#This Row],[Prest. (m2 /jaar) werkdagen]]/Ruimtestaat[[#This Row],[Norm (m2/uur) werkdagen]],0)</f>
        <v>0</v>
      </c>
      <c r="W34" s="254">
        <f>Ruimtestaat[[#This Row],[uren / jaar werkdagen]]*Tariefsopbouw!$D$38</f>
        <v>0</v>
      </c>
      <c r="X34" s="33"/>
      <c r="Y34" s="33">
        <f>IF(Ruimtestaat[[#This Row],[Frequentie weekend]]&gt;0,VALUE(LEFT(X34,1))*Q34,0)</f>
        <v>0</v>
      </c>
      <c r="Z34" s="33">
        <f>IF($Y34&gt;0,VLOOKUP($J34,Ruimtegroepen[],3,FALSE)*VLOOKUP($L34,Vloersoorten[],3,FALSE)*VLOOKUP($X34,Frequenties[],3,FALSE)*VLOOKUP(#REF!,Locaties[],3,FALSE),0)</f>
        <v>0</v>
      </c>
      <c r="AA34" s="33"/>
      <c r="AB34" s="33"/>
      <c r="AC34" s="33">
        <f>Ruimtestaat[[#This Row],[uren / jaar weekend]]*Tariefsopbouw!$D$40</f>
        <v>0</v>
      </c>
      <c r="AD34" s="88">
        <f>Ruimtestaat[[#This Row],[Prest. (m2 /jaar) weekend]]+Ruimtestaat[[#This Row],[Prest. (m2 /jaar) werkdagen]]</f>
        <v>0</v>
      </c>
      <c r="AE34" s="88">
        <f>Ruimtestaat[[#This Row],[uren / jaar weekend]]+Ruimtestaat[[#This Row],[uren / jaar werkdagen]]</f>
        <v>0</v>
      </c>
      <c r="AF34" s="89">
        <f>Ruimtestaat[[#This Row],[kosten / jaar weekend]]+Ruimtestaat[[#This Row],[kosten / jaar werkdagen]]</f>
        <v>0</v>
      </c>
      <c r="AG34" s="114"/>
      <c r="HK34" s="87"/>
    </row>
    <row r="35" spans="1:219" ht="15" customHeight="1">
      <c r="A35" s="129">
        <v>1</v>
      </c>
      <c r="B35" s="21" t="str">
        <f>VLOOKUP(Ruimtestaat[[#This Row],[Code]],Locaties[#All],2,FALSE)</f>
        <v>Novalis College hoofdgebouw</v>
      </c>
      <c r="C35" s="21" t="str">
        <f>VLOOKUP(Ruimtestaat[[#This Row],[Code]],Locaties[#All],4,FALSE)</f>
        <v>Sterrenlaan 16</v>
      </c>
      <c r="D35" s="21" t="str">
        <f>VLOOKUP(Ruimtestaat[[#This Row],[Code]],Locaties[#All],5,FALSE)</f>
        <v>5631 KA</v>
      </c>
      <c r="E35" s="200" t="str">
        <f>VLOOKUP(Ruimtestaat[[#This Row],[Code]],Locaties[#All],6,FALSE)</f>
        <v>Eindhoven</v>
      </c>
      <c r="F35" s="213" t="s">
        <v>613</v>
      </c>
      <c r="G35" s="213" t="s">
        <v>523</v>
      </c>
      <c r="H35" s="213" t="s">
        <v>469</v>
      </c>
      <c r="I35" s="252" t="s">
        <v>514</v>
      </c>
      <c r="J35" s="200">
        <v>16</v>
      </c>
      <c r="K35" s="252" t="str">
        <f>VLOOKUP(Ruimtestaat[[#This Row],[Ruimte code]],Ruimtegroepen[#All],2,FALSE)</f>
        <v>Lokaal</v>
      </c>
      <c r="L35" s="213" t="s">
        <v>110</v>
      </c>
      <c r="M35" s="213" t="s">
        <v>277</v>
      </c>
      <c r="N35" s="212">
        <v>48</v>
      </c>
      <c r="O35" s="212"/>
      <c r="P35" s="240" t="str">
        <f>VLOOKUP(Ruimtestaat[[#This Row],[Ruimte code]],Ruimtegroepen[#All],4,FALSE)</f>
        <v>L  (Lesruimte)</v>
      </c>
      <c r="Q35" s="213">
        <v>40</v>
      </c>
      <c r="R35" s="213" t="s">
        <v>2</v>
      </c>
      <c r="S35" s="213">
        <f>IF(Q35&gt;0,IF(RIGHT(Ruimtestaat[[#This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5" s="213">
        <f>IF(S35&gt;0,VLOOKUP($J35,Ruimtegroepen[],3,FALSE)*VLOOKUP($L35,Vloersoorten[],3,FALSE)*VLOOKUP($R35,Frequenties[],3,FALSE)*VLOOKUP($A35,Locaties[],3,FALSE),0)</f>
        <v>0</v>
      </c>
      <c r="U35" s="213">
        <f>Ruimtestaat[[#This Row],[Uitvoeringen werkdagen]]*Ruimtestaat[[#This Row],[Oppervlak (netto)]]</f>
        <v>9600</v>
      </c>
      <c r="V35" s="253">
        <f>IF(T35&gt;0,Ruimtestaat[[#This Row],[Prest. (m2 /jaar) werkdagen]]/Ruimtestaat[[#This Row],[Norm (m2/uur) werkdagen]],0)</f>
        <v>0</v>
      </c>
      <c r="W35" s="254">
        <f>Ruimtestaat[[#This Row],[uren / jaar werkdagen]]*Tariefsopbouw!$D$38</f>
        <v>0</v>
      </c>
      <c r="X35" s="33"/>
      <c r="Y35" s="33">
        <f>IF(Ruimtestaat[[#This Row],[Frequentie weekend]]&gt;0,VALUE(LEFT(X35,1))*Q35,0)</f>
        <v>0</v>
      </c>
      <c r="Z35" s="33">
        <f>IF($Y35&gt;0,VLOOKUP($J35,Ruimtegroepen[],3,FALSE)*VLOOKUP($L35,Vloersoorten[],3,FALSE)*VLOOKUP($X35,Frequenties[],3,FALSE)*VLOOKUP(#REF!,Locaties[],3,FALSE),0)</f>
        <v>0</v>
      </c>
      <c r="AA35" s="33"/>
      <c r="AB35" s="33"/>
      <c r="AC35" s="33">
        <f>Ruimtestaat[[#This Row],[uren / jaar weekend]]*Tariefsopbouw!$D$40</f>
        <v>0</v>
      </c>
      <c r="AD35" s="88">
        <f>Ruimtestaat[[#This Row],[Prest. (m2 /jaar) weekend]]+Ruimtestaat[[#This Row],[Prest. (m2 /jaar) werkdagen]]</f>
        <v>9600</v>
      </c>
      <c r="AE35" s="88">
        <f>Ruimtestaat[[#This Row],[uren / jaar weekend]]+Ruimtestaat[[#This Row],[uren / jaar werkdagen]]</f>
        <v>0</v>
      </c>
      <c r="AF35" s="89">
        <f>Ruimtestaat[[#This Row],[kosten / jaar weekend]]+Ruimtestaat[[#This Row],[kosten / jaar werkdagen]]</f>
        <v>0</v>
      </c>
      <c r="AG35" s="114"/>
      <c r="HK35" s="87"/>
    </row>
    <row r="36" spans="1:219" ht="15" customHeight="1">
      <c r="A36" s="129">
        <v>1</v>
      </c>
      <c r="B36" s="21" t="str">
        <f>VLOOKUP(Ruimtestaat[[#This Row],[Code]],Locaties[#All],2,FALSE)</f>
        <v>Novalis College hoofdgebouw</v>
      </c>
      <c r="C36" s="21" t="str">
        <f>VLOOKUP(Ruimtestaat[[#This Row],[Code]],Locaties[#All],4,FALSE)</f>
        <v>Sterrenlaan 16</v>
      </c>
      <c r="D36" s="21" t="str">
        <f>VLOOKUP(Ruimtestaat[[#This Row],[Code]],Locaties[#All],5,FALSE)</f>
        <v>5631 KA</v>
      </c>
      <c r="E36" s="200" t="str">
        <f>VLOOKUP(Ruimtestaat[[#This Row],[Code]],Locaties[#All],6,FALSE)</f>
        <v>Eindhoven</v>
      </c>
      <c r="F36" s="213" t="s">
        <v>613</v>
      </c>
      <c r="G36" s="213" t="s">
        <v>523</v>
      </c>
      <c r="H36" s="213" t="s">
        <v>470</v>
      </c>
      <c r="I36" s="252" t="s">
        <v>514</v>
      </c>
      <c r="J36" s="200">
        <v>16</v>
      </c>
      <c r="K36" s="252" t="str">
        <f>VLOOKUP(Ruimtestaat[[#This Row],[Ruimte code]],Ruimtegroepen[#All],2,FALSE)</f>
        <v>Lokaal</v>
      </c>
      <c r="L36" s="213" t="s">
        <v>110</v>
      </c>
      <c r="M36" s="213" t="s">
        <v>277</v>
      </c>
      <c r="N36" s="212">
        <v>48</v>
      </c>
      <c r="O36" s="212"/>
      <c r="P36" s="240" t="str">
        <f>VLOOKUP(Ruimtestaat[[#This Row],[Ruimte code]],Ruimtegroepen[#All],4,FALSE)</f>
        <v>L  (Lesruimte)</v>
      </c>
      <c r="Q36" s="213">
        <v>40</v>
      </c>
      <c r="R36" s="213" t="s">
        <v>2</v>
      </c>
      <c r="S36" s="213">
        <f>IF(Q36&gt;0,IF(RIGHT(Ruimtestaat[[#This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6" s="213">
        <f>IF(S36&gt;0,VLOOKUP($J36,Ruimtegroepen[],3,FALSE)*VLOOKUP($L36,Vloersoorten[],3,FALSE)*VLOOKUP($R36,Frequenties[],3,FALSE)*VLOOKUP($A36,Locaties[],3,FALSE),0)</f>
        <v>0</v>
      </c>
      <c r="U36" s="213">
        <f>Ruimtestaat[[#This Row],[Uitvoeringen werkdagen]]*Ruimtestaat[[#This Row],[Oppervlak (netto)]]</f>
        <v>9600</v>
      </c>
      <c r="V36" s="253">
        <f>IF(T36&gt;0,Ruimtestaat[[#This Row],[Prest. (m2 /jaar) werkdagen]]/Ruimtestaat[[#This Row],[Norm (m2/uur) werkdagen]],0)</f>
        <v>0</v>
      </c>
      <c r="W36" s="254">
        <f>Ruimtestaat[[#This Row],[uren / jaar werkdagen]]*Tariefsopbouw!$D$38</f>
        <v>0</v>
      </c>
      <c r="X36" s="33"/>
      <c r="Y36" s="33">
        <f>IF(Ruimtestaat[[#This Row],[Frequentie weekend]]&gt;0,VALUE(LEFT(X36,1))*Q36,0)</f>
        <v>0</v>
      </c>
      <c r="Z36" s="33">
        <f>IF($Y36&gt;0,VLOOKUP($J36,Ruimtegroepen[],3,FALSE)*VLOOKUP($L36,Vloersoorten[],3,FALSE)*VLOOKUP($X36,Frequenties[],3,FALSE)*VLOOKUP(#REF!,Locaties[],3,FALSE),0)</f>
        <v>0</v>
      </c>
      <c r="AA36" s="33"/>
      <c r="AB36" s="33"/>
      <c r="AC36" s="33">
        <f>Ruimtestaat[[#This Row],[uren / jaar weekend]]*Tariefsopbouw!$D$40</f>
        <v>0</v>
      </c>
      <c r="AD36" s="88">
        <f>Ruimtestaat[[#This Row],[Prest. (m2 /jaar) weekend]]+Ruimtestaat[[#This Row],[Prest. (m2 /jaar) werkdagen]]</f>
        <v>9600</v>
      </c>
      <c r="AE36" s="88">
        <f>Ruimtestaat[[#This Row],[uren / jaar weekend]]+Ruimtestaat[[#This Row],[uren / jaar werkdagen]]</f>
        <v>0</v>
      </c>
      <c r="AF36" s="89">
        <f>Ruimtestaat[[#This Row],[kosten / jaar weekend]]+Ruimtestaat[[#This Row],[kosten / jaar werkdagen]]</f>
        <v>0</v>
      </c>
      <c r="AG36" s="114"/>
      <c r="HK36" s="87"/>
    </row>
    <row r="37" spans="1:219" ht="15" customHeight="1">
      <c r="A37" s="129">
        <v>1</v>
      </c>
      <c r="B37" s="21" t="str">
        <f>VLOOKUP(Ruimtestaat[[#This Row],[Code]],Locaties[#All],2,FALSE)</f>
        <v>Novalis College hoofdgebouw</v>
      </c>
      <c r="C37" s="21" t="str">
        <f>VLOOKUP(Ruimtestaat[[#This Row],[Code]],Locaties[#All],4,FALSE)</f>
        <v>Sterrenlaan 16</v>
      </c>
      <c r="D37" s="21" t="str">
        <f>VLOOKUP(Ruimtestaat[[#This Row],[Code]],Locaties[#All],5,FALSE)</f>
        <v>5631 KA</v>
      </c>
      <c r="E37" s="200" t="str">
        <f>VLOOKUP(Ruimtestaat[[#This Row],[Code]],Locaties[#All],6,FALSE)</f>
        <v>Eindhoven</v>
      </c>
      <c r="F37" s="213" t="s">
        <v>613</v>
      </c>
      <c r="G37" s="213" t="s">
        <v>523</v>
      </c>
      <c r="H37" s="200" t="s">
        <v>471</v>
      </c>
      <c r="I37" s="241" t="s">
        <v>514</v>
      </c>
      <c r="J37" s="200">
        <v>16</v>
      </c>
      <c r="K37" s="241" t="str">
        <f>VLOOKUP(Ruimtestaat[[#This Row],[Ruimte code]],Ruimtegroepen[#All],2,FALSE)</f>
        <v>Lokaal</v>
      </c>
      <c r="L37" s="213" t="s">
        <v>110</v>
      </c>
      <c r="M37" s="200" t="s">
        <v>277</v>
      </c>
      <c r="N37" s="212">
        <v>48</v>
      </c>
      <c r="O37" s="212"/>
      <c r="P37" s="240" t="str">
        <f>VLOOKUP(Ruimtestaat[[#This Row],[Ruimte code]],Ruimtegroepen[#All],4,FALSE)</f>
        <v>L  (Lesruimte)</v>
      </c>
      <c r="Q37" s="213">
        <v>40</v>
      </c>
      <c r="R37" s="213" t="s">
        <v>2</v>
      </c>
      <c r="S37" s="213">
        <f>IF(Q37&gt;0,IF(RIGHT(Ruimtestaat[[#This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7" s="213">
        <f>IF(S37&gt;0,VLOOKUP($J37,Ruimtegroepen[],3,FALSE)*VLOOKUP($L37,Vloersoorten[],3,FALSE)*VLOOKUP($R37,Frequenties[],3,FALSE)*VLOOKUP($A37,Locaties[],3,FALSE),0)</f>
        <v>0</v>
      </c>
      <c r="U37" s="213">
        <f>Ruimtestaat[[#This Row],[Uitvoeringen werkdagen]]*Ruimtestaat[[#This Row],[Oppervlak (netto)]]</f>
        <v>9600</v>
      </c>
      <c r="V37" s="253">
        <f>IF(T37&gt;0,Ruimtestaat[[#This Row],[Prest. (m2 /jaar) werkdagen]]/Ruimtestaat[[#This Row],[Norm (m2/uur) werkdagen]],0)</f>
        <v>0</v>
      </c>
      <c r="W37" s="254">
        <f>Ruimtestaat[[#This Row],[uren / jaar werkdagen]]*Tariefsopbouw!$D$38</f>
        <v>0</v>
      </c>
      <c r="X37" s="33"/>
      <c r="Y37" s="33">
        <f>IF(Ruimtestaat[[#This Row],[Frequentie weekend]]&gt;0,VALUE(LEFT(X37,1))*Q37,0)</f>
        <v>0</v>
      </c>
      <c r="Z37" s="33">
        <f>IF($Y37&gt;0,VLOOKUP($J37,Ruimtegroepen[],3,FALSE)*VLOOKUP($L37,Vloersoorten[],3,FALSE)*VLOOKUP($X37,Frequenties[],3,FALSE)*VLOOKUP(#REF!,Locaties[],3,FALSE),0)</f>
        <v>0</v>
      </c>
      <c r="AA37" s="33"/>
      <c r="AB37" s="33"/>
      <c r="AC37" s="33">
        <f>Ruimtestaat[[#This Row],[uren / jaar weekend]]*Tariefsopbouw!$D$40</f>
        <v>0</v>
      </c>
      <c r="AD37" s="88">
        <f>Ruimtestaat[[#This Row],[Prest. (m2 /jaar) weekend]]+Ruimtestaat[[#This Row],[Prest. (m2 /jaar) werkdagen]]</f>
        <v>9600</v>
      </c>
      <c r="AE37" s="88">
        <f>Ruimtestaat[[#This Row],[uren / jaar weekend]]+Ruimtestaat[[#This Row],[uren / jaar werkdagen]]</f>
        <v>0</v>
      </c>
      <c r="AF37" s="89">
        <f>Ruimtestaat[[#This Row],[kosten / jaar weekend]]+Ruimtestaat[[#This Row],[kosten / jaar werkdagen]]</f>
        <v>0</v>
      </c>
      <c r="AG37" s="114"/>
      <c r="HK37" s="87"/>
    </row>
    <row r="38" spans="1:219" ht="15" customHeight="1">
      <c r="A38" s="129">
        <v>1</v>
      </c>
      <c r="B38" s="21" t="str">
        <f>VLOOKUP(Ruimtestaat[[#This Row],[Code]],Locaties[#All],2,FALSE)</f>
        <v>Novalis College hoofdgebouw</v>
      </c>
      <c r="C38" s="21" t="str">
        <f>VLOOKUP(Ruimtestaat[[#This Row],[Code]],Locaties[#All],4,FALSE)</f>
        <v>Sterrenlaan 16</v>
      </c>
      <c r="D38" s="21" t="str">
        <f>VLOOKUP(Ruimtestaat[[#This Row],[Code]],Locaties[#All],5,FALSE)</f>
        <v>5631 KA</v>
      </c>
      <c r="E38" s="200" t="str">
        <f>VLOOKUP(Ruimtestaat[[#This Row],[Code]],Locaties[#All],6,FALSE)</f>
        <v>Eindhoven</v>
      </c>
      <c r="F38" s="213" t="s">
        <v>613</v>
      </c>
      <c r="G38" s="213" t="s">
        <v>523</v>
      </c>
      <c r="H38" s="200" t="s">
        <v>472</v>
      </c>
      <c r="I38" s="241" t="s">
        <v>514</v>
      </c>
      <c r="J38" s="200">
        <v>16</v>
      </c>
      <c r="K38" s="241" t="str">
        <f>VLOOKUP(Ruimtestaat[[#This Row],[Ruimte code]],Ruimtegroepen[#All],2,FALSE)</f>
        <v>Lokaal</v>
      </c>
      <c r="L38" s="213" t="s">
        <v>110</v>
      </c>
      <c r="M38" s="200" t="s">
        <v>277</v>
      </c>
      <c r="N38" s="212">
        <v>48</v>
      </c>
      <c r="O38" s="212"/>
      <c r="P38" s="240" t="str">
        <f>VLOOKUP(Ruimtestaat[[#This Row],[Ruimte code]],Ruimtegroepen[#All],4,FALSE)</f>
        <v>L  (Lesruimte)</v>
      </c>
      <c r="Q38" s="213">
        <v>40</v>
      </c>
      <c r="R38" s="213" t="s">
        <v>2</v>
      </c>
      <c r="S38" s="213">
        <f>IF(Q38&gt;0,IF(RIGHT(Ruimtestaat[[#This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8" s="213">
        <f>IF(S38&gt;0,VLOOKUP($J38,Ruimtegroepen[],3,FALSE)*VLOOKUP($L38,Vloersoorten[],3,FALSE)*VLOOKUP($R38,Frequenties[],3,FALSE)*VLOOKUP($A38,Locaties[],3,FALSE),0)</f>
        <v>0</v>
      </c>
      <c r="U38" s="213">
        <f>Ruimtestaat[[#This Row],[Uitvoeringen werkdagen]]*Ruimtestaat[[#This Row],[Oppervlak (netto)]]</f>
        <v>9600</v>
      </c>
      <c r="V38" s="253">
        <f>IF(T38&gt;0,Ruimtestaat[[#This Row],[Prest. (m2 /jaar) werkdagen]]/Ruimtestaat[[#This Row],[Norm (m2/uur) werkdagen]],0)</f>
        <v>0</v>
      </c>
      <c r="W38" s="254">
        <f>Ruimtestaat[[#This Row],[uren / jaar werkdagen]]*Tariefsopbouw!$D$38</f>
        <v>0</v>
      </c>
      <c r="X38" s="33"/>
      <c r="Y38" s="33">
        <f>IF(Ruimtestaat[[#This Row],[Frequentie weekend]]&gt;0,VALUE(LEFT(X38,1))*Q38,0)</f>
        <v>0</v>
      </c>
      <c r="Z38" s="33">
        <f>IF($Y38&gt;0,VLOOKUP($J38,Ruimtegroepen[],3,FALSE)*VLOOKUP($L38,Vloersoorten[],3,FALSE)*VLOOKUP($X38,Frequenties[],3,FALSE)*VLOOKUP(#REF!,Locaties[],3,FALSE),0)</f>
        <v>0</v>
      </c>
      <c r="AA38" s="33"/>
      <c r="AB38" s="33"/>
      <c r="AC38" s="33">
        <f>Ruimtestaat[[#This Row],[uren / jaar weekend]]*Tariefsopbouw!$D$40</f>
        <v>0</v>
      </c>
      <c r="AD38" s="88">
        <f>Ruimtestaat[[#This Row],[Prest. (m2 /jaar) weekend]]+Ruimtestaat[[#This Row],[Prest. (m2 /jaar) werkdagen]]</f>
        <v>9600</v>
      </c>
      <c r="AE38" s="88">
        <f>Ruimtestaat[[#This Row],[uren / jaar weekend]]+Ruimtestaat[[#This Row],[uren / jaar werkdagen]]</f>
        <v>0</v>
      </c>
      <c r="AF38" s="89">
        <f>Ruimtestaat[[#This Row],[kosten / jaar weekend]]+Ruimtestaat[[#This Row],[kosten / jaar werkdagen]]</f>
        <v>0</v>
      </c>
      <c r="AG38" s="114"/>
      <c r="HK38" s="87"/>
    </row>
    <row r="39" spans="1:219" ht="15" customHeight="1">
      <c r="A39" s="129">
        <v>1</v>
      </c>
      <c r="B39" s="21" t="str">
        <f>VLOOKUP(Ruimtestaat[[#This Row],[Code]],Locaties[#All],2,FALSE)</f>
        <v>Novalis College hoofdgebouw</v>
      </c>
      <c r="C39" s="21" t="str">
        <f>VLOOKUP(Ruimtestaat[[#This Row],[Code]],Locaties[#All],4,FALSE)</f>
        <v>Sterrenlaan 16</v>
      </c>
      <c r="D39" s="21" t="str">
        <f>VLOOKUP(Ruimtestaat[[#This Row],[Code]],Locaties[#All],5,FALSE)</f>
        <v>5631 KA</v>
      </c>
      <c r="E39" s="200" t="str">
        <f>VLOOKUP(Ruimtestaat[[#This Row],[Code]],Locaties[#All],6,FALSE)</f>
        <v>Eindhoven</v>
      </c>
      <c r="F39" s="213" t="s">
        <v>613</v>
      </c>
      <c r="G39" s="213" t="s">
        <v>523</v>
      </c>
      <c r="H39" s="200" t="s">
        <v>510</v>
      </c>
      <c r="I39" s="241" t="s">
        <v>544</v>
      </c>
      <c r="J39" s="200">
        <v>11</v>
      </c>
      <c r="K39" s="241" t="str">
        <f>VLOOKUP(Ruimtestaat[[#This Row],[Ruimte code]],Ruimtegroepen[#All],2,FALSE)</f>
        <v>Handvaardigheidlokaal</v>
      </c>
      <c r="L39" s="213" t="s">
        <v>110</v>
      </c>
      <c r="M39" s="200" t="s">
        <v>277</v>
      </c>
      <c r="N39" s="212">
        <v>63</v>
      </c>
      <c r="O39" s="212"/>
      <c r="P39" s="240" t="str">
        <f>VLOOKUP(Ruimtestaat[[#This Row],[Ruimte code]],Ruimtegroepen[#All],4,FALSE)</f>
        <v>L  (Lesruimte)</v>
      </c>
      <c r="Q39" s="213">
        <v>40</v>
      </c>
      <c r="R39" s="213" t="s">
        <v>2</v>
      </c>
      <c r="S39" s="213">
        <f>IF(Q39&gt;0,IF(RIGHT(Ruimtestaat[[#This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9" s="213">
        <f>IF(S39&gt;0,VLOOKUP($J39,Ruimtegroepen[],3,FALSE)*VLOOKUP($L39,Vloersoorten[],3,FALSE)*VLOOKUP($R39,Frequenties[],3,FALSE)*VLOOKUP($A39,Locaties[],3,FALSE),0)</f>
        <v>0</v>
      </c>
      <c r="U39" s="213">
        <f>Ruimtestaat[[#This Row],[Uitvoeringen werkdagen]]*Ruimtestaat[[#This Row],[Oppervlak (netto)]]</f>
        <v>12600</v>
      </c>
      <c r="V39" s="253">
        <f>IF(T39&gt;0,Ruimtestaat[[#This Row],[Prest. (m2 /jaar) werkdagen]]/Ruimtestaat[[#This Row],[Norm (m2/uur) werkdagen]],0)</f>
        <v>0</v>
      </c>
      <c r="W39" s="254">
        <f>Ruimtestaat[[#This Row],[uren / jaar werkdagen]]*Tariefsopbouw!$D$38</f>
        <v>0</v>
      </c>
      <c r="X39" s="33"/>
      <c r="Y39" s="33">
        <f>IF(Ruimtestaat[[#This Row],[Frequentie weekend]]&gt;0,VALUE(LEFT(X39,1))*Q39,0)</f>
        <v>0</v>
      </c>
      <c r="Z39" s="33">
        <f>IF($Y39&gt;0,VLOOKUP($J39,Ruimtegroepen[],3,FALSE)*VLOOKUP($L39,Vloersoorten[],3,FALSE)*VLOOKUP($X39,Frequenties[],3,FALSE)*VLOOKUP(#REF!,Locaties[],3,FALSE),0)</f>
        <v>0</v>
      </c>
      <c r="AA39" s="33"/>
      <c r="AB39" s="33"/>
      <c r="AC39" s="33">
        <f>Ruimtestaat[[#This Row],[uren / jaar weekend]]*Tariefsopbouw!$D$40</f>
        <v>0</v>
      </c>
      <c r="AD39" s="88">
        <f>Ruimtestaat[[#This Row],[Prest. (m2 /jaar) weekend]]+Ruimtestaat[[#This Row],[Prest. (m2 /jaar) werkdagen]]</f>
        <v>12600</v>
      </c>
      <c r="AE39" s="88">
        <f>Ruimtestaat[[#This Row],[uren / jaar weekend]]+Ruimtestaat[[#This Row],[uren / jaar werkdagen]]</f>
        <v>0</v>
      </c>
      <c r="AF39" s="89">
        <f>Ruimtestaat[[#This Row],[kosten / jaar weekend]]+Ruimtestaat[[#This Row],[kosten / jaar werkdagen]]</f>
        <v>0</v>
      </c>
      <c r="AG39" s="114"/>
      <c r="HK39" s="87"/>
    </row>
    <row r="40" spans="1:219" ht="15" customHeight="1">
      <c r="A40" s="129">
        <v>1</v>
      </c>
      <c r="B40" s="21" t="str">
        <f>VLOOKUP(Ruimtestaat[[#This Row],[Code]],Locaties[#All],2,FALSE)</f>
        <v>Novalis College hoofdgebouw</v>
      </c>
      <c r="C40" s="21" t="str">
        <f>VLOOKUP(Ruimtestaat[[#This Row],[Code]],Locaties[#All],4,FALSE)</f>
        <v>Sterrenlaan 16</v>
      </c>
      <c r="D40" s="21" t="str">
        <f>VLOOKUP(Ruimtestaat[[#This Row],[Code]],Locaties[#All],5,FALSE)</f>
        <v>5631 KA</v>
      </c>
      <c r="E40" s="200" t="str">
        <f>VLOOKUP(Ruimtestaat[[#This Row],[Code]],Locaties[#All],6,FALSE)</f>
        <v>Eindhoven</v>
      </c>
      <c r="F40" s="213" t="s">
        <v>613</v>
      </c>
      <c r="G40" s="213" t="s">
        <v>523</v>
      </c>
      <c r="H40" s="200" t="s">
        <v>545</v>
      </c>
      <c r="I40" s="241" t="s">
        <v>546</v>
      </c>
      <c r="J40" s="200">
        <v>11</v>
      </c>
      <c r="K40" s="241" t="str">
        <f>VLOOKUP(Ruimtestaat[[#This Row],[Ruimte code]],Ruimtegroepen[#All],2,FALSE)</f>
        <v>Handvaardigheidlokaal</v>
      </c>
      <c r="L40" s="213" t="s">
        <v>110</v>
      </c>
      <c r="M40" s="200" t="s">
        <v>277</v>
      </c>
      <c r="N40" s="212">
        <v>63</v>
      </c>
      <c r="O40" s="212"/>
      <c r="P40" s="240" t="str">
        <f>VLOOKUP(Ruimtestaat[[#This Row],[Ruimte code]],Ruimtegroepen[#All],4,FALSE)</f>
        <v>L  (Lesruimte)</v>
      </c>
      <c r="Q40" s="213">
        <v>40</v>
      </c>
      <c r="R40" s="213" t="s">
        <v>2</v>
      </c>
      <c r="S40" s="213">
        <f>IF(Q40&gt;0,IF(RIGHT(Ruimtestaat[[#This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40" s="213">
        <f>IF(S40&gt;0,VLOOKUP($J40,Ruimtegroepen[],3,FALSE)*VLOOKUP($L40,Vloersoorten[],3,FALSE)*VLOOKUP($R40,Frequenties[],3,FALSE)*VLOOKUP($A40,Locaties[],3,FALSE),0)</f>
        <v>0</v>
      </c>
      <c r="U40" s="213">
        <f>Ruimtestaat[[#This Row],[Uitvoeringen werkdagen]]*Ruimtestaat[[#This Row],[Oppervlak (netto)]]</f>
        <v>12600</v>
      </c>
      <c r="V40" s="253">
        <f>IF(T40&gt;0,Ruimtestaat[[#This Row],[Prest. (m2 /jaar) werkdagen]]/Ruimtestaat[[#This Row],[Norm (m2/uur) werkdagen]],0)</f>
        <v>0</v>
      </c>
      <c r="W40" s="254">
        <f>Ruimtestaat[[#This Row],[uren / jaar werkdagen]]*Tariefsopbouw!$D$38</f>
        <v>0</v>
      </c>
      <c r="X40" s="33"/>
      <c r="Y40" s="33">
        <f>IF(Ruimtestaat[[#This Row],[Frequentie weekend]]&gt;0,VALUE(LEFT(X40,1))*Q40,0)</f>
        <v>0</v>
      </c>
      <c r="Z40" s="33">
        <f>IF($Y40&gt;0,VLOOKUP($J40,Ruimtegroepen[],3,FALSE)*VLOOKUP($L40,Vloersoorten[],3,FALSE)*VLOOKUP($X40,Frequenties[],3,FALSE)*VLOOKUP(#REF!,Locaties[],3,FALSE),0)</f>
        <v>0</v>
      </c>
      <c r="AA40" s="33"/>
      <c r="AB40" s="33"/>
      <c r="AC40" s="33">
        <f>Ruimtestaat[[#This Row],[uren / jaar weekend]]*Tariefsopbouw!$D$40</f>
        <v>0</v>
      </c>
      <c r="AD40" s="88">
        <f>Ruimtestaat[[#This Row],[Prest. (m2 /jaar) weekend]]+Ruimtestaat[[#This Row],[Prest. (m2 /jaar) werkdagen]]</f>
        <v>12600</v>
      </c>
      <c r="AE40" s="88">
        <f>Ruimtestaat[[#This Row],[uren / jaar weekend]]+Ruimtestaat[[#This Row],[uren / jaar werkdagen]]</f>
        <v>0</v>
      </c>
      <c r="AF40" s="89">
        <f>Ruimtestaat[[#This Row],[kosten / jaar weekend]]+Ruimtestaat[[#This Row],[kosten / jaar werkdagen]]</f>
        <v>0</v>
      </c>
      <c r="AG40" s="114"/>
      <c r="HK40" s="87"/>
    </row>
    <row r="41" spans="1:219" ht="15" customHeight="1">
      <c r="A41" s="129">
        <v>1</v>
      </c>
      <c r="B41" s="21" t="str">
        <f>VLOOKUP(Ruimtestaat[[#This Row],[Code]],Locaties[#All],2,FALSE)</f>
        <v>Novalis College hoofdgebouw</v>
      </c>
      <c r="C41" s="21" t="str">
        <f>VLOOKUP(Ruimtestaat[[#This Row],[Code]],Locaties[#All],4,FALSE)</f>
        <v>Sterrenlaan 16</v>
      </c>
      <c r="D41" s="21" t="str">
        <f>VLOOKUP(Ruimtestaat[[#This Row],[Code]],Locaties[#All],5,FALSE)</f>
        <v>5631 KA</v>
      </c>
      <c r="E41" s="200" t="str">
        <f>VLOOKUP(Ruimtestaat[[#This Row],[Code]],Locaties[#All],6,FALSE)</f>
        <v>Eindhoven</v>
      </c>
      <c r="F41" s="213" t="s">
        <v>613</v>
      </c>
      <c r="G41" s="213" t="s">
        <v>523</v>
      </c>
      <c r="H41" s="200" t="s">
        <v>547</v>
      </c>
      <c r="I41" s="241" t="s">
        <v>508</v>
      </c>
      <c r="J41" s="200">
        <v>2</v>
      </c>
      <c r="K41" s="241" t="str">
        <f>VLOOKUP(Ruimtestaat[[#This Row],[Ruimte code]],Ruimtegroepen[#All],2,FALSE)</f>
        <v>Kantoren</v>
      </c>
      <c r="L41" s="213" t="s">
        <v>110</v>
      </c>
      <c r="M41" s="200" t="s">
        <v>277</v>
      </c>
      <c r="N41" s="212">
        <v>9</v>
      </c>
      <c r="O41" s="212"/>
      <c r="P41" s="240" t="str">
        <f>VLOOKUP(Ruimtestaat[[#This Row],[Ruimte code]],Ruimtegroepen[#All],4,FALSE)</f>
        <v>B  (Bureauruimte)</v>
      </c>
      <c r="Q41" s="213">
        <v>40</v>
      </c>
      <c r="R41" s="213" t="s">
        <v>17</v>
      </c>
      <c r="S41" s="213">
        <f>IF(Q41&gt;0,IF(RIGHT(Ruimtestaat[[#This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41" s="213">
        <f>IF(S41&gt;0,VLOOKUP($J41,Ruimtegroepen[],3,FALSE)*VLOOKUP($L41,Vloersoorten[],3,FALSE)*VLOOKUP($R41,Frequenties[],3,FALSE)*VLOOKUP($A41,Locaties[],3,FALSE),0)</f>
        <v>0</v>
      </c>
      <c r="U41" s="213">
        <f>Ruimtestaat[[#This Row],[Uitvoeringen werkdagen]]*Ruimtestaat[[#This Row],[Oppervlak (netto)]]</f>
        <v>720</v>
      </c>
      <c r="V41" s="253">
        <f>IF(T41&gt;0,Ruimtestaat[[#This Row],[Prest. (m2 /jaar) werkdagen]]/Ruimtestaat[[#This Row],[Norm (m2/uur) werkdagen]],0)</f>
        <v>0</v>
      </c>
      <c r="W41" s="254">
        <f>Ruimtestaat[[#This Row],[uren / jaar werkdagen]]*Tariefsopbouw!$D$38</f>
        <v>0</v>
      </c>
      <c r="X41" s="33"/>
      <c r="Y41" s="33">
        <f>IF(Ruimtestaat[[#This Row],[Frequentie weekend]]&gt;0,VALUE(LEFT(X41,1))*Q41,0)</f>
        <v>0</v>
      </c>
      <c r="Z41" s="33">
        <f>IF($Y41&gt;0,VLOOKUP($J41,Ruimtegroepen[],3,FALSE)*VLOOKUP($L41,Vloersoorten[],3,FALSE)*VLOOKUP($X41,Frequenties[],3,FALSE)*VLOOKUP(#REF!,Locaties[],3,FALSE),0)</f>
        <v>0</v>
      </c>
      <c r="AA41" s="33"/>
      <c r="AB41" s="33"/>
      <c r="AC41" s="33">
        <f>Ruimtestaat[[#This Row],[uren / jaar weekend]]*Tariefsopbouw!$D$40</f>
        <v>0</v>
      </c>
      <c r="AD41" s="88">
        <f>Ruimtestaat[[#This Row],[Prest. (m2 /jaar) weekend]]+Ruimtestaat[[#This Row],[Prest. (m2 /jaar) werkdagen]]</f>
        <v>720</v>
      </c>
      <c r="AE41" s="88">
        <f>Ruimtestaat[[#This Row],[uren / jaar weekend]]+Ruimtestaat[[#This Row],[uren / jaar werkdagen]]</f>
        <v>0</v>
      </c>
      <c r="AF41" s="89">
        <f>Ruimtestaat[[#This Row],[kosten / jaar weekend]]+Ruimtestaat[[#This Row],[kosten / jaar werkdagen]]</f>
        <v>0</v>
      </c>
      <c r="AG41" s="114"/>
      <c r="HK41" s="87"/>
    </row>
    <row r="42" spans="1:219" ht="15" customHeight="1">
      <c r="A42" s="129">
        <v>1</v>
      </c>
      <c r="B42" s="21" t="str">
        <f>VLOOKUP(Ruimtestaat[[#This Row],[Code]],Locaties[#All],2,FALSE)</f>
        <v>Novalis College hoofdgebouw</v>
      </c>
      <c r="C42" s="21" t="str">
        <f>VLOOKUP(Ruimtestaat[[#This Row],[Code]],Locaties[#All],4,FALSE)</f>
        <v>Sterrenlaan 16</v>
      </c>
      <c r="D42" s="21" t="str">
        <f>VLOOKUP(Ruimtestaat[[#This Row],[Code]],Locaties[#All],5,FALSE)</f>
        <v>5631 KA</v>
      </c>
      <c r="E42" s="200" t="str">
        <f>VLOOKUP(Ruimtestaat[[#This Row],[Code]],Locaties[#All],6,FALSE)</f>
        <v>Eindhoven</v>
      </c>
      <c r="F42" s="213" t="s">
        <v>613</v>
      </c>
      <c r="G42" s="213" t="s">
        <v>523</v>
      </c>
      <c r="H42" s="200" t="s">
        <v>473</v>
      </c>
      <c r="I42" s="241" t="s">
        <v>508</v>
      </c>
      <c r="J42" s="200">
        <v>2</v>
      </c>
      <c r="K42" s="241" t="str">
        <f>VLOOKUP(Ruimtestaat[[#This Row],[Ruimte code]],Ruimtegroepen[#All],2,FALSE)</f>
        <v>Kantoren</v>
      </c>
      <c r="L42" s="213" t="s">
        <v>110</v>
      </c>
      <c r="M42" s="200" t="s">
        <v>277</v>
      </c>
      <c r="N42" s="212">
        <v>14</v>
      </c>
      <c r="O42" s="212"/>
      <c r="P42" s="240" t="str">
        <f>VLOOKUP(Ruimtestaat[[#This Row],[Ruimte code]],Ruimtegroepen[#All],4,FALSE)</f>
        <v>B  (Bureauruimte)</v>
      </c>
      <c r="Q42" s="213">
        <v>40</v>
      </c>
      <c r="R42" s="213" t="s">
        <v>17</v>
      </c>
      <c r="S42" s="213">
        <f>IF(Q42&gt;0,IF(RIGHT(Ruimtestaat[[#This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42" s="213">
        <f>IF(S42&gt;0,VLOOKUP($J42,Ruimtegroepen[],3,FALSE)*VLOOKUP($L42,Vloersoorten[],3,FALSE)*VLOOKUP($R42,Frequenties[],3,FALSE)*VLOOKUP($A42,Locaties[],3,FALSE),0)</f>
        <v>0</v>
      </c>
      <c r="U42" s="213">
        <f>Ruimtestaat[[#This Row],[Uitvoeringen werkdagen]]*Ruimtestaat[[#This Row],[Oppervlak (netto)]]</f>
        <v>1120</v>
      </c>
      <c r="V42" s="253">
        <f>IF(T42&gt;0,Ruimtestaat[[#This Row],[Prest. (m2 /jaar) werkdagen]]/Ruimtestaat[[#This Row],[Norm (m2/uur) werkdagen]],0)</f>
        <v>0</v>
      </c>
      <c r="W42" s="254">
        <f>Ruimtestaat[[#This Row],[uren / jaar werkdagen]]*Tariefsopbouw!$D$38</f>
        <v>0</v>
      </c>
      <c r="X42" s="33"/>
      <c r="Y42" s="33">
        <f>IF(Ruimtestaat[[#This Row],[Frequentie weekend]]&gt;0,VALUE(LEFT(X42,1))*Q42,0)</f>
        <v>0</v>
      </c>
      <c r="Z42" s="33">
        <f>IF($Y42&gt;0,VLOOKUP($J42,Ruimtegroepen[],3,FALSE)*VLOOKUP($L42,Vloersoorten[],3,FALSE)*VLOOKUP($X42,Frequenties[],3,FALSE)*VLOOKUP(#REF!,Locaties[],3,FALSE),0)</f>
        <v>0</v>
      </c>
      <c r="AA42" s="33"/>
      <c r="AB42" s="33"/>
      <c r="AC42" s="33">
        <f>Ruimtestaat[[#This Row],[uren / jaar weekend]]*Tariefsopbouw!$D$40</f>
        <v>0</v>
      </c>
      <c r="AD42" s="88">
        <f>Ruimtestaat[[#This Row],[Prest. (m2 /jaar) weekend]]+Ruimtestaat[[#This Row],[Prest. (m2 /jaar) werkdagen]]</f>
        <v>1120</v>
      </c>
      <c r="AE42" s="88">
        <f>Ruimtestaat[[#This Row],[uren / jaar weekend]]+Ruimtestaat[[#This Row],[uren / jaar werkdagen]]</f>
        <v>0</v>
      </c>
      <c r="AF42" s="89">
        <f>Ruimtestaat[[#This Row],[kosten / jaar weekend]]+Ruimtestaat[[#This Row],[kosten / jaar werkdagen]]</f>
        <v>0</v>
      </c>
      <c r="AG42" s="114"/>
      <c r="HK42" s="87"/>
    </row>
    <row r="43" spans="1:219" ht="15" customHeight="1">
      <c r="A43" s="129">
        <v>1</v>
      </c>
      <c r="B43" s="21" t="str">
        <f>VLOOKUP(Ruimtestaat[[#This Row],[Code]],Locaties[#All],2,FALSE)</f>
        <v>Novalis College hoofdgebouw</v>
      </c>
      <c r="C43" s="21" t="str">
        <f>VLOOKUP(Ruimtestaat[[#This Row],[Code]],Locaties[#All],4,FALSE)</f>
        <v>Sterrenlaan 16</v>
      </c>
      <c r="D43" s="21" t="str">
        <f>VLOOKUP(Ruimtestaat[[#This Row],[Code]],Locaties[#All],5,FALSE)</f>
        <v>5631 KA</v>
      </c>
      <c r="E43" s="200" t="str">
        <f>VLOOKUP(Ruimtestaat[[#This Row],[Code]],Locaties[#All],6,FALSE)</f>
        <v>Eindhoven</v>
      </c>
      <c r="F43" s="213" t="s">
        <v>613</v>
      </c>
      <c r="G43" s="213" t="s">
        <v>523</v>
      </c>
      <c r="H43" s="200" t="s">
        <v>474</v>
      </c>
      <c r="I43" s="241" t="s">
        <v>398</v>
      </c>
      <c r="J43" s="200">
        <v>14</v>
      </c>
      <c r="K43" s="241" t="str">
        <f>VLOOKUP(Ruimtestaat[[#This Row],[Ruimte code]],Ruimtegroepen[#All],2,FALSE)</f>
        <v>Personeelsruimte</v>
      </c>
      <c r="L43" s="213" t="s">
        <v>110</v>
      </c>
      <c r="M43" s="200" t="s">
        <v>277</v>
      </c>
      <c r="N43" s="212">
        <v>48</v>
      </c>
      <c r="O43" s="212"/>
      <c r="P43" s="240" t="str">
        <f>VLOOKUP(Ruimtestaat[[#This Row],[Ruimte code]],Ruimtegroepen[#All],4,FALSE)</f>
        <v>L  (Lesruimte)</v>
      </c>
      <c r="Q43" s="213">
        <v>40</v>
      </c>
      <c r="R43" s="213" t="s">
        <v>2</v>
      </c>
      <c r="S43" s="213">
        <f>IF(Q43&gt;0,IF(RIGHT(Ruimtestaat[[#This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43" s="213">
        <f>IF(S43&gt;0,VLOOKUP($J43,Ruimtegroepen[],3,FALSE)*VLOOKUP($L43,Vloersoorten[],3,FALSE)*VLOOKUP($R43,Frequenties[],3,FALSE)*VLOOKUP($A43,Locaties[],3,FALSE),0)</f>
        <v>0</v>
      </c>
      <c r="U43" s="213">
        <f>Ruimtestaat[[#This Row],[Uitvoeringen werkdagen]]*Ruimtestaat[[#This Row],[Oppervlak (netto)]]</f>
        <v>9600</v>
      </c>
      <c r="V43" s="253">
        <f>IF(T43&gt;0,Ruimtestaat[[#This Row],[Prest. (m2 /jaar) werkdagen]]/Ruimtestaat[[#This Row],[Norm (m2/uur) werkdagen]],0)</f>
        <v>0</v>
      </c>
      <c r="W43" s="254">
        <f>Ruimtestaat[[#This Row],[uren / jaar werkdagen]]*Tariefsopbouw!$D$38</f>
        <v>0</v>
      </c>
      <c r="X43" s="33"/>
      <c r="Y43" s="33">
        <f>IF(Ruimtestaat[[#This Row],[Frequentie weekend]]&gt;0,VALUE(LEFT(X43,1))*Q43,0)</f>
        <v>0</v>
      </c>
      <c r="Z43" s="33">
        <f>IF($Y43&gt;0,VLOOKUP($J43,Ruimtegroepen[],3,FALSE)*VLOOKUP($L43,Vloersoorten[],3,FALSE)*VLOOKUP($X43,Frequenties[],3,FALSE)*VLOOKUP(#REF!,Locaties[],3,FALSE),0)</f>
        <v>0</v>
      </c>
      <c r="AA43" s="33"/>
      <c r="AB43" s="33"/>
      <c r="AC43" s="33">
        <f>Ruimtestaat[[#This Row],[uren / jaar weekend]]*Tariefsopbouw!$D$40</f>
        <v>0</v>
      </c>
      <c r="AD43" s="88">
        <f>Ruimtestaat[[#This Row],[Prest. (m2 /jaar) weekend]]+Ruimtestaat[[#This Row],[Prest. (m2 /jaar) werkdagen]]</f>
        <v>9600</v>
      </c>
      <c r="AE43" s="88">
        <f>Ruimtestaat[[#This Row],[uren / jaar weekend]]+Ruimtestaat[[#This Row],[uren / jaar werkdagen]]</f>
        <v>0</v>
      </c>
      <c r="AF43" s="89">
        <f>Ruimtestaat[[#This Row],[kosten / jaar weekend]]+Ruimtestaat[[#This Row],[kosten / jaar werkdagen]]</f>
        <v>0</v>
      </c>
      <c r="AG43" s="114"/>
      <c r="HK43" s="87"/>
    </row>
    <row r="44" spans="1:219" ht="15" customHeight="1">
      <c r="A44" s="129">
        <v>1</v>
      </c>
      <c r="B44" s="21" t="str">
        <f>VLOOKUP(Ruimtestaat[[#This Row],[Code]],Locaties[#All],2,FALSE)</f>
        <v>Novalis College hoofdgebouw</v>
      </c>
      <c r="C44" s="21" t="str">
        <f>VLOOKUP(Ruimtestaat[[#This Row],[Code]],Locaties[#All],4,FALSE)</f>
        <v>Sterrenlaan 16</v>
      </c>
      <c r="D44" s="21" t="str">
        <f>VLOOKUP(Ruimtestaat[[#This Row],[Code]],Locaties[#All],5,FALSE)</f>
        <v>5631 KA</v>
      </c>
      <c r="E44" s="200" t="str">
        <f>VLOOKUP(Ruimtestaat[[#This Row],[Code]],Locaties[#All],6,FALSE)</f>
        <v>Eindhoven</v>
      </c>
      <c r="F44" s="213" t="s">
        <v>613</v>
      </c>
      <c r="G44" s="213" t="s">
        <v>523</v>
      </c>
      <c r="H44" s="200" t="s">
        <v>475</v>
      </c>
      <c r="I44" s="241" t="s">
        <v>548</v>
      </c>
      <c r="J44" s="200">
        <v>2</v>
      </c>
      <c r="K44" s="241" t="str">
        <f>VLOOKUP(Ruimtestaat[[#This Row],[Ruimte code]],Ruimtegroepen[#All],2,FALSE)</f>
        <v>Kantoren</v>
      </c>
      <c r="L44" s="213" t="s">
        <v>110</v>
      </c>
      <c r="M44" s="200" t="s">
        <v>277</v>
      </c>
      <c r="N44" s="212">
        <v>29</v>
      </c>
      <c r="O44" s="212"/>
      <c r="P44" s="240" t="str">
        <f>VLOOKUP(Ruimtestaat[[#This Row],[Ruimte code]],Ruimtegroepen[#All],4,FALSE)</f>
        <v>B  (Bureauruimte)</v>
      </c>
      <c r="Q44" s="213">
        <v>40</v>
      </c>
      <c r="R44" s="213" t="s">
        <v>17</v>
      </c>
      <c r="S44" s="213">
        <f>IF(Q44&gt;0,IF(RIGHT(Ruimtestaat[[#This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44" s="213">
        <f>IF(S44&gt;0,VLOOKUP($J44,Ruimtegroepen[],3,FALSE)*VLOOKUP($L44,Vloersoorten[],3,FALSE)*VLOOKUP($R44,Frequenties[],3,FALSE)*VLOOKUP($A44,Locaties[],3,FALSE),0)</f>
        <v>0</v>
      </c>
      <c r="U44" s="213">
        <f>Ruimtestaat[[#This Row],[Uitvoeringen werkdagen]]*Ruimtestaat[[#This Row],[Oppervlak (netto)]]</f>
        <v>2320</v>
      </c>
      <c r="V44" s="253">
        <f>IF(T44&gt;0,Ruimtestaat[[#This Row],[Prest. (m2 /jaar) werkdagen]]/Ruimtestaat[[#This Row],[Norm (m2/uur) werkdagen]],0)</f>
        <v>0</v>
      </c>
      <c r="W44" s="254">
        <f>Ruimtestaat[[#This Row],[uren / jaar werkdagen]]*Tariefsopbouw!$D$38</f>
        <v>0</v>
      </c>
      <c r="X44" s="33"/>
      <c r="Y44" s="33">
        <f>IF(Ruimtestaat[[#This Row],[Frequentie weekend]]&gt;0,VALUE(LEFT(X44,1))*Q44,0)</f>
        <v>0</v>
      </c>
      <c r="Z44" s="33">
        <f>IF($Y44&gt;0,VLOOKUP($J44,Ruimtegroepen[],3,FALSE)*VLOOKUP($L44,Vloersoorten[],3,FALSE)*VLOOKUP($X44,Frequenties[],3,FALSE)*VLOOKUP(#REF!,Locaties[],3,FALSE),0)</f>
        <v>0</v>
      </c>
      <c r="AA44" s="33"/>
      <c r="AB44" s="33"/>
      <c r="AC44" s="33">
        <f>Ruimtestaat[[#This Row],[uren / jaar weekend]]*Tariefsopbouw!$D$40</f>
        <v>0</v>
      </c>
      <c r="AD44" s="88">
        <f>Ruimtestaat[[#This Row],[Prest. (m2 /jaar) weekend]]+Ruimtestaat[[#This Row],[Prest. (m2 /jaar) werkdagen]]</f>
        <v>2320</v>
      </c>
      <c r="AE44" s="88">
        <f>Ruimtestaat[[#This Row],[uren / jaar weekend]]+Ruimtestaat[[#This Row],[uren / jaar werkdagen]]</f>
        <v>0</v>
      </c>
      <c r="AF44" s="89">
        <f>Ruimtestaat[[#This Row],[kosten / jaar weekend]]+Ruimtestaat[[#This Row],[kosten / jaar werkdagen]]</f>
        <v>0</v>
      </c>
      <c r="AG44" s="114"/>
      <c r="HK44" s="87"/>
    </row>
    <row r="45" spans="1:219" ht="15" customHeight="1">
      <c r="A45" s="129">
        <v>1</v>
      </c>
      <c r="B45" s="21" t="str">
        <f>VLOOKUP(Ruimtestaat[[#This Row],[Code]],Locaties[#All],2,FALSE)</f>
        <v>Novalis College hoofdgebouw</v>
      </c>
      <c r="C45" s="21" t="str">
        <f>VLOOKUP(Ruimtestaat[[#This Row],[Code]],Locaties[#All],4,FALSE)</f>
        <v>Sterrenlaan 16</v>
      </c>
      <c r="D45" s="21" t="str">
        <f>VLOOKUP(Ruimtestaat[[#This Row],[Code]],Locaties[#All],5,FALSE)</f>
        <v>5631 KA</v>
      </c>
      <c r="E45" s="200" t="str">
        <f>VLOOKUP(Ruimtestaat[[#This Row],[Code]],Locaties[#All],6,FALSE)</f>
        <v>Eindhoven</v>
      </c>
      <c r="F45" s="213" t="s">
        <v>613</v>
      </c>
      <c r="G45" s="213" t="s">
        <v>524</v>
      </c>
      <c r="H45" s="200" t="s">
        <v>477</v>
      </c>
      <c r="I45" s="241" t="s">
        <v>386</v>
      </c>
      <c r="J45" s="213">
        <v>6</v>
      </c>
      <c r="K45" s="241" t="str">
        <f>VLOOKUP(Ruimtestaat[[#This Row],[Ruimte code]],Ruimtegroepen[#All],2,FALSE)</f>
        <v>Gangen/hallen</v>
      </c>
      <c r="L45" s="213" t="s">
        <v>110</v>
      </c>
      <c r="M45" s="200" t="s">
        <v>277</v>
      </c>
      <c r="N45" s="212">
        <v>114</v>
      </c>
      <c r="O45" s="212"/>
      <c r="P45" s="240" t="str">
        <f>VLOOKUP(Ruimtestaat[[#This Row],[Ruimte code]],Ruimtegroepen[#All],4,FALSE)</f>
        <v>V  (Verkeersruimte)</v>
      </c>
      <c r="Q45" s="213">
        <v>40</v>
      </c>
      <c r="R45" s="213" t="s">
        <v>2</v>
      </c>
      <c r="S45" s="213">
        <f>IF(Q45&gt;0,IF(RIGHT(Ruimtestaat[[#This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45" s="213">
        <f>IF(S45&gt;0,VLOOKUP($J45,Ruimtegroepen[],3,FALSE)*VLOOKUP($L45,Vloersoorten[],3,FALSE)*VLOOKUP($R45,Frequenties[],3,FALSE)*VLOOKUP($A45,Locaties[],3,FALSE),0)</f>
        <v>0</v>
      </c>
      <c r="U45" s="213">
        <f>Ruimtestaat[[#This Row],[Uitvoeringen werkdagen]]*Ruimtestaat[[#This Row],[Oppervlak (netto)]]</f>
        <v>22800</v>
      </c>
      <c r="V45" s="253">
        <f>IF(T45&gt;0,Ruimtestaat[[#This Row],[Prest. (m2 /jaar) werkdagen]]/Ruimtestaat[[#This Row],[Norm (m2/uur) werkdagen]],0)</f>
        <v>0</v>
      </c>
      <c r="W45" s="254">
        <f>Ruimtestaat[[#This Row],[uren / jaar werkdagen]]*Tariefsopbouw!$D$38</f>
        <v>0</v>
      </c>
      <c r="X45" s="33"/>
      <c r="Y45" s="33">
        <f>IF(Ruimtestaat[[#This Row],[Frequentie weekend]]&gt;0,VALUE(LEFT(X45,1))*Q45,0)</f>
        <v>0</v>
      </c>
      <c r="Z45" s="33">
        <f>IF($Y45&gt;0,VLOOKUP($J45,Ruimtegroepen[],3,FALSE)*VLOOKUP($L45,Vloersoorten[],3,FALSE)*VLOOKUP($X45,Frequenties[],3,FALSE)*VLOOKUP(#REF!,Locaties[],3,FALSE),0)</f>
        <v>0</v>
      </c>
      <c r="AA45" s="33"/>
      <c r="AB45" s="33"/>
      <c r="AC45" s="33">
        <f>Ruimtestaat[[#This Row],[uren / jaar weekend]]*Tariefsopbouw!$D$40</f>
        <v>0</v>
      </c>
      <c r="AD45" s="88">
        <f>Ruimtestaat[[#This Row],[Prest. (m2 /jaar) weekend]]+Ruimtestaat[[#This Row],[Prest. (m2 /jaar) werkdagen]]</f>
        <v>22800</v>
      </c>
      <c r="AE45" s="88">
        <f>Ruimtestaat[[#This Row],[uren / jaar weekend]]+Ruimtestaat[[#This Row],[uren / jaar werkdagen]]</f>
        <v>0</v>
      </c>
      <c r="AF45" s="89">
        <f>Ruimtestaat[[#This Row],[kosten / jaar weekend]]+Ruimtestaat[[#This Row],[kosten / jaar werkdagen]]</f>
        <v>0</v>
      </c>
      <c r="AG45" s="114"/>
      <c r="HK45" s="87"/>
    </row>
    <row r="46" spans="1:219" ht="15" customHeight="1">
      <c r="A46" s="129">
        <v>1</v>
      </c>
      <c r="B46" s="21" t="str">
        <f>VLOOKUP(Ruimtestaat[[#This Row],[Code]],Locaties[#All],2,FALSE)</f>
        <v>Novalis College hoofdgebouw</v>
      </c>
      <c r="C46" s="21" t="str">
        <f>VLOOKUP(Ruimtestaat[[#This Row],[Code]],Locaties[#All],4,FALSE)</f>
        <v>Sterrenlaan 16</v>
      </c>
      <c r="D46" s="21" t="str">
        <f>VLOOKUP(Ruimtestaat[[#This Row],[Code]],Locaties[#All],5,FALSE)</f>
        <v>5631 KA</v>
      </c>
      <c r="E46" s="200" t="str">
        <f>VLOOKUP(Ruimtestaat[[#This Row],[Code]],Locaties[#All],6,FALSE)</f>
        <v>Eindhoven</v>
      </c>
      <c r="F46" s="213" t="s">
        <v>613</v>
      </c>
      <c r="G46" s="213" t="s">
        <v>524</v>
      </c>
      <c r="H46" s="200" t="s">
        <v>478</v>
      </c>
      <c r="I46" s="241" t="s">
        <v>528</v>
      </c>
      <c r="J46" s="213">
        <v>6</v>
      </c>
      <c r="K46" s="241" t="str">
        <f>VLOOKUP(Ruimtestaat[[#This Row],[Ruimte code]],Ruimtegroepen[#All],2,FALSE)</f>
        <v>Gangen/hallen</v>
      </c>
      <c r="L46" s="213" t="s">
        <v>110</v>
      </c>
      <c r="M46" s="200" t="s">
        <v>277</v>
      </c>
      <c r="N46" s="212">
        <v>15</v>
      </c>
      <c r="O46" s="212"/>
      <c r="P46" s="240" t="str">
        <f>VLOOKUP(Ruimtestaat[[#This Row],[Ruimte code]],Ruimtegroepen[#All],4,FALSE)</f>
        <v>V  (Verkeersruimte)</v>
      </c>
      <c r="Q46" s="213">
        <v>40</v>
      </c>
      <c r="R46" s="213" t="s">
        <v>2</v>
      </c>
      <c r="S46" s="213">
        <f>IF(Q46&gt;0,IF(RIGHT(Ruimtestaat[[#This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46" s="213">
        <f>IF(S46&gt;0,VLOOKUP($J46,Ruimtegroepen[],3,FALSE)*VLOOKUP($L46,Vloersoorten[],3,FALSE)*VLOOKUP($R46,Frequenties[],3,FALSE)*VLOOKUP($A46,Locaties[],3,FALSE),0)</f>
        <v>0</v>
      </c>
      <c r="U46" s="213">
        <f>Ruimtestaat[[#This Row],[Uitvoeringen werkdagen]]*Ruimtestaat[[#This Row],[Oppervlak (netto)]]</f>
        <v>3000</v>
      </c>
      <c r="V46" s="253">
        <f>IF(T46&gt;0,Ruimtestaat[[#This Row],[Prest. (m2 /jaar) werkdagen]]/Ruimtestaat[[#This Row],[Norm (m2/uur) werkdagen]],0)</f>
        <v>0</v>
      </c>
      <c r="W46" s="254">
        <f>Ruimtestaat[[#This Row],[uren / jaar werkdagen]]*Tariefsopbouw!$D$38</f>
        <v>0</v>
      </c>
      <c r="X46" s="33"/>
      <c r="Y46" s="33">
        <f>IF(Ruimtestaat[[#This Row],[Frequentie weekend]]&gt;0,VALUE(LEFT(X46,1))*Q46,0)</f>
        <v>0</v>
      </c>
      <c r="Z46" s="33">
        <f>IF($Y46&gt;0,VLOOKUP($J46,Ruimtegroepen[],3,FALSE)*VLOOKUP($L46,Vloersoorten[],3,FALSE)*VLOOKUP($X46,Frequenties[],3,FALSE)*VLOOKUP(#REF!,Locaties[],3,FALSE),0)</f>
        <v>0</v>
      </c>
      <c r="AA46" s="33"/>
      <c r="AB46" s="33"/>
      <c r="AC46" s="33">
        <f>Ruimtestaat[[#This Row],[uren / jaar weekend]]*Tariefsopbouw!$D$40</f>
        <v>0</v>
      </c>
      <c r="AD46" s="88">
        <f>Ruimtestaat[[#This Row],[Prest. (m2 /jaar) weekend]]+Ruimtestaat[[#This Row],[Prest. (m2 /jaar) werkdagen]]</f>
        <v>3000</v>
      </c>
      <c r="AE46" s="88">
        <f>Ruimtestaat[[#This Row],[uren / jaar weekend]]+Ruimtestaat[[#This Row],[uren / jaar werkdagen]]</f>
        <v>0</v>
      </c>
      <c r="AF46" s="89">
        <f>Ruimtestaat[[#This Row],[kosten / jaar weekend]]+Ruimtestaat[[#This Row],[kosten / jaar werkdagen]]</f>
        <v>0</v>
      </c>
      <c r="AG46" s="114"/>
      <c r="HK46" s="87"/>
    </row>
    <row r="47" spans="1:219" ht="15" customHeight="1">
      <c r="A47" s="129">
        <v>1</v>
      </c>
      <c r="B47" s="21" t="str">
        <f>VLOOKUP(Ruimtestaat[[#This Row],[Code]],Locaties[#All],2,FALSE)</f>
        <v>Novalis College hoofdgebouw</v>
      </c>
      <c r="C47" s="21" t="str">
        <f>VLOOKUP(Ruimtestaat[[#This Row],[Code]],Locaties[#All],4,FALSE)</f>
        <v>Sterrenlaan 16</v>
      </c>
      <c r="D47" s="21" t="str">
        <f>VLOOKUP(Ruimtestaat[[#This Row],[Code]],Locaties[#All],5,FALSE)</f>
        <v>5631 KA</v>
      </c>
      <c r="E47" s="200" t="str">
        <f>VLOOKUP(Ruimtestaat[[#This Row],[Code]],Locaties[#All],6,FALSE)</f>
        <v>Eindhoven</v>
      </c>
      <c r="F47" s="213" t="s">
        <v>613</v>
      </c>
      <c r="G47" s="213" t="s">
        <v>524</v>
      </c>
      <c r="H47" s="200" t="s">
        <v>556</v>
      </c>
      <c r="I47" s="241" t="s">
        <v>527</v>
      </c>
      <c r="J47" s="200">
        <v>10</v>
      </c>
      <c r="K47" s="241" t="str">
        <f>VLOOKUP(Ruimtestaat[[#This Row],[Ruimte code]],Ruimtegroepen[#All],2,FALSE)</f>
        <v>Trappenhuizen/lift</v>
      </c>
      <c r="L47" s="240" t="s">
        <v>762</v>
      </c>
      <c r="M47" s="200" t="s">
        <v>550</v>
      </c>
      <c r="N47" s="212">
        <v>12</v>
      </c>
      <c r="O47" s="212"/>
      <c r="P47" s="240" t="str">
        <f>VLOOKUP(Ruimtestaat[[#This Row],[Ruimte code]],Ruimtegroepen[#All],4,FALSE)</f>
        <v>V  (Verkeersruimte)</v>
      </c>
      <c r="Q47" s="213">
        <v>40</v>
      </c>
      <c r="R47" s="213" t="s">
        <v>2</v>
      </c>
      <c r="S47" s="213">
        <f>IF(Q47&gt;0,IF(RIGHT(Ruimtestaat[[#This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47" s="213">
        <f>IF(S47&gt;0,VLOOKUP($J47,Ruimtegroepen[],3,FALSE)*VLOOKUP($L47,Vloersoorten[],3,FALSE)*VLOOKUP($R47,Frequenties[],3,FALSE)*VLOOKUP($A47,Locaties[],3,FALSE),0)</f>
        <v>0</v>
      </c>
      <c r="U47" s="213">
        <f>Ruimtestaat[[#This Row],[Uitvoeringen werkdagen]]*Ruimtestaat[[#This Row],[Oppervlak (netto)]]</f>
        <v>2400</v>
      </c>
      <c r="V47" s="253">
        <f>IF(T47&gt;0,Ruimtestaat[[#This Row],[Prest. (m2 /jaar) werkdagen]]/Ruimtestaat[[#This Row],[Norm (m2/uur) werkdagen]],0)</f>
        <v>0</v>
      </c>
      <c r="W47" s="254">
        <f>Ruimtestaat[[#This Row],[uren / jaar werkdagen]]*Tariefsopbouw!$D$38</f>
        <v>0</v>
      </c>
      <c r="X47" s="33"/>
      <c r="Y47" s="33">
        <f>IF(Ruimtestaat[[#This Row],[Frequentie weekend]]&gt;0,VALUE(LEFT(X47,1))*Q47,0)</f>
        <v>0</v>
      </c>
      <c r="Z47" s="33">
        <f>IF($Y47&gt;0,VLOOKUP($J47,Ruimtegroepen[],3,FALSE)*VLOOKUP($L47,Vloersoorten[],3,FALSE)*VLOOKUP($X47,Frequenties[],3,FALSE)*VLOOKUP(#REF!,Locaties[],3,FALSE),0)</f>
        <v>0</v>
      </c>
      <c r="AA47" s="33"/>
      <c r="AB47" s="33"/>
      <c r="AC47" s="33">
        <f>Ruimtestaat[[#This Row],[uren / jaar weekend]]*Tariefsopbouw!$D$40</f>
        <v>0</v>
      </c>
      <c r="AD47" s="88">
        <f>Ruimtestaat[[#This Row],[Prest. (m2 /jaar) weekend]]+Ruimtestaat[[#This Row],[Prest. (m2 /jaar) werkdagen]]</f>
        <v>2400</v>
      </c>
      <c r="AE47" s="88">
        <f>Ruimtestaat[[#This Row],[uren / jaar weekend]]+Ruimtestaat[[#This Row],[uren / jaar werkdagen]]</f>
        <v>0</v>
      </c>
      <c r="AF47" s="89">
        <f>Ruimtestaat[[#This Row],[kosten / jaar weekend]]+Ruimtestaat[[#This Row],[kosten / jaar werkdagen]]</f>
        <v>0</v>
      </c>
      <c r="AG47" s="114"/>
      <c r="HK47" s="87"/>
    </row>
    <row r="48" spans="1:219" ht="15" customHeight="1">
      <c r="A48" s="129">
        <v>1</v>
      </c>
      <c r="B48" s="21" t="str">
        <f>VLOOKUP(Ruimtestaat[[#This Row],[Code]],Locaties[#All],2,FALSE)</f>
        <v>Novalis College hoofdgebouw</v>
      </c>
      <c r="C48" s="21" t="str">
        <f>VLOOKUP(Ruimtestaat[[#This Row],[Code]],Locaties[#All],4,FALSE)</f>
        <v>Sterrenlaan 16</v>
      </c>
      <c r="D48" s="21" t="str">
        <f>VLOOKUP(Ruimtestaat[[#This Row],[Code]],Locaties[#All],5,FALSE)</f>
        <v>5631 KA</v>
      </c>
      <c r="E48" s="200" t="str">
        <f>VLOOKUP(Ruimtestaat[[#This Row],[Code]],Locaties[#All],6,FALSE)</f>
        <v>Eindhoven</v>
      </c>
      <c r="F48" s="213" t="s">
        <v>613</v>
      </c>
      <c r="G48" s="200" t="s">
        <v>524</v>
      </c>
      <c r="H48" s="200" t="s">
        <v>479</v>
      </c>
      <c r="I48" s="241" t="s">
        <v>529</v>
      </c>
      <c r="J48" s="200">
        <v>5</v>
      </c>
      <c r="K48" s="241" t="str">
        <f>VLOOKUP(Ruimtestaat[[#This Row],[Ruimte code]],Ruimtegroepen[#All],2,FALSE)</f>
        <v>Sanitair</v>
      </c>
      <c r="L48" s="240" t="s">
        <v>111</v>
      </c>
      <c r="M48" s="200" t="s">
        <v>551</v>
      </c>
      <c r="N48" s="212">
        <v>12</v>
      </c>
      <c r="O48" s="212"/>
      <c r="P48" s="240" t="str">
        <f>VLOOKUP(Ruimtestaat[[#This Row],[Ruimte code]],Ruimtegroepen[#All],4,FALSE)</f>
        <v>S  (Sanitair)</v>
      </c>
      <c r="Q48" s="213">
        <v>42</v>
      </c>
      <c r="R48" s="213" t="s">
        <v>2</v>
      </c>
      <c r="S48" s="213">
        <f>IF(Q48&gt;0,IF(RIGHT(Ruimtestaat[[#This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48" s="213">
        <f>IF(S48&gt;0,VLOOKUP($J48,Ruimtegroepen[],3,FALSE)*VLOOKUP($L48,Vloersoorten[],3,FALSE)*VLOOKUP($R48,Frequenties[],3,FALSE)*VLOOKUP($A48,Locaties[],3,FALSE),0)</f>
        <v>0</v>
      </c>
      <c r="U48" s="213">
        <f>Ruimtestaat[[#This Row],[Uitvoeringen werkdagen]]*Ruimtestaat[[#This Row],[Oppervlak (netto)]]</f>
        <v>2520</v>
      </c>
      <c r="V48" s="253">
        <f>IF(T48&gt;0,Ruimtestaat[[#This Row],[Prest. (m2 /jaar) werkdagen]]/Ruimtestaat[[#This Row],[Norm (m2/uur) werkdagen]],0)</f>
        <v>0</v>
      </c>
      <c r="W48" s="254">
        <f>Ruimtestaat[[#This Row],[uren / jaar werkdagen]]*Tariefsopbouw!$D$38</f>
        <v>0</v>
      </c>
      <c r="X48" s="33"/>
      <c r="Y48" s="33">
        <f>IF(Ruimtestaat[[#This Row],[Frequentie weekend]]&gt;0,VALUE(LEFT(X48,1))*Q48,0)</f>
        <v>0</v>
      </c>
      <c r="Z48" s="33">
        <f>IF($Y48&gt;0,VLOOKUP($J48,Ruimtegroepen[],3,FALSE)*VLOOKUP($L48,Vloersoorten[],3,FALSE)*VLOOKUP($X48,Frequenties[],3,FALSE)*VLOOKUP(#REF!,Locaties[],3,FALSE),0)</f>
        <v>0</v>
      </c>
      <c r="AA48" s="33"/>
      <c r="AB48" s="33"/>
      <c r="AC48" s="33">
        <f>Ruimtestaat[[#This Row],[uren / jaar weekend]]*Tariefsopbouw!$D$40</f>
        <v>0</v>
      </c>
      <c r="AD48" s="88">
        <f>Ruimtestaat[[#This Row],[Prest. (m2 /jaar) weekend]]+Ruimtestaat[[#This Row],[Prest. (m2 /jaar) werkdagen]]</f>
        <v>2520</v>
      </c>
      <c r="AE48" s="88">
        <f>Ruimtestaat[[#This Row],[uren / jaar weekend]]+Ruimtestaat[[#This Row],[uren / jaar werkdagen]]</f>
        <v>0</v>
      </c>
      <c r="AF48" s="89">
        <f>Ruimtestaat[[#This Row],[kosten / jaar weekend]]+Ruimtestaat[[#This Row],[kosten / jaar werkdagen]]</f>
        <v>0</v>
      </c>
      <c r="AG48" s="114"/>
      <c r="HK48" s="87"/>
    </row>
    <row r="49" spans="1:219" ht="15" customHeight="1">
      <c r="A49" s="129">
        <v>1</v>
      </c>
      <c r="B49" s="21" t="str">
        <f>VLOOKUP(Ruimtestaat[[#This Row],[Code]],Locaties[#All],2,FALSE)</f>
        <v>Novalis College hoofdgebouw</v>
      </c>
      <c r="C49" s="21" t="str">
        <f>VLOOKUP(Ruimtestaat[[#This Row],[Code]],Locaties[#All],4,FALSE)</f>
        <v>Sterrenlaan 16</v>
      </c>
      <c r="D49" s="21" t="str">
        <f>VLOOKUP(Ruimtestaat[[#This Row],[Code]],Locaties[#All],5,FALSE)</f>
        <v>5631 KA</v>
      </c>
      <c r="E49" s="200" t="str">
        <f>VLOOKUP(Ruimtestaat[[#This Row],[Code]],Locaties[#All],6,FALSE)</f>
        <v>Eindhoven</v>
      </c>
      <c r="F49" s="213" t="s">
        <v>613</v>
      </c>
      <c r="G49" s="200" t="s">
        <v>524</v>
      </c>
      <c r="H49" s="200" t="s">
        <v>480</v>
      </c>
      <c r="I49" s="241" t="s">
        <v>530</v>
      </c>
      <c r="J49" s="200">
        <v>5</v>
      </c>
      <c r="K49" s="241" t="str">
        <f>VLOOKUP(Ruimtestaat[[#This Row],[Ruimte code]],Ruimtegroepen[#All],2,FALSE)</f>
        <v>Sanitair</v>
      </c>
      <c r="L49" s="240" t="s">
        <v>111</v>
      </c>
      <c r="M49" s="200" t="s">
        <v>551</v>
      </c>
      <c r="N49" s="212">
        <v>13</v>
      </c>
      <c r="O49" s="212"/>
      <c r="P49" s="240" t="str">
        <f>VLOOKUP(Ruimtestaat[[#This Row],[Ruimte code]],Ruimtegroepen[#All],4,FALSE)</f>
        <v>S  (Sanitair)</v>
      </c>
      <c r="Q49" s="213">
        <v>42</v>
      </c>
      <c r="R49" s="213" t="s">
        <v>2</v>
      </c>
      <c r="S49" s="213">
        <f>IF(Q49&gt;0,IF(RIGHT(Ruimtestaat[[#This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49" s="213">
        <f>IF(S49&gt;0,VLOOKUP($J49,Ruimtegroepen[],3,FALSE)*VLOOKUP($L49,Vloersoorten[],3,FALSE)*VLOOKUP($R49,Frequenties[],3,FALSE)*VLOOKUP($A49,Locaties[],3,FALSE),0)</f>
        <v>0</v>
      </c>
      <c r="U49" s="213">
        <f>Ruimtestaat[[#This Row],[Uitvoeringen werkdagen]]*Ruimtestaat[[#This Row],[Oppervlak (netto)]]</f>
        <v>2730</v>
      </c>
      <c r="V49" s="253">
        <f>IF(T49&gt;0,Ruimtestaat[[#This Row],[Prest. (m2 /jaar) werkdagen]]/Ruimtestaat[[#This Row],[Norm (m2/uur) werkdagen]],0)</f>
        <v>0</v>
      </c>
      <c r="W49" s="254">
        <f>Ruimtestaat[[#This Row],[uren / jaar werkdagen]]*Tariefsopbouw!$D$38</f>
        <v>0</v>
      </c>
      <c r="X49" s="33"/>
      <c r="Y49" s="33">
        <f>IF(Ruimtestaat[[#This Row],[Frequentie weekend]]&gt;0,VALUE(LEFT(X49,1))*Q49,0)</f>
        <v>0</v>
      </c>
      <c r="Z49" s="33">
        <f>IF($Y49&gt;0,VLOOKUP($J49,Ruimtegroepen[],3,FALSE)*VLOOKUP($L49,Vloersoorten[],3,FALSE)*VLOOKUP($X49,Frequenties[],3,FALSE)*VLOOKUP(#REF!,Locaties[],3,FALSE),0)</f>
        <v>0</v>
      </c>
      <c r="AA49" s="33"/>
      <c r="AB49" s="33"/>
      <c r="AC49" s="33">
        <f>Ruimtestaat[[#This Row],[uren / jaar weekend]]*Tariefsopbouw!$D$40</f>
        <v>0</v>
      </c>
      <c r="AD49" s="88">
        <f>Ruimtestaat[[#This Row],[Prest. (m2 /jaar) weekend]]+Ruimtestaat[[#This Row],[Prest. (m2 /jaar) werkdagen]]</f>
        <v>2730</v>
      </c>
      <c r="AE49" s="88">
        <f>Ruimtestaat[[#This Row],[uren / jaar weekend]]+Ruimtestaat[[#This Row],[uren / jaar werkdagen]]</f>
        <v>0</v>
      </c>
      <c r="AF49" s="89">
        <f>Ruimtestaat[[#This Row],[kosten / jaar weekend]]+Ruimtestaat[[#This Row],[kosten / jaar werkdagen]]</f>
        <v>0</v>
      </c>
      <c r="AG49" s="114"/>
      <c r="HK49" s="87"/>
    </row>
    <row r="50" spans="1:219" s="198" customFormat="1" ht="14.25" customHeight="1">
      <c r="A50" s="129">
        <v>1</v>
      </c>
      <c r="B50" s="21" t="str">
        <f>VLOOKUP(Ruimtestaat[[#This Row],[Code]],Locaties[#All],2,FALSE)</f>
        <v>Novalis College hoofdgebouw</v>
      </c>
      <c r="C50" s="21" t="str">
        <f>VLOOKUP(Ruimtestaat[[#This Row],[Code]],Locaties[#All],4,FALSE)</f>
        <v>Sterrenlaan 16</v>
      </c>
      <c r="D50" s="21" t="str">
        <f>VLOOKUP(Ruimtestaat[[#This Row],[Code]],Locaties[#All],5,FALSE)</f>
        <v>5631 KA</v>
      </c>
      <c r="E50" s="200" t="str">
        <f>VLOOKUP(Ruimtestaat[[#This Row],[Code]],Locaties[#All],6,FALSE)</f>
        <v>Eindhoven</v>
      </c>
      <c r="F50" s="213" t="s">
        <v>613</v>
      </c>
      <c r="G50" s="200" t="s">
        <v>524</v>
      </c>
      <c r="H50" s="200" t="s">
        <v>481</v>
      </c>
      <c r="I50" s="241" t="s">
        <v>464</v>
      </c>
      <c r="J50" s="200">
        <v>21</v>
      </c>
      <c r="K50" s="241" t="str">
        <f>VLOOKUP(Ruimtestaat[[#This Row],[Ruimte code]],Ruimtegroepen[#All],2,FALSE)</f>
        <v>Niet in onderhoud</v>
      </c>
      <c r="L50" s="240" t="s">
        <v>111</v>
      </c>
      <c r="M50" s="200" t="s">
        <v>551</v>
      </c>
      <c r="N50" s="212"/>
      <c r="O50" s="212">
        <v>2</v>
      </c>
      <c r="P50" s="240" t="str">
        <f>VLOOKUP(Ruimtestaat[[#This Row],[Ruimte code]],Ruimtegroepen[#All],4,FALSE)</f>
        <v>Niet in onderhoud</v>
      </c>
      <c r="Q50" s="213"/>
      <c r="R50" s="213"/>
      <c r="S50" s="213">
        <f>IF(Q50&gt;0,IF(RIGHT(Ruimtestaat[[#This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50" s="213">
        <f>IF(S50&gt;0,VLOOKUP($J50,Ruimtegroepen[],3,FALSE)*VLOOKUP($L50,Vloersoorten[],3,FALSE)*VLOOKUP($R50,Frequenties[],3,FALSE)*VLOOKUP($A50,Locaties[],3,FALSE),0)</f>
        <v>0</v>
      </c>
      <c r="U50" s="213">
        <f>Ruimtestaat[[#This Row],[Uitvoeringen werkdagen]]*Ruimtestaat[[#This Row],[Oppervlak (netto)]]</f>
        <v>0</v>
      </c>
      <c r="V50" s="253">
        <f>IF(T50&gt;0,Ruimtestaat[[#This Row],[Prest. (m2 /jaar) werkdagen]]/Ruimtestaat[[#This Row],[Norm (m2/uur) werkdagen]],0)</f>
        <v>0</v>
      </c>
      <c r="W50" s="254">
        <f>Ruimtestaat[[#This Row],[uren / jaar werkdagen]]*Tariefsopbouw!$D$38</f>
        <v>0</v>
      </c>
      <c r="X50" s="33"/>
      <c r="Y50" s="33">
        <f>IF(Ruimtestaat[[#This Row],[Frequentie weekend]]&gt;0,VALUE(LEFT(X50,1))*Q50,0)</f>
        <v>0</v>
      </c>
      <c r="Z50" s="33">
        <f>IF($Y50&gt;0,VLOOKUP($J50,Ruimtegroepen[],3,FALSE)*VLOOKUP($L50,Vloersoorten[],3,FALSE)*VLOOKUP($X50,Frequenties[],3,FALSE)*VLOOKUP(#REF!,Locaties[],3,FALSE),0)</f>
        <v>0</v>
      </c>
      <c r="AA50" s="33"/>
      <c r="AB50" s="33"/>
      <c r="AC50" s="33">
        <f>Ruimtestaat[[#This Row],[uren / jaar weekend]]*Tariefsopbouw!$D$40</f>
        <v>0</v>
      </c>
      <c r="AD50" s="88">
        <f>Ruimtestaat[[#This Row],[Prest. (m2 /jaar) weekend]]+Ruimtestaat[[#This Row],[Prest. (m2 /jaar) werkdagen]]</f>
        <v>0</v>
      </c>
      <c r="AE50" s="88">
        <f>Ruimtestaat[[#This Row],[uren / jaar weekend]]+Ruimtestaat[[#This Row],[uren / jaar werkdagen]]</f>
        <v>0</v>
      </c>
      <c r="AF50" s="89">
        <f>Ruimtestaat[[#This Row],[kosten / jaar weekend]]+Ruimtestaat[[#This Row],[kosten / jaar werkdagen]]</f>
        <v>0</v>
      </c>
      <c r="AG50" s="197"/>
    </row>
    <row r="51" spans="1:219" ht="15" customHeight="1">
      <c r="A51" s="129">
        <v>1</v>
      </c>
      <c r="B51" s="21" t="str">
        <f>VLOOKUP(Ruimtestaat[[#This Row],[Code]],Locaties[#All],2,FALSE)</f>
        <v>Novalis College hoofdgebouw</v>
      </c>
      <c r="C51" s="21" t="str">
        <f>VLOOKUP(Ruimtestaat[[#This Row],[Code]],Locaties[#All],4,FALSE)</f>
        <v>Sterrenlaan 16</v>
      </c>
      <c r="D51" s="21" t="str">
        <f>VLOOKUP(Ruimtestaat[[#This Row],[Code]],Locaties[#All],5,FALSE)</f>
        <v>5631 KA</v>
      </c>
      <c r="E51" s="200" t="str">
        <f>VLOOKUP(Ruimtestaat[[#This Row],[Code]],Locaties[#All],6,FALSE)</f>
        <v>Eindhoven</v>
      </c>
      <c r="F51" s="213" t="s">
        <v>613</v>
      </c>
      <c r="G51" s="200" t="s">
        <v>524</v>
      </c>
      <c r="H51" s="200" t="s">
        <v>483</v>
      </c>
      <c r="I51" s="241" t="s">
        <v>386</v>
      </c>
      <c r="J51" s="213">
        <v>6</v>
      </c>
      <c r="K51" s="241" t="str">
        <f>VLOOKUP(Ruimtestaat[[#This Row],[Ruimte code]],Ruimtegroepen[#All],2,FALSE)</f>
        <v>Gangen/hallen</v>
      </c>
      <c r="L51" s="213" t="s">
        <v>110</v>
      </c>
      <c r="M51" s="200" t="s">
        <v>277</v>
      </c>
      <c r="N51" s="212">
        <v>100</v>
      </c>
      <c r="O51" s="212"/>
      <c r="P51" s="240" t="str">
        <f>VLOOKUP(Ruimtestaat[[#This Row],[Ruimte code]],Ruimtegroepen[#All],4,FALSE)</f>
        <v>V  (Verkeersruimte)</v>
      </c>
      <c r="Q51" s="213">
        <v>40</v>
      </c>
      <c r="R51" s="213" t="s">
        <v>2</v>
      </c>
      <c r="S51" s="213">
        <f>IF(Q51&gt;0,IF(RIGHT(Ruimtestaat[[#This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1" s="213">
        <f>IF(S51&gt;0,VLOOKUP($J51,Ruimtegroepen[],3,FALSE)*VLOOKUP($L51,Vloersoorten[],3,FALSE)*VLOOKUP($R51,Frequenties[],3,FALSE)*VLOOKUP($A51,Locaties[],3,FALSE),0)</f>
        <v>0</v>
      </c>
      <c r="U51" s="213">
        <f>Ruimtestaat[[#This Row],[Uitvoeringen werkdagen]]*Ruimtestaat[[#This Row],[Oppervlak (netto)]]</f>
        <v>20000</v>
      </c>
      <c r="V51" s="253">
        <f>IF(T51&gt;0,Ruimtestaat[[#This Row],[Prest. (m2 /jaar) werkdagen]]/Ruimtestaat[[#This Row],[Norm (m2/uur) werkdagen]],0)</f>
        <v>0</v>
      </c>
      <c r="W51" s="254">
        <f>Ruimtestaat[[#This Row],[uren / jaar werkdagen]]*Tariefsopbouw!$D$38</f>
        <v>0</v>
      </c>
      <c r="X51" s="33"/>
      <c r="Y51" s="33">
        <f>IF(Ruimtestaat[[#This Row],[Frequentie weekend]]&gt;0,VALUE(LEFT(X51,1))*Q51,0)</f>
        <v>0</v>
      </c>
      <c r="Z51" s="33">
        <f>IF($Y51&gt;0,VLOOKUP($J51,Ruimtegroepen[],3,FALSE)*VLOOKUP($L51,Vloersoorten[],3,FALSE)*VLOOKUP($X51,Frequenties[],3,FALSE)*VLOOKUP(#REF!,Locaties[],3,FALSE),0)</f>
        <v>0</v>
      </c>
      <c r="AA51" s="33"/>
      <c r="AB51" s="33"/>
      <c r="AC51" s="33">
        <f>Ruimtestaat[[#This Row],[uren / jaar weekend]]*Tariefsopbouw!$D$40</f>
        <v>0</v>
      </c>
      <c r="AD51" s="88">
        <f>Ruimtestaat[[#This Row],[Prest. (m2 /jaar) weekend]]+Ruimtestaat[[#This Row],[Prest. (m2 /jaar) werkdagen]]</f>
        <v>20000</v>
      </c>
      <c r="AE51" s="88">
        <f>Ruimtestaat[[#This Row],[uren / jaar weekend]]+Ruimtestaat[[#This Row],[uren / jaar werkdagen]]</f>
        <v>0</v>
      </c>
      <c r="AF51" s="89">
        <f>Ruimtestaat[[#This Row],[kosten / jaar weekend]]+Ruimtestaat[[#This Row],[kosten / jaar werkdagen]]</f>
        <v>0</v>
      </c>
      <c r="AG51" s="114"/>
      <c r="HK51" s="87"/>
    </row>
    <row r="52" spans="1:219" ht="15" customHeight="1">
      <c r="A52" s="129">
        <v>1</v>
      </c>
      <c r="B52" s="21" t="str">
        <f>VLOOKUP(Ruimtestaat[[#This Row],[Code]],Locaties[#All],2,FALSE)</f>
        <v>Novalis College hoofdgebouw</v>
      </c>
      <c r="C52" s="21" t="str">
        <f>VLOOKUP(Ruimtestaat[[#This Row],[Code]],Locaties[#All],4,FALSE)</f>
        <v>Sterrenlaan 16</v>
      </c>
      <c r="D52" s="21" t="str">
        <f>VLOOKUP(Ruimtestaat[[#This Row],[Code]],Locaties[#All],5,FALSE)</f>
        <v>5631 KA</v>
      </c>
      <c r="E52" s="200" t="str">
        <f>VLOOKUP(Ruimtestaat[[#This Row],[Code]],Locaties[#All],6,FALSE)</f>
        <v>Eindhoven</v>
      </c>
      <c r="F52" s="213" t="s">
        <v>613</v>
      </c>
      <c r="G52" s="200" t="s">
        <v>524</v>
      </c>
      <c r="H52" s="200" t="s">
        <v>484</v>
      </c>
      <c r="I52" s="241" t="s">
        <v>512</v>
      </c>
      <c r="J52" s="200">
        <v>10</v>
      </c>
      <c r="K52" s="241" t="str">
        <f>VLOOKUP(Ruimtestaat[[#This Row],[Ruimte code]],Ruimtegroepen[#All],2,FALSE)</f>
        <v>Trappenhuizen/lift</v>
      </c>
      <c r="L52" s="213" t="s">
        <v>110</v>
      </c>
      <c r="M52" s="200" t="s">
        <v>277</v>
      </c>
      <c r="N52" s="212">
        <v>21</v>
      </c>
      <c r="O52" s="212"/>
      <c r="P52" s="240" t="str">
        <f>VLOOKUP(Ruimtestaat[[#This Row],[Ruimte code]],Ruimtegroepen[#All],4,FALSE)</f>
        <v>V  (Verkeersruimte)</v>
      </c>
      <c r="Q52" s="213">
        <v>40</v>
      </c>
      <c r="R52" s="213" t="s">
        <v>2</v>
      </c>
      <c r="S52" s="213">
        <f>IF(Q52&gt;0,IF(RIGHT(Ruimtestaat[[#This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2" s="213">
        <f>IF(S52&gt;0,VLOOKUP($J52,Ruimtegroepen[],3,FALSE)*VLOOKUP($L52,Vloersoorten[],3,FALSE)*VLOOKUP($R52,Frequenties[],3,FALSE)*VLOOKUP($A52,Locaties[],3,FALSE),0)</f>
        <v>0</v>
      </c>
      <c r="U52" s="213">
        <f>Ruimtestaat[[#This Row],[Uitvoeringen werkdagen]]*Ruimtestaat[[#This Row],[Oppervlak (netto)]]</f>
        <v>4200</v>
      </c>
      <c r="V52" s="253">
        <f>IF(T52&gt;0,Ruimtestaat[[#This Row],[Prest. (m2 /jaar) werkdagen]]/Ruimtestaat[[#This Row],[Norm (m2/uur) werkdagen]],0)</f>
        <v>0</v>
      </c>
      <c r="W52" s="254">
        <f>Ruimtestaat[[#This Row],[uren / jaar werkdagen]]*Tariefsopbouw!$D$38</f>
        <v>0</v>
      </c>
      <c r="X52" s="33"/>
      <c r="Y52" s="33">
        <f>IF(Ruimtestaat[[#This Row],[Frequentie weekend]]&gt;0,VALUE(LEFT(X52,1))*Q52,0)</f>
        <v>0</v>
      </c>
      <c r="Z52" s="33">
        <f>IF($Y52&gt;0,VLOOKUP($J52,Ruimtegroepen[],3,FALSE)*VLOOKUP($L52,Vloersoorten[],3,FALSE)*VLOOKUP($X52,Frequenties[],3,FALSE)*VLOOKUP(#REF!,Locaties[],3,FALSE),0)</f>
        <v>0</v>
      </c>
      <c r="AA52" s="33"/>
      <c r="AB52" s="33"/>
      <c r="AC52" s="33">
        <f>Ruimtestaat[[#This Row],[uren / jaar weekend]]*Tariefsopbouw!$D$40</f>
        <v>0</v>
      </c>
      <c r="AD52" s="88">
        <f>Ruimtestaat[[#This Row],[Prest. (m2 /jaar) weekend]]+Ruimtestaat[[#This Row],[Prest. (m2 /jaar) werkdagen]]</f>
        <v>4200</v>
      </c>
      <c r="AE52" s="88">
        <f>Ruimtestaat[[#This Row],[uren / jaar weekend]]+Ruimtestaat[[#This Row],[uren / jaar werkdagen]]</f>
        <v>0</v>
      </c>
      <c r="AF52" s="89">
        <f>Ruimtestaat[[#This Row],[kosten / jaar weekend]]+Ruimtestaat[[#This Row],[kosten / jaar werkdagen]]</f>
        <v>0</v>
      </c>
      <c r="AG52" s="114"/>
      <c r="HK52" s="87"/>
    </row>
    <row r="53" spans="1:219" ht="15" customHeight="1">
      <c r="A53" s="129">
        <v>1</v>
      </c>
      <c r="B53" s="21" t="str">
        <f>VLOOKUP(Ruimtestaat[[#This Row],[Code]],Locaties[#All],2,FALSE)</f>
        <v>Novalis College hoofdgebouw</v>
      </c>
      <c r="C53" s="21" t="str">
        <f>VLOOKUP(Ruimtestaat[[#This Row],[Code]],Locaties[#All],4,FALSE)</f>
        <v>Sterrenlaan 16</v>
      </c>
      <c r="D53" s="21" t="str">
        <f>VLOOKUP(Ruimtestaat[[#This Row],[Code]],Locaties[#All],5,FALSE)</f>
        <v>5631 KA</v>
      </c>
      <c r="E53" s="200" t="str">
        <f>VLOOKUP(Ruimtestaat[[#This Row],[Code]],Locaties[#All],6,FALSE)</f>
        <v>Eindhoven</v>
      </c>
      <c r="F53" s="213" t="s">
        <v>613</v>
      </c>
      <c r="G53" s="200" t="s">
        <v>524</v>
      </c>
      <c r="H53" s="200" t="s">
        <v>557</v>
      </c>
      <c r="I53" s="241" t="s">
        <v>501</v>
      </c>
      <c r="J53" s="200">
        <v>10</v>
      </c>
      <c r="K53" s="241" t="str">
        <f>VLOOKUP(Ruimtestaat[[#This Row],[Ruimte code]],Ruimtegroepen[#All],2,FALSE)</f>
        <v>Trappenhuizen/lift</v>
      </c>
      <c r="L53" s="240" t="s">
        <v>762</v>
      </c>
      <c r="M53" s="200" t="s">
        <v>550</v>
      </c>
      <c r="N53" s="212">
        <v>5</v>
      </c>
      <c r="O53" s="212"/>
      <c r="P53" s="240" t="str">
        <f>VLOOKUP(Ruimtestaat[[#This Row],[Ruimte code]],Ruimtegroepen[#All],4,FALSE)</f>
        <v>V  (Verkeersruimte)</v>
      </c>
      <c r="Q53" s="213">
        <v>40</v>
      </c>
      <c r="R53" s="213" t="s">
        <v>2</v>
      </c>
      <c r="S53" s="213">
        <f>IF(Q53&gt;0,IF(RIGHT(Ruimtestaat[[#This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3" s="213">
        <f>IF(S53&gt;0,VLOOKUP($J53,Ruimtegroepen[],3,FALSE)*VLOOKUP($L53,Vloersoorten[],3,FALSE)*VLOOKUP($R53,Frequenties[],3,FALSE)*VLOOKUP($A53,Locaties[],3,FALSE),0)</f>
        <v>0</v>
      </c>
      <c r="U53" s="213">
        <f>Ruimtestaat[[#This Row],[Uitvoeringen werkdagen]]*Ruimtestaat[[#This Row],[Oppervlak (netto)]]</f>
        <v>1000</v>
      </c>
      <c r="V53" s="253">
        <f>IF(T53&gt;0,Ruimtestaat[[#This Row],[Prest. (m2 /jaar) werkdagen]]/Ruimtestaat[[#This Row],[Norm (m2/uur) werkdagen]],0)</f>
        <v>0</v>
      </c>
      <c r="W53" s="254">
        <f>Ruimtestaat[[#This Row],[uren / jaar werkdagen]]*Tariefsopbouw!$D$38</f>
        <v>0</v>
      </c>
      <c r="X53" s="33"/>
      <c r="Y53" s="33">
        <f>IF(Ruimtestaat[[#This Row],[Frequentie weekend]]&gt;0,VALUE(LEFT(X53,1))*Q53,0)</f>
        <v>0</v>
      </c>
      <c r="Z53" s="33">
        <f>IF($Y53&gt;0,VLOOKUP($J53,Ruimtegroepen[],3,FALSE)*VLOOKUP($L53,Vloersoorten[],3,FALSE)*VLOOKUP($X53,Frequenties[],3,FALSE)*VLOOKUP(#REF!,Locaties[],3,FALSE),0)</f>
        <v>0</v>
      </c>
      <c r="AA53" s="33"/>
      <c r="AB53" s="33"/>
      <c r="AC53" s="33">
        <f>Ruimtestaat[[#This Row],[uren / jaar weekend]]*Tariefsopbouw!$D$40</f>
        <v>0</v>
      </c>
      <c r="AD53" s="88">
        <f>Ruimtestaat[[#This Row],[Prest. (m2 /jaar) weekend]]+Ruimtestaat[[#This Row],[Prest. (m2 /jaar) werkdagen]]</f>
        <v>1000</v>
      </c>
      <c r="AE53" s="88">
        <f>Ruimtestaat[[#This Row],[uren / jaar weekend]]+Ruimtestaat[[#This Row],[uren / jaar werkdagen]]</f>
        <v>0</v>
      </c>
      <c r="AF53" s="89">
        <f>Ruimtestaat[[#This Row],[kosten / jaar weekend]]+Ruimtestaat[[#This Row],[kosten / jaar werkdagen]]</f>
        <v>0</v>
      </c>
      <c r="AG53" s="114"/>
      <c r="HK53" s="87"/>
    </row>
    <row r="54" spans="1:219" ht="15" customHeight="1">
      <c r="A54" s="129">
        <v>1</v>
      </c>
      <c r="B54" s="21" t="str">
        <f>VLOOKUP(Ruimtestaat[[#This Row],[Code]],Locaties[#All],2,FALSE)</f>
        <v>Novalis College hoofdgebouw</v>
      </c>
      <c r="C54" s="21" t="str">
        <f>VLOOKUP(Ruimtestaat[[#This Row],[Code]],Locaties[#All],4,FALSE)</f>
        <v>Sterrenlaan 16</v>
      </c>
      <c r="D54" s="21" t="str">
        <f>VLOOKUP(Ruimtestaat[[#This Row],[Code]],Locaties[#All],5,FALSE)</f>
        <v>5631 KA</v>
      </c>
      <c r="E54" s="200" t="str">
        <f>VLOOKUP(Ruimtestaat[[#This Row],[Code]],Locaties[#All],6,FALSE)</f>
        <v>Eindhoven</v>
      </c>
      <c r="F54" s="213" t="s">
        <v>613</v>
      </c>
      <c r="G54" s="200" t="s">
        <v>524</v>
      </c>
      <c r="H54" s="200" t="s">
        <v>513</v>
      </c>
      <c r="I54" s="241" t="s">
        <v>512</v>
      </c>
      <c r="J54" s="200">
        <v>10</v>
      </c>
      <c r="K54" s="241" t="str">
        <f>VLOOKUP(Ruimtestaat[[#This Row],[Ruimte code]],Ruimtegroepen[#All],2,FALSE)</f>
        <v>Trappenhuizen/lift</v>
      </c>
      <c r="L54" s="213" t="s">
        <v>110</v>
      </c>
      <c r="M54" s="200" t="s">
        <v>277</v>
      </c>
      <c r="N54" s="212">
        <v>28</v>
      </c>
      <c r="O54" s="212"/>
      <c r="P54" s="240" t="str">
        <f>VLOOKUP(Ruimtestaat[[#This Row],[Ruimte code]],Ruimtegroepen[#All],4,FALSE)</f>
        <v>V  (Verkeersruimte)</v>
      </c>
      <c r="Q54" s="213">
        <v>40</v>
      </c>
      <c r="R54" s="213" t="s">
        <v>2</v>
      </c>
      <c r="S54" s="213">
        <f>IF(Q54&gt;0,IF(RIGHT(Ruimtestaat[[#This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4" s="213">
        <f>IF(S54&gt;0,VLOOKUP($J54,Ruimtegroepen[],3,FALSE)*VLOOKUP($L54,Vloersoorten[],3,FALSE)*VLOOKUP($R54,Frequenties[],3,FALSE)*VLOOKUP($A54,Locaties[],3,FALSE),0)</f>
        <v>0</v>
      </c>
      <c r="U54" s="213">
        <f>Ruimtestaat[[#This Row],[Uitvoeringen werkdagen]]*Ruimtestaat[[#This Row],[Oppervlak (netto)]]</f>
        <v>5600</v>
      </c>
      <c r="V54" s="253">
        <f>IF(T54&gt;0,Ruimtestaat[[#This Row],[Prest. (m2 /jaar) werkdagen]]/Ruimtestaat[[#This Row],[Norm (m2/uur) werkdagen]],0)</f>
        <v>0</v>
      </c>
      <c r="W54" s="254">
        <f>Ruimtestaat[[#This Row],[uren / jaar werkdagen]]*Tariefsopbouw!$D$38</f>
        <v>0</v>
      </c>
      <c r="X54" s="33"/>
      <c r="Y54" s="33">
        <f>IF(Ruimtestaat[[#This Row],[Frequentie weekend]]&gt;0,VALUE(LEFT(X54,1))*Q54,0)</f>
        <v>0</v>
      </c>
      <c r="Z54" s="33">
        <f>IF($Y54&gt;0,VLOOKUP($J54,Ruimtegroepen[],3,FALSE)*VLOOKUP($L54,Vloersoorten[],3,FALSE)*VLOOKUP($X54,Frequenties[],3,FALSE)*VLOOKUP(#REF!,Locaties[],3,FALSE),0)</f>
        <v>0</v>
      </c>
      <c r="AA54" s="33"/>
      <c r="AB54" s="33"/>
      <c r="AC54" s="33">
        <f>Ruimtestaat[[#This Row],[uren / jaar weekend]]*Tariefsopbouw!$D$40</f>
        <v>0</v>
      </c>
      <c r="AD54" s="88">
        <f>Ruimtestaat[[#This Row],[Prest. (m2 /jaar) weekend]]+Ruimtestaat[[#This Row],[Prest. (m2 /jaar) werkdagen]]</f>
        <v>5600</v>
      </c>
      <c r="AE54" s="88">
        <f>Ruimtestaat[[#This Row],[uren / jaar weekend]]+Ruimtestaat[[#This Row],[uren / jaar werkdagen]]</f>
        <v>0</v>
      </c>
      <c r="AF54" s="89">
        <f>Ruimtestaat[[#This Row],[kosten / jaar weekend]]+Ruimtestaat[[#This Row],[kosten / jaar werkdagen]]</f>
        <v>0</v>
      </c>
      <c r="AG54" s="114"/>
      <c r="HK54" s="87"/>
    </row>
    <row r="55" spans="1:219" ht="15" customHeight="1">
      <c r="A55" s="129">
        <v>1</v>
      </c>
      <c r="B55" s="21" t="str">
        <f>VLOOKUP(Ruimtestaat[[#This Row],[Code]],Locaties[#All],2,FALSE)</f>
        <v>Novalis College hoofdgebouw</v>
      </c>
      <c r="C55" s="21" t="str">
        <f>VLOOKUP(Ruimtestaat[[#This Row],[Code]],Locaties[#All],4,FALSE)</f>
        <v>Sterrenlaan 16</v>
      </c>
      <c r="D55" s="21" t="str">
        <f>VLOOKUP(Ruimtestaat[[#This Row],[Code]],Locaties[#All],5,FALSE)</f>
        <v>5631 KA</v>
      </c>
      <c r="E55" s="200" t="str">
        <f>VLOOKUP(Ruimtestaat[[#This Row],[Code]],Locaties[#All],6,FALSE)</f>
        <v>Eindhoven</v>
      </c>
      <c r="F55" s="213" t="s">
        <v>613</v>
      </c>
      <c r="G55" s="200" t="s">
        <v>524</v>
      </c>
      <c r="H55" s="200" t="s">
        <v>485</v>
      </c>
      <c r="I55" s="241" t="s">
        <v>558</v>
      </c>
      <c r="J55" s="200">
        <v>2</v>
      </c>
      <c r="K55" s="241" t="str">
        <f>VLOOKUP(Ruimtestaat[[#This Row],[Ruimte code]],Ruimtegroepen[#All],2,FALSE)</f>
        <v>Kantoren</v>
      </c>
      <c r="L55" s="213" t="s">
        <v>110</v>
      </c>
      <c r="M55" s="200" t="s">
        <v>277</v>
      </c>
      <c r="N55" s="212">
        <v>13</v>
      </c>
      <c r="O55" s="212"/>
      <c r="P55" s="240" t="str">
        <f>VLOOKUP(Ruimtestaat[[#This Row],[Ruimte code]],Ruimtegroepen[#All],4,FALSE)</f>
        <v>B  (Bureauruimte)</v>
      </c>
      <c r="Q55" s="213">
        <v>40</v>
      </c>
      <c r="R55" s="213" t="s">
        <v>17</v>
      </c>
      <c r="S55" s="213">
        <f>IF(Q55&gt;0,IF(RIGHT(Ruimtestaat[[#This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55" s="213">
        <f>IF(S55&gt;0,VLOOKUP($J55,Ruimtegroepen[],3,FALSE)*VLOOKUP($L55,Vloersoorten[],3,FALSE)*VLOOKUP($R55,Frequenties[],3,FALSE)*VLOOKUP($A55,Locaties[],3,FALSE),0)</f>
        <v>0</v>
      </c>
      <c r="U55" s="213">
        <f>Ruimtestaat[[#This Row],[Uitvoeringen werkdagen]]*Ruimtestaat[[#This Row],[Oppervlak (netto)]]</f>
        <v>1040</v>
      </c>
      <c r="V55" s="253">
        <f>IF(T55&gt;0,Ruimtestaat[[#This Row],[Prest. (m2 /jaar) werkdagen]]/Ruimtestaat[[#This Row],[Norm (m2/uur) werkdagen]],0)</f>
        <v>0</v>
      </c>
      <c r="W55" s="254">
        <f>Ruimtestaat[[#This Row],[uren / jaar werkdagen]]*Tariefsopbouw!$D$38</f>
        <v>0</v>
      </c>
      <c r="X55" s="33"/>
      <c r="Y55" s="33">
        <f>IF(Ruimtestaat[[#This Row],[Frequentie weekend]]&gt;0,VALUE(LEFT(X55,1))*Q55,0)</f>
        <v>0</v>
      </c>
      <c r="Z55" s="33">
        <f>IF($Y55&gt;0,VLOOKUP($J55,Ruimtegroepen[],3,FALSE)*VLOOKUP($L55,Vloersoorten[],3,FALSE)*VLOOKUP($X55,Frequenties[],3,FALSE)*VLOOKUP(#REF!,Locaties[],3,FALSE),0)</f>
        <v>0</v>
      </c>
      <c r="AA55" s="33"/>
      <c r="AB55" s="33"/>
      <c r="AC55" s="33">
        <f>Ruimtestaat[[#This Row],[uren / jaar weekend]]*Tariefsopbouw!$D$40</f>
        <v>0</v>
      </c>
      <c r="AD55" s="88">
        <f>Ruimtestaat[[#This Row],[Prest. (m2 /jaar) weekend]]+Ruimtestaat[[#This Row],[Prest. (m2 /jaar) werkdagen]]</f>
        <v>1040</v>
      </c>
      <c r="AE55" s="88">
        <f>Ruimtestaat[[#This Row],[uren / jaar weekend]]+Ruimtestaat[[#This Row],[uren / jaar werkdagen]]</f>
        <v>0</v>
      </c>
      <c r="AF55" s="89">
        <f>Ruimtestaat[[#This Row],[kosten / jaar weekend]]+Ruimtestaat[[#This Row],[kosten / jaar werkdagen]]</f>
        <v>0</v>
      </c>
      <c r="AG55" s="114"/>
      <c r="HK55" s="87"/>
    </row>
    <row r="56" spans="1:219" ht="15" customHeight="1">
      <c r="A56" s="129">
        <v>1</v>
      </c>
      <c r="B56" s="21" t="str">
        <f>VLOOKUP(Ruimtestaat[[#This Row],[Code]],Locaties[#All],2,FALSE)</f>
        <v>Novalis College hoofdgebouw</v>
      </c>
      <c r="C56" s="21" t="str">
        <f>VLOOKUP(Ruimtestaat[[#This Row],[Code]],Locaties[#All],4,FALSE)</f>
        <v>Sterrenlaan 16</v>
      </c>
      <c r="D56" s="21" t="str">
        <f>VLOOKUP(Ruimtestaat[[#This Row],[Code]],Locaties[#All],5,FALSE)</f>
        <v>5631 KA</v>
      </c>
      <c r="E56" s="200" t="str">
        <f>VLOOKUP(Ruimtestaat[[#This Row],[Code]],Locaties[#All],6,FALSE)</f>
        <v>Eindhoven</v>
      </c>
      <c r="F56" s="213" t="s">
        <v>613</v>
      </c>
      <c r="G56" s="200" t="s">
        <v>524</v>
      </c>
      <c r="H56" s="200" t="s">
        <v>486</v>
      </c>
      <c r="I56" s="241" t="s">
        <v>386</v>
      </c>
      <c r="J56" s="213">
        <v>6</v>
      </c>
      <c r="K56" s="241" t="str">
        <f>VLOOKUP(Ruimtestaat[[#This Row],[Ruimte code]],Ruimtegroepen[#All],2,FALSE)</f>
        <v>Gangen/hallen</v>
      </c>
      <c r="L56" s="213" t="s">
        <v>110</v>
      </c>
      <c r="M56" s="200" t="s">
        <v>277</v>
      </c>
      <c r="N56" s="212">
        <v>37</v>
      </c>
      <c r="O56" s="212"/>
      <c r="P56" s="240" t="str">
        <f>VLOOKUP(Ruimtestaat[[#This Row],[Ruimte code]],Ruimtegroepen[#All],4,FALSE)</f>
        <v>V  (Verkeersruimte)</v>
      </c>
      <c r="Q56" s="213">
        <v>40</v>
      </c>
      <c r="R56" s="213" t="s">
        <v>2</v>
      </c>
      <c r="S56" s="213">
        <f>IF(Q56&gt;0,IF(RIGHT(Ruimtestaat[[#This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6" s="213">
        <f>IF(S56&gt;0,VLOOKUP($J56,Ruimtegroepen[],3,FALSE)*VLOOKUP($L56,Vloersoorten[],3,FALSE)*VLOOKUP($R56,Frequenties[],3,FALSE)*VLOOKUP($A56,Locaties[],3,FALSE),0)</f>
        <v>0</v>
      </c>
      <c r="U56" s="213">
        <f>Ruimtestaat[[#This Row],[Uitvoeringen werkdagen]]*Ruimtestaat[[#This Row],[Oppervlak (netto)]]</f>
        <v>7400</v>
      </c>
      <c r="V56" s="253">
        <f>IF(T56&gt;0,Ruimtestaat[[#This Row],[Prest. (m2 /jaar) werkdagen]]/Ruimtestaat[[#This Row],[Norm (m2/uur) werkdagen]],0)</f>
        <v>0</v>
      </c>
      <c r="W56" s="254">
        <f>Ruimtestaat[[#This Row],[uren / jaar werkdagen]]*Tariefsopbouw!$D$38</f>
        <v>0</v>
      </c>
      <c r="X56" s="33"/>
      <c r="Y56" s="33">
        <f>IF(Ruimtestaat[[#This Row],[Frequentie weekend]]&gt;0,VALUE(LEFT(X56,1))*Q56,0)</f>
        <v>0</v>
      </c>
      <c r="Z56" s="33">
        <f>IF($Y56&gt;0,VLOOKUP($J56,Ruimtegroepen[],3,FALSE)*VLOOKUP($L56,Vloersoorten[],3,FALSE)*VLOOKUP($X56,Frequenties[],3,FALSE)*VLOOKUP(#REF!,Locaties[],3,FALSE),0)</f>
        <v>0</v>
      </c>
      <c r="AA56" s="33"/>
      <c r="AB56" s="33"/>
      <c r="AC56" s="33">
        <f>Ruimtestaat[[#This Row],[uren / jaar weekend]]*Tariefsopbouw!$D$40</f>
        <v>0</v>
      </c>
      <c r="AD56" s="88">
        <f>Ruimtestaat[[#This Row],[Prest. (m2 /jaar) weekend]]+Ruimtestaat[[#This Row],[Prest. (m2 /jaar) werkdagen]]</f>
        <v>7400</v>
      </c>
      <c r="AE56" s="88">
        <f>Ruimtestaat[[#This Row],[uren / jaar weekend]]+Ruimtestaat[[#This Row],[uren / jaar werkdagen]]</f>
        <v>0</v>
      </c>
      <c r="AF56" s="89">
        <f>Ruimtestaat[[#This Row],[kosten / jaar weekend]]+Ruimtestaat[[#This Row],[kosten / jaar werkdagen]]</f>
        <v>0</v>
      </c>
      <c r="AG56" s="114"/>
      <c r="HK56" s="87"/>
    </row>
    <row r="57" spans="1:219" ht="15" customHeight="1">
      <c r="A57" s="129">
        <v>1</v>
      </c>
      <c r="B57" s="21" t="str">
        <f>VLOOKUP(Ruimtestaat[[#This Row],[Code]],Locaties[#All],2,FALSE)</f>
        <v>Novalis College hoofdgebouw</v>
      </c>
      <c r="C57" s="21" t="str">
        <f>VLOOKUP(Ruimtestaat[[#This Row],[Code]],Locaties[#All],4,FALSE)</f>
        <v>Sterrenlaan 16</v>
      </c>
      <c r="D57" s="21" t="str">
        <f>VLOOKUP(Ruimtestaat[[#This Row],[Code]],Locaties[#All],5,FALSE)</f>
        <v>5631 KA</v>
      </c>
      <c r="E57" s="200" t="str">
        <f>VLOOKUP(Ruimtestaat[[#This Row],[Code]],Locaties[#All],6,FALSE)</f>
        <v>Eindhoven</v>
      </c>
      <c r="F57" s="213" t="s">
        <v>613</v>
      </c>
      <c r="G57" s="200" t="s">
        <v>524</v>
      </c>
      <c r="H57" s="200" t="s">
        <v>488</v>
      </c>
      <c r="I57" s="241" t="s">
        <v>506</v>
      </c>
      <c r="J57" s="200">
        <v>13</v>
      </c>
      <c r="K57" s="241" t="str">
        <f>VLOOKUP(Ruimtestaat[[#This Row],[Ruimte code]],Ruimtegroepen[#All],2,FALSE)</f>
        <v>Praktijklokalen</v>
      </c>
      <c r="L57" s="213" t="s">
        <v>110</v>
      </c>
      <c r="M57" s="200" t="s">
        <v>277</v>
      </c>
      <c r="N57" s="212">
        <v>13</v>
      </c>
      <c r="O57" s="212"/>
      <c r="P57" s="240" t="str">
        <f>VLOOKUP(Ruimtestaat[[#This Row],[Ruimte code]],Ruimtegroepen[#All],4,FALSE)</f>
        <v>L  (Lesruimte)</v>
      </c>
      <c r="Q57" s="213">
        <v>40</v>
      </c>
      <c r="R57" s="213" t="s">
        <v>2</v>
      </c>
      <c r="S57" s="213">
        <f>IF(Q57&gt;0,IF(RIGHT(Ruimtestaat[[#This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57" s="213">
        <f>IF(S57&gt;0,VLOOKUP($J57,Ruimtegroepen[],3,FALSE)*VLOOKUP($L57,Vloersoorten[],3,FALSE)*VLOOKUP($R57,Frequenties[],3,FALSE)*VLOOKUP($A57,Locaties[],3,FALSE),0)</f>
        <v>0</v>
      </c>
      <c r="U57" s="213">
        <f>Ruimtestaat[[#This Row],[Uitvoeringen werkdagen]]*Ruimtestaat[[#This Row],[Oppervlak (netto)]]</f>
        <v>2600</v>
      </c>
      <c r="V57" s="253">
        <f>IF(T57&gt;0,Ruimtestaat[[#This Row],[Prest. (m2 /jaar) werkdagen]]/Ruimtestaat[[#This Row],[Norm (m2/uur) werkdagen]],0)</f>
        <v>0</v>
      </c>
      <c r="W57" s="254">
        <f>Ruimtestaat[[#This Row],[uren / jaar werkdagen]]*Tariefsopbouw!$D$38</f>
        <v>0</v>
      </c>
      <c r="X57" s="33"/>
      <c r="Y57" s="33">
        <f>IF(Ruimtestaat[[#This Row],[Frequentie weekend]]&gt;0,VALUE(LEFT(X57,1))*Q57,0)</f>
        <v>0</v>
      </c>
      <c r="Z57" s="33">
        <f>IF($Y57&gt;0,VLOOKUP($J57,Ruimtegroepen[],3,FALSE)*VLOOKUP($L57,Vloersoorten[],3,FALSE)*VLOOKUP($X57,Frequenties[],3,FALSE)*VLOOKUP(#REF!,Locaties[],3,FALSE),0)</f>
        <v>0</v>
      </c>
      <c r="AA57" s="33"/>
      <c r="AB57" s="33"/>
      <c r="AC57" s="33">
        <f>Ruimtestaat[[#This Row],[uren / jaar weekend]]*Tariefsopbouw!$D$40</f>
        <v>0</v>
      </c>
      <c r="AD57" s="88">
        <f>Ruimtestaat[[#This Row],[Prest. (m2 /jaar) weekend]]+Ruimtestaat[[#This Row],[Prest. (m2 /jaar) werkdagen]]</f>
        <v>2600</v>
      </c>
      <c r="AE57" s="88">
        <f>Ruimtestaat[[#This Row],[uren / jaar weekend]]+Ruimtestaat[[#This Row],[uren / jaar werkdagen]]</f>
        <v>0</v>
      </c>
      <c r="AF57" s="89">
        <f>Ruimtestaat[[#This Row],[kosten / jaar weekend]]+Ruimtestaat[[#This Row],[kosten / jaar werkdagen]]</f>
        <v>0</v>
      </c>
      <c r="AG57" s="114"/>
      <c r="HK57" s="87"/>
    </row>
    <row r="58" spans="1:219" ht="15" customHeight="1">
      <c r="A58" s="129">
        <v>1</v>
      </c>
      <c r="B58" s="21" t="str">
        <f>VLOOKUP(Ruimtestaat[[#This Row],[Code]],Locaties[#All],2,FALSE)</f>
        <v>Novalis College hoofdgebouw</v>
      </c>
      <c r="C58" s="21" t="str">
        <f>VLOOKUP(Ruimtestaat[[#This Row],[Code]],Locaties[#All],4,FALSE)</f>
        <v>Sterrenlaan 16</v>
      </c>
      <c r="D58" s="21" t="str">
        <f>VLOOKUP(Ruimtestaat[[#This Row],[Code]],Locaties[#All],5,FALSE)</f>
        <v>5631 KA</v>
      </c>
      <c r="E58" s="200" t="str">
        <f>VLOOKUP(Ruimtestaat[[#This Row],[Code]],Locaties[#All],6,FALSE)</f>
        <v>Eindhoven</v>
      </c>
      <c r="F58" s="213" t="s">
        <v>613</v>
      </c>
      <c r="G58" s="200" t="s">
        <v>524</v>
      </c>
      <c r="H58" s="200" t="s">
        <v>489</v>
      </c>
      <c r="I58" s="241" t="s">
        <v>535</v>
      </c>
      <c r="J58" s="200">
        <v>21</v>
      </c>
      <c r="K58" s="241" t="str">
        <f>VLOOKUP(Ruimtestaat[[#This Row],[Ruimte code]],Ruimtegroepen[#All],2,FALSE)</f>
        <v>Niet in onderhoud</v>
      </c>
      <c r="L58" s="213" t="s">
        <v>110</v>
      </c>
      <c r="M58" s="200" t="s">
        <v>277</v>
      </c>
      <c r="N58" s="212"/>
      <c r="O58" s="212">
        <v>5</v>
      </c>
      <c r="P58" s="240" t="str">
        <f>VLOOKUP(Ruimtestaat[[#This Row],[Ruimte code]],Ruimtegroepen[#All],4,FALSE)</f>
        <v>Niet in onderhoud</v>
      </c>
      <c r="Q58" s="213"/>
      <c r="R58" s="213"/>
      <c r="S58" s="213">
        <f>IF(Q58&gt;0,IF(RIGHT(Ruimtestaat[[#This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58" s="213">
        <f>IF(S58&gt;0,VLOOKUP($J58,Ruimtegroepen[],3,FALSE)*VLOOKUP($L58,Vloersoorten[],3,FALSE)*VLOOKUP($R58,Frequenties[],3,FALSE)*VLOOKUP($A58,Locaties[],3,FALSE),0)</f>
        <v>0</v>
      </c>
      <c r="U58" s="213">
        <f>Ruimtestaat[[#This Row],[Uitvoeringen werkdagen]]*Ruimtestaat[[#This Row],[Oppervlak (netto)]]</f>
        <v>0</v>
      </c>
      <c r="V58" s="253">
        <f>IF(T58&gt;0,Ruimtestaat[[#This Row],[Prest. (m2 /jaar) werkdagen]]/Ruimtestaat[[#This Row],[Norm (m2/uur) werkdagen]],0)</f>
        <v>0</v>
      </c>
      <c r="W58" s="254">
        <f>Ruimtestaat[[#This Row],[uren / jaar werkdagen]]*Tariefsopbouw!$D$38</f>
        <v>0</v>
      </c>
      <c r="X58" s="33"/>
      <c r="Y58" s="33">
        <f>IF(Ruimtestaat[[#This Row],[Frequentie weekend]]&gt;0,VALUE(LEFT(X58,1))*Q58,0)</f>
        <v>0</v>
      </c>
      <c r="Z58" s="33">
        <f>IF($Y58&gt;0,VLOOKUP($J58,Ruimtegroepen[],3,FALSE)*VLOOKUP($L58,Vloersoorten[],3,FALSE)*VLOOKUP($X58,Frequenties[],3,FALSE)*VLOOKUP(#REF!,Locaties[],3,FALSE),0)</f>
        <v>0</v>
      </c>
      <c r="AA58" s="33"/>
      <c r="AB58" s="33"/>
      <c r="AC58" s="33">
        <f>Ruimtestaat[[#This Row],[uren / jaar weekend]]*Tariefsopbouw!$D$40</f>
        <v>0</v>
      </c>
      <c r="AD58" s="88">
        <f>Ruimtestaat[[#This Row],[Prest. (m2 /jaar) weekend]]+Ruimtestaat[[#This Row],[Prest. (m2 /jaar) werkdagen]]</f>
        <v>0</v>
      </c>
      <c r="AE58" s="88">
        <f>Ruimtestaat[[#This Row],[uren / jaar weekend]]+Ruimtestaat[[#This Row],[uren / jaar werkdagen]]</f>
        <v>0</v>
      </c>
      <c r="AF58" s="89">
        <f>Ruimtestaat[[#This Row],[kosten / jaar weekend]]+Ruimtestaat[[#This Row],[kosten / jaar werkdagen]]</f>
        <v>0</v>
      </c>
      <c r="AG58" s="114"/>
      <c r="HK58" s="87"/>
    </row>
    <row r="59" spans="1:219" ht="15" customHeight="1">
      <c r="A59" s="129">
        <v>1</v>
      </c>
      <c r="B59" s="21" t="str">
        <f>VLOOKUP(Ruimtestaat[[#This Row],[Code]],Locaties[#All],2,FALSE)</f>
        <v>Novalis College hoofdgebouw</v>
      </c>
      <c r="C59" s="21" t="str">
        <f>VLOOKUP(Ruimtestaat[[#This Row],[Code]],Locaties[#All],4,FALSE)</f>
        <v>Sterrenlaan 16</v>
      </c>
      <c r="D59" s="21" t="str">
        <f>VLOOKUP(Ruimtestaat[[#This Row],[Code]],Locaties[#All],5,FALSE)</f>
        <v>5631 KA</v>
      </c>
      <c r="E59" s="200" t="str">
        <f>VLOOKUP(Ruimtestaat[[#This Row],[Code]],Locaties[#All],6,FALSE)</f>
        <v>Eindhoven</v>
      </c>
      <c r="F59" s="213" t="s">
        <v>613</v>
      </c>
      <c r="G59" s="200" t="s">
        <v>524</v>
      </c>
      <c r="H59" s="200" t="s">
        <v>490</v>
      </c>
      <c r="I59" s="241" t="s">
        <v>518</v>
      </c>
      <c r="J59" s="213">
        <v>21</v>
      </c>
      <c r="K59" s="241" t="str">
        <f>VLOOKUP(Ruimtestaat[[#This Row],[Ruimte code]],Ruimtegroepen[#All],2,FALSE)</f>
        <v>Niet in onderhoud</v>
      </c>
      <c r="L59" s="240" t="s">
        <v>111</v>
      </c>
      <c r="M59" s="200" t="s">
        <v>130</v>
      </c>
      <c r="N59" s="212"/>
      <c r="O59" s="212"/>
      <c r="P59" s="240" t="str">
        <f>VLOOKUP(Ruimtestaat[[#This Row],[Ruimte code]],Ruimtegroepen[#All],4,FALSE)</f>
        <v>Niet in onderhoud</v>
      </c>
      <c r="Q59" s="213"/>
      <c r="R59" s="213"/>
      <c r="S59" s="213">
        <f>IF(Q59&gt;0,IF(RIGHT(Ruimtestaat[[#This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59" s="213">
        <f>IF(S59&gt;0,VLOOKUP($J59,Ruimtegroepen[],3,FALSE)*VLOOKUP($L59,Vloersoorten[],3,FALSE)*VLOOKUP($R59,Frequenties[],3,FALSE)*VLOOKUP($A59,Locaties[],3,FALSE),0)</f>
        <v>0</v>
      </c>
      <c r="U59" s="213">
        <f>Ruimtestaat[[#This Row],[Uitvoeringen werkdagen]]*Ruimtestaat[[#This Row],[Oppervlak (netto)]]</f>
        <v>0</v>
      </c>
      <c r="V59" s="253">
        <f>IF(T59&gt;0,Ruimtestaat[[#This Row],[Prest. (m2 /jaar) werkdagen]]/Ruimtestaat[[#This Row],[Norm (m2/uur) werkdagen]],0)</f>
        <v>0</v>
      </c>
      <c r="W59" s="254">
        <f>Ruimtestaat[[#This Row],[uren / jaar werkdagen]]*Tariefsopbouw!$D$38</f>
        <v>0</v>
      </c>
      <c r="X59" s="33"/>
      <c r="Y59" s="33">
        <f>IF(Ruimtestaat[[#This Row],[Frequentie weekend]]&gt;0,VALUE(LEFT(X59,1))*Q59,0)</f>
        <v>0</v>
      </c>
      <c r="Z59" s="33">
        <f>IF($Y59&gt;0,VLOOKUP($J59,Ruimtegroepen[],3,FALSE)*VLOOKUP($L59,Vloersoorten[],3,FALSE)*VLOOKUP($X59,Frequenties[],3,FALSE)*VLOOKUP(#REF!,Locaties[],3,FALSE),0)</f>
        <v>0</v>
      </c>
      <c r="AA59" s="33"/>
      <c r="AB59" s="33"/>
      <c r="AC59" s="33">
        <f>Ruimtestaat[[#This Row],[uren / jaar weekend]]*Tariefsopbouw!$D$40</f>
        <v>0</v>
      </c>
      <c r="AD59" s="88">
        <f>Ruimtestaat[[#This Row],[Prest. (m2 /jaar) weekend]]+Ruimtestaat[[#This Row],[Prest. (m2 /jaar) werkdagen]]</f>
        <v>0</v>
      </c>
      <c r="AE59" s="88">
        <f>Ruimtestaat[[#This Row],[uren / jaar weekend]]+Ruimtestaat[[#This Row],[uren / jaar werkdagen]]</f>
        <v>0</v>
      </c>
      <c r="AF59" s="89">
        <f>Ruimtestaat[[#This Row],[kosten / jaar weekend]]+Ruimtestaat[[#This Row],[kosten / jaar werkdagen]]</f>
        <v>0</v>
      </c>
      <c r="AG59" s="114"/>
      <c r="HK59" s="87"/>
    </row>
    <row r="60" spans="1:219" ht="15" customHeight="1">
      <c r="A60" s="129">
        <v>1</v>
      </c>
      <c r="B60" s="21" t="str">
        <f>VLOOKUP(Ruimtestaat[[#This Row],[Code]],Locaties[#All],2,FALSE)</f>
        <v>Novalis College hoofdgebouw</v>
      </c>
      <c r="C60" s="21" t="str">
        <f>VLOOKUP(Ruimtestaat[[#This Row],[Code]],Locaties[#All],4,FALSE)</f>
        <v>Sterrenlaan 16</v>
      </c>
      <c r="D60" s="21" t="str">
        <f>VLOOKUP(Ruimtestaat[[#This Row],[Code]],Locaties[#All],5,FALSE)</f>
        <v>5631 KA</v>
      </c>
      <c r="E60" s="200" t="str">
        <f>VLOOKUP(Ruimtestaat[[#This Row],[Code]],Locaties[#All],6,FALSE)</f>
        <v>Eindhoven</v>
      </c>
      <c r="F60" s="213" t="s">
        <v>613</v>
      </c>
      <c r="G60" s="200" t="s">
        <v>524</v>
      </c>
      <c r="H60" s="200" t="s">
        <v>491</v>
      </c>
      <c r="I60" s="241" t="s">
        <v>502</v>
      </c>
      <c r="J60" s="200">
        <v>13</v>
      </c>
      <c r="K60" s="241" t="str">
        <f>VLOOKUP(Ruimtestaat[[#This Row],[Ruimte code]],Ruimtegroepen[#All],2,FALSE)</f>
        <v>Praktijklokalen</v>
      </c>
      <c r="L60" s="213" t="s">
        <v>110</v>
      </c>
      <c r="M60" s="200" t="s">
        <v>277</v>
      </c>
      <c r="N60" s="212">
        <v>83</v>
      </c>
      <c r="O60" s="212"/>
      <c r="P60" s="240" t="str">
        <f>VLOOKUP(Ruimtestaat[[#This Row],[Ruimte code]],Ruimtegroepen[#All],4,FALSE)</f>
        <v>L  (Lesruimte)</v>
      </c>
      <c r="Q60" s="213">
        <v>40</v>
      </c>
      <c r="R60" s="213" t="s">
        <v>2</v>
      </c>
      <c r="S60" s="213">
        <f>IF(Q60&gt;0,IF(RIGHT(Ruimtestaat[[#This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0" s="213">
        <f>IF(S60&gt;0,VLOOKUP($J60,Ruimtegroepen[],3,FALSE)*VLOOKUP($L60,Vloersoorten[],3,FALSE)*VLOOKUP($R60,Frequenties[],3,FALSE)*VLOOKUP($A60,Locaties[],3,FALSE),0)</f>
        <v>0</v>
      </c>
      <c r="U60" s="213">
        <f>Ruimtestaat[[#This Row],[Uitvoeringen werkdagen]]*Ruimtestaat[[#This Row],[Oppervlak (netto)]]</f>
        <v>16600</v>
      </c>
      <c r="V60" s="253">
        <f>IF(T60&gt;0,Ruimtestaat[[#This Row],[Prest. (m2 /jaar) werkdagen]]/Ruimtestaat[[#This Row],[Norm (m2/uur) werkdagen]],0)</f>
        <v>0</v>
      </c>
      <c r="W60" s="254">
        <f>Ruimtestaat[[#This Row],[uren / jaar werkdagen]]*Tariefsopbouw!$D$38</f>
        <v>0</v>
      </c>
      <c r="X60" s="33"/>
      <c r="Y60" s="33">
        <f>IF(Ruimtestaat[[#This Row],[Frequentie weekend]]&gt;0,VALUE(LEFT(X60,1))*Q60,0)</f>
        <v>0</v>
      </c>
      <c r="Z60" s="33">
        <f>IF($Y60&gt;0,VLOOKUP($J60,Ruimtegroepen[],3,FALSE)*VLOOKUP($L60,Vloersoorten[],3,FALSE)*VLOOKUP($X60,Frequenties[],3,FALSE)*VLOOKUP(#REF!,Locaties[],3,FALSE),0)</f>
        <v>0</v>
      </c>
      <c r="AA60" s="33"/>
      <c r="AB60" s="33"/>
      <c r="AC60" s="33">
        <f>Ruimtestaat[[#This Row],[uren / jaar weekend]]*Tariefsopbouw!$D$40</f>
        <v>0</v>
      </c>
      <c r="AD60" s="88">
        <f>Ruimtestaat[[#This Row],[Prest. (m2 /jaar) weekend]]+Ruimtestaat[[#This Row],[Prest. (m2 /jaar) werkdagen]]</f>
        <v>16600</v>
      </c>
      <c r="AE60" s="88">
        <f>Ruimtestaat[[#This Row],[uren / jaar weekend]]+Ruimtestaat[[#This Row],[uren / jaar werkdagen]]</f>
        <v>0</v>
      </c>
      <c r="AF60" s="89">
        <f>Ruimtestaat[[#This Row],[kosten / jaar weekend]]+Ruimtestaat[[#This Row],[kosten / jaar werkdagen]]</f>
        <v>0</v>
      </c>
      <c r="AG60" s="114"/>
      <c r="HK60" s="87"/>
    </row>
    <row r="61" spans="1:219" ht="15" customHeight="1">
      <c r="A61" s="129">
        <v>1</v>
      </c>
      <c r="B61" s="21" t="str">
        <f>VLOOKUP(Ruimtestaat[[#This Row],[Code]],Locaties[#All],2,FALSE)</f>
        <v>Novalis College hoofdgebouw</v>
      </c>
      <c r="C61" s="21" t="str">
        <f>VLOOKUP(Ruimtestaat[[#This Row],[Code]],Locaties[#All],4,FALSE)</f>
        <v>Sterrenlaan 16</v>
      </c>
      <c r="D61" s="21" t="str">
        <f>VLOOKUP(Ruimtestaat[[#This Row],[Code]],Locaties[#All],5,FALSE)</f>
        <v>5631 KA</v>
      </c>
      <c r="E61" s="200" t="str">
        <f>VLOOKUP(Ruimtestaat[[#This Row],[Code]],Locaties[#All],6,FALSE)</f>
        <v>Eindhoven</v>
      </c>
      <c r="F61" s="213" t="s">
        <v>613</v>
      </c>
      <c r="G61" s="200" t="s">
        <v>524</v>
      </c>
      <c r="H61" s="200" t="s">
        <v>492</v>
      </c>
      <c r="I61" s="241" t="s">
        <v>559</v>
      </c>
      <c r="J61" s="200">
        <v>20</v>
      </c>
      <c r="K61" s="241" t="str">
        <f>VLOOKUP(Ruimtestaat[[#This Row],[Ruimte code]],Ruimtegroepen[#All],2,FALSE)</f>
        <v>TOA</v>
      </c>
      <c r="L61" s="213" t="s">
        <v>110</v>
      </c>
      <c r="M61" s="200" t="s">
        <v>277</v>
      </c>
      <c r="N61" s="212">
        <v>34</v>
      </c>
      <c r="O61" s="212"/>
      <c r="P61" s="240" t="str">
        <f>VLOOKUP(Ruimtestaat[[#This Row],[Ruimte code]],Ruimtegroepen[#All],4,FALSE)</f>
        <v>V  (Verkeersruimte)</v>
      </c>
      <c r="Q61" s="213">
        <v>40</v>
      </c>
      <c r="R61" s="213" t="s">
        <v>15</v>
      </c>
      <c r="S61" s="213">
        <f>IF(Q61&gt;0,IF(RIGHT(Ruimtestaat[[#This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T61" s="213">
        <f>IF(S61&gt;0,VLOOKUP($J61,Ruimtegroepen[],3,FALSE)*VLOOKUP($L61,Vloersoorten[],3,FALSE)*VLOOKUP($R61,Frequenties[],3,FALSE)*VLOOKUP($A61,Locaties[],3,FALSE),0)</f>
        <v>0</v>
      </c>
      <c r="U61" s="213">
        <f>Ruimtestaat[[#This Row],[Uitvoeringen werkdagen]]*Ruimtestaat[[#This Row],[Oppervlak (netto)]]</f>
        <v>1360</v>
      </c>
      <c r="V61" s="253">
        <f>IF(T61&gt;0,Ruimtestaat[[#This Row],[Prest. (m2 /jaar) werkdagen]]/Ruimtestaat[[#This Row],[Norm (m2/uur) werkdagen]],0)</f>
        <v>0</v>
      </c>
      <c r="W61" s="254">
        <f>Ruimtestaat[[#This Row],[uren / jaar werkdagen]]*Tariefsopbouw!$D$38</f>
        <v>0</v>
      </c>
      <c r="X61" s="33"/>
      <c r="Y61" s="33">
        <f>IF(Ruimtestaat[[#This Row],[Frequentie weekend]]&gt;0,VALUE(LEFT(X61,1))*Q61,0)</f>
        <v>0</v>
      </c>
      <c r="Z61" s="33">
        <f>IF($Y61&gt;0,VLOOKUP($J61,Ruimtegroepen[],3,FALSE)*VLOOKUP($L61,Vloersoorten[],3,FALSE)*VLOOKUP($X61,Frequenties[],3,FALSE)*VLOOKUP(#REF!,Locaties[],3,FALSE),0)</f>
        <v>0</v>
      </c>
      <c r="AA61" s="33"/>
      <c r="AB61" s="33"/>
      <c r="AC61" s="33">
        <f>Ruimtestaat[[#This Row],[uren / jaar weekend]]*Tariefsopbouw!$D$40</f>
        <v>0</v>
      </c>
      <c r="AD61" s="88">
        <f>Ruimtestaat[[#This Row],[Prest. (m2 /jaar) weekend]]+Ruimtestaat[[#This Row],[Prest. (m2 /jaar) werkdagen]]</f>
        <v>1360</v>
      </c>
      <c r="AE61" s="88">
        <f>Ruimtestaat[[#This Row],[uren / jaar weekend]]+Ruimtestaat[[#This Row],[uren / jaar werkdagen]]</f>
        <v>0</v>
      </c>
      <c r="AF61" s="89">
        <f>Ruimtestaat[[#This Row],[kosten / jaar weekend]]+Ruimtestaat[[#This Row],[kosten / jaar werkdagen]]</f>
        <v>0</v>
      </c>
      <c r="AG61" s="114"/>
      <c r="HK61" s="87"/>
    </row>
    <row r="62" spans="1:219" ht="15" customHeight="1">
      <c r="A62" s="129">
        <v>1</v>
      </c>
      <c r="B62" s="21" t="str">
        <f>VLOOKUP(Ruimtestaat[[#This Row],[Code]],Locaties[#All],2,FALSE)</f>
        <v>Novalis College hoofdgebouw</v>
      </c>
      <c r="C62" s="21" t="str">
        <f>VLOOKUP(Ruimtestaat[[#This Row],[Code]],Locaties[#All],4,FALSE)</f>
        <v>Sterrenlaan 16</v>
      </c>
      <c r="D62" s="21" t="str">
        <f>VLOOKUP(Ruimtestaat[[#This Row],[Code]],Locaties[#All],5,FALSE)</f>
        <v>5631 KA</v>
      </c>
      <c r="E62" s="200" t="str">
        <f>VLOOKUP(Ruimtestaat[[#This Row],[Code]],Locaties[#All],6,FALSE)</f>
        <v>Eindhoven</v>
      </c>
      <c r="F62" s="213" t="s">
        <v>613</v>
      </c>
      <c r="G62" s="200" t="s">
        <v>524</v>
      </c>
      <c r="H62" s="200" t="s">
        <v>493</v>
      </c>
      <c r="I62" s="241" t="s">
        <v>560</v>
      </c>
      <c r="J62" s="200">
        <v>13</v>
      </c>
      <c r="K62" s="241" t="str">
        <f>VLOOKUP(Ruimtestaat[[#This Row],[Ruimte code]],Ruimtegroepen[#All],2,FALSE)</f>
        <v>Praktijklokalen</v>
      </c>
      <c r="L62" s="213" t="s">
        <v>110</v>
      </c>
      <c r="M62" s="200" t="s">
        <v>277</v>
      </c>
      <c r="N62" s="212">
        <v>68</v>
      </c>
      <c r="O62" s="212"/>
      <c r="P62" s="240" t="str">
        <f>VLOOKUP(Ruimtestaat[[#This Row],[Ruimte code]],Ruimtegroepen[#All],4,FALSE)</f>
        <v>L  (Lesruimte)</v>
      </c>
      <c r="Q62" s="213">
        <v>40</v>
      </c>
      <c r="R62" s="213" t="s">
        <v>2</v>
      </c>
      <c r="S62" s="213">
        <f>IF(Q62&gt;0,IF(RIGHT(Ruimtestaat[[#This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2" s="213">
        <f>IF(S62&gt;0,VLOOKUP($J62,Ruimtegroepen[],3,FALSE)*VLOOKUP($L62,Vloersoorten[],3,FALSE)*VLOOKUP($R62,Frequenties[],3,FALSE)*VLOOKUP($A62,Locaties[],3,FALSE),0)</f>
        <v>0</v>
      </c>
      <c r="U62" s="213">
        <f>Ruimtestaat[[#This Row],[Uitvoeringen werkdagen]]*Ruimtestaat[[#This Row],[Oppervlak (netto)]]</f>
        <v>13600</v>
      </c>
      <c r="V62" s="253">
        <f>IF(T62&gt;0,Ruimtestaat[[#This Row],[Prest. (m2 /jaar) werkdagen]]/Ruimtestaat[[#This Row],[Norm (m2/uur) werkdagen]],0)</f>
        <v>0</v>
      </c>
      <c r="W62" s="254">
        <f>Ruimtestaat[[#This Row],[uren / jaar werkdagen]]*Tariefsopbouw!$D$38</f>
        <v>0</v>
      </c>
      <c r="X62" s="33"/>
      <c r="Y62" s="33">
        <f>IF(Ruimtestaat[[#This Row],[Frequentie weekend]]&gt;0,VALUE(LEFT(X62,1))*Q62,0)</f>
        <v>0</v>
      </c>
      <c r="Z62" s="33">
        <f>IF($Y62&gt;0,VLOOKUP($J62,Ruimtegroepen[],3,FALSE)*VLOOKUP($L62,Vloersoorten[],3,FALSE)*VLOOKUP($X62,Frequenties[],3,FALSE)*VLOOKUP(#REF!,Locaties[],3,FALSE),0)</f>
        <v>0</v>
      </c>
      <c r="AA62" s="33"/>
      <c r="AB62" s="33"/>
      <c r="AC62" s="33">
        <f>Ruimtestaat[[#This Row],[uren / jaar weekend]]*Tariefsopbouw!$D$40</f>
        <v>0</v>
      </c>
      <c r="AD62" s="88">
        <f>Ruimtestaat[[#This Row],[Prest. (m2 /jaar) weekend]]+Ruimtestaat[[#This Row],[Prest. (m2 /jaar) werkdagen]]</f>
        <v>13600</v>
      </c>
      <c r="AE62" s="88">
        <f>Ruimtestaat[[#This Row],[uren / jaar weekend]]+Ruimtestaat[[#This Row],[uren / jaar werkdagen]]</f>
        <v>0</v>
      </c>
      <c r="AF62" s="89">
        <f>Ruimtestaat[[#This Row],[kosten / jaar weekend]]+Ruimtestaat[[#This Row],[kosten / jaar werkdagen]]</f>
        <v>0</v>
      </c>
      <c r="AG62" s="114"/>
      <c r="HK62" s="87"/>
    </row>
    <row r="63" spans="1:219" ht="15" customHeight="1">
      <c r="A63" s="129">
        <v>1</v>
      </c>
      <c r="B63" s="21" t="str">
        <f>VLOOKUP(Ruimtestaat[[#This Row],[Code]],Locaties[#All],2,FALSE)</f>
        <v>Novalis College hoofdgebouw</v>
      </c>
      <c r="C63" s="21" t="str">
        <f>VLOOKUP(Ruimtestaat[[#This Row],[Code]],Locaties[#All],4,FALSE)</f>
        <v>Sterrenlaan 16</v>
      </c>
      <c r="D63" s="21" t="str">
        <f>VLOOKUP(Ruimtestaat[[#This Row],[Code]],Locaties[#All],5,FALSE)</f>
        <v>5631 KA</v>
      </c>
      <c r="E63" s="200" t="str">
        <f>VLOOKUP(Ruimtestaat[[#This Row],[Code]],Locaties[#All],6,FALSE)</f>
        <v>Eindhoven</v>
      </c>
      <c r="F63" s="213" t="s">
        <v>613</v>
      </c>
      <c r="G63" s="200" t="s">
        <v>524</v>
      </c>
      <c r="H63" s="200" t="s">
        <v>494</v>
      </c>
      <c r="I63" s="241" t="s">
        <v>561</v>
      </c>
      <c r="J63" s="200">
        <v>21</v>
      </c>
      <c r="K63" s="241" t="str">
        <f>VLOOKUP(Ruimtestaat[[#This Row],[Ruimte code]],Ruimtegroepen[#All],2,FALSE)</f>
        <v>Niet in onderhoud</v>
      </c>
      <c r="L63" s="213" t="s">
        <v>110</v>
      </c>
      <c r="M63" s="200" t="s">
        <v>277</v>
      </c>
      <c r="N63" s="212"/>
      <c r="O63" s="212">
        <v>13</v>
      </c>
      <c r="P63" s="240" t="str">
        <f>VLOOKUP(Ruimtestaat[[#This Row],[Ruimte code]],Ruimtegroepen[#All],4,FALSE)</f>
        <v>Niet in onderhoud</v>
      </c>
      <c r="Q63" s="213"/>
      <c r="R63" s="213"/>
      <c r="S63" s="213">
        <f>IF(Q63&gt;0,IF(RIGHT(Ruimtestaat[[#This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63" s="213">
        <f>IF(S63&gt;0,VLOOKUP($J63,Ruimtegroepen[],3,FALSE)*VLOOKUP($L63,Vloersoorten[],3,FALSE)*VLOOKUP($R63,Frequenties[],3,FALSE)*VLOOKUP($A63,Locaties[],3,FALSE),0)</f>
        <v>0</v>
      </c>
      <c r="U63" s="213">
        <f>Ruimtestaat[[#This Row],[Uitvoeringen werkdagen]]*Ruimtestaat[[#This Row],[Oppervlak (netto)]]</f>
        <v>0</v>
      </c>
      <c r="V63" s="253">
        <f>IF(T63&gt;0,Ruimtestaat[[#This Row],[Prest. (m2 /jaar) werkdagen]]/Ruimtestaat[[#This Row],[Norm (m2/uur) werkdagen]],0)</f>
        <v>0</v>
      </c>
      <c r="W63" s="254">
        <f>Ruimtestaat[[#This Row],[uren / jaar werkdagen]]*Tariefsopbouw!$D$38</f>
        <v>0</v>
      </c>
      <c r="X63" s="33"/>
      <c r="Y63" s="33">
        <f>IF(Ruimtestaat[[#This Row],[Frequentie weekend]]&gt;0,VALUE(LEFT(X63,1))*Q63,0)</f>
        <v>0</v>
      </c>
      <c r="Z63" s="33">
        <f>IF($Y63&gt;0,VLOOKUP($J63,Ruimtegroepen[],3,FALSE)*VLOOKUP($L63,Vloersoorten[],3,FALSE)*VLOOKUP($X63,Frequenties[],3,FALSE)*VLOOKUP(#REF!,Locaties[],3,FALSE),0)</f>
        <v>0</v>
      </c>
      <c r="AA63" s="33"/>
      <c r="AB63" s="33"/>
      <c r="AC63" s="33">
        <f>Ruimtestaat[[#This Row],[uren / jaar weekend]]*Tariefsopbouw!$D$40</f>
        <v>0</v>
      </c>
      <c r="AD63" s="88">
        <f>Ruimtestaat[[#This Row],[Prest. (m2 /jaar) weekend]]+Ruimtestaat[[#This Row],[Prest. (m2 /jaar) werkdagen]]</f>
        <v>0</v>
      </c>
      <c r="AE63" s="88">
        <f>Ruimtestaat[[#This Row],[uren / jaar weekend]]+Ruimtestaat[[#This Row],[uren / jaar werkdagen]]</f>
        <v>0</v>
      </c>
      <c r="AF63" s="89">
        <f>Ruimtestaat[[#This Row],[kosten / jaar weekend]]+Ruimtestaat[[#This Row],[kosten / jaar werkdagen]]</f>
        <v>0</v>
      </c>
      <c r="AG63" s="114"/>
      <c r="HK63" s="87"/>
    </row>
    <row r="64" spans="1:219" ht="15" customHeight="1">
      <c r="A64" s="129">
        <v>1</v>
      </c>
      <c r="B64" s="21" t="str">
        <f>VLOOKUP(Ruimtestaat[[#This Row],[Code]],Locaties[#All],2,FALSE)</f>
        <v>Novalis College hoofdgebouw</v>
      </c>
      <c r="C64" s="21" t="str">
        <f>VLOOKUP(Ruimtestaat[[#This Row],[Code]],Locaties[#All],4,FALSE)</f>
        <v>Sterrenlaan 16</v>
      </c>
      <c r="D64" s="21" t="str">
        <f>VLOOKUP(Ruimtestaat[[#This Row],[Code]],Locaties[#All],5,FALSE)</f>
        <v>5631 KA</v>
      </c>
      <c r="E64" s="200" t="str">
        <f>VLOOKUP(Ruimtestaat[[#This Row],[Code]],Locaties[#All],6,FALSE)</f>
        <v>Eindhoven</v>
      </c>
      <c r="F64" s="213" t="s">
        <v>613</v>
      </c>
      <c r="G64" s="200" t="s">
        <v>524</v>
      </c>
      <c r="H64" s="200" t="s">
        <v>495</v>
      </c>
      <c r="I64" s="241" t="s">
        <v>562</v>
      </c>
      <c r="J64" s="200">
        <v>13</v>
      </c>
      <c r="K64" s="241" t="str">
        <f>VLOOKUP(Ruimtestaat[[#This Row],[Ruimte code]],Ruimtegroepen[#All],2,FALSE)</f>
        <v>Praktijklokalen</v>
      </c>
      <c r="L64" s="213" t="s">
        <v>110</v>
      </c>
      <c r="M64" s="200" t="s">
        <v>277</v>
      </c>
      <c r="N64" s="212">
        <v>49</v>
      </c>
      <c r="O64" s="212"/>
      <c r="P64" s="240" t="str">
        <f>VLOOKUP(Ruimtestaat[[#This Row],[Ruimte code]],Ruimtegroepen[#All],4,FALSE)</f>
        <v>L  (Lesruimte)</v>
      </c>
      <c r="Q64" s="213">
        <v>40</v>
      </c>
      <c r="R64" s="213" t="s">
        <v>2</v>
      </c>
      <c r="S64" s="213">
        <f>IF(Q64&gt;0,IF(RIGHT(Ruimtestaat[[#This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4" s="213">
        <f>IF(S64&gt;0,VLOOKUP($J64,Ruimtegroepen[],3,FALSE)*VLOOKUP($L64,Vloersoorten[],3,FALSE)*VLOOKUP($R64,Frequenties[],3,FALSE)*VLOOKUP($A64,Locaties[],3,FALSE),0)</f>
        <v>0</v>
      </c>
      <c r="U64" s="213">
        <f>Ruimtestaat[[#This Row],[Uitvoeringen werkdagen]]*Ruimtestaat[[#This Row],[Oppervlak (netto)]]</f>
        <v>9800</v>
      </c>
      <c r="V64" s="253">
        <f>IF(T64&gt;0,Ruimtestaat[[#This Row],[Prest. (m2 /jaar) werkdagen]]/Ruimtestaat[[#This Row],[Norm (m2/uur) werkdagen]],0)</f>
        <v>0</v>
      </c>
      <c r="W64" s="254">
        <f>Ruimtestaat[[#This Row],[uren / jaar werkdagen]]*Tariefsopbouw!$D$38</f>
        <v>0</v>
      </c>
      <c r="X64" s="33"/>
      <c r="Y64" s="33">
        <f>IF(Ruimtestaat[[#This Row],[Frequentie weekend]]&gt;0,VALUE(LEFT(X64,1))*Q64,0)</f>
        <v>0</v>
      </c>
      <c r="Z64" s="33">
        <f>IF($Y64&gt;0,VLOOKUP($J64,Ruimtegroepen[],3,FALSE)*VLOOKUP($L64,Vloersoorten[],3,FALSE)*VLOOKUP($X64,Frequenties[],3,FALSE)*VLOOKUP(#REF!,Locaties[],3,FALSE),0)</f>
        <v>0</v>
      </c>
      <c r="AA64" s="33"/>
      <c r="AB64" s="33"/>
      <c r="AC64" s="33">
        <f>Ruimtestaat[[#This Row],[uren / jaar weekend]]*Tariefsopbouw!$D$40</f>
        <v>0</v>
      </c>
      <c r="AD64" s="88">
        <f>Ruimtestaat[[#This Row],[Prest. (m2 /jaar) weekend]]+Ruimtestaat[[#This Row],[Prest. (m2 /jaar) werkdagen]]</f>
        <v>9800</v>
      </c>
      <c r="AE64" s="88">
        <f>Ruimtestaat[[#This Row],[uren / jaar weekend]]+Ruimtestaat[[#This Row],[uren / jaar werkdagen]]</f>
        <v>0</v>
      </c>
      <c r="AF64" s="89">
        <f>Ruimtestaat[[#This Row],[kosten / jaar weekend]]+Ruimtestaat[[#This Row],[kosten / jaar werkdagen]]</f>
        <v>0</v>
      </c>
      <c r="AG64" s="114"/>
      <c r="HK64" s="87"/>
    </row>
    <row r="65" spans="1:219" ht="15" customHeight="1">
      <c r="A65" s="129">
        <v>1</v>
      </c>
      <c r="B65" s="21" t="str">
        <f>VLOOKUP(Ruimtestaat[[#This Row],[Code]],Locaties[#All],2,FALSE)</f>
        <v>Novalis College hoofdgebouw</v>
      </c>
      <c r="C65" s="21" t="str">
        <f>VLOOKUP(Ruimtestaat[[#This Row],[Code]],Locaties[#All],4,FALSE)</f>
        <v>Sterrenlaan 16</v>
      </c>
      <c r="D65" s="21" t="str">
        <f>VLOOKUP(Ruimtestaat[[#This Row],[Code]],Locaties[#All],5,FALSE)</f>
        <v>5631 KA</v>
      </c>
      <c r="E65" s="200" t="str">
        <f>VLOOKUP(Ruimtestaat[[#This Row],[Code]],Locaties[#All],6,FALSE)</f>
        <v>Eindhoven</v>
      </c>
      <c r="F65" s="213" t="s">
        <v>613</v>
      </c>
      <c r="G65" s="200" t="s">
        <v>524</v>
      </c>
      <c r="H65" s="200" t="s">
        <v>496</v>
      </c>
      <c r="I65" s="241" t="s">
        <v>563</v>
      </c>
      <c r="J65" s="200">
        <v>21</v>
      </c>
      <c r="K65" s="241" t="str">
        <f>VLOOKUP(Ruimtestaat[[#This Row],[Ruimte code]],Ruimtegroepen[#All],2,FALSE)</f>
        <v>Niet in onderhoud</v>
      </c>
      <c r="L65" s="213" t="s">
        <v>110</v>
      </c>
      <c r="M65" s="200" t="s">
        <v>277</v>
      </c>
      <c r="N65" s="212"/>
      <c r="O65" s="212">
        <v>10</v>
      </c>
      <c r="P65" s="240" t="str">
        <f>VLOOKUP(Ruimtestaat[[#This Row],[Ruimte code]],Ruimtegroepen[#All],4,FALSE)</f>
        <v>Niet in onderhoud</v>
      </c>
      <c r="Q65" s="213"/>
      <c r="R65" s="213"/>
      <c r="S65" s="213">
        <f>IF(Q65&gt;0,IF(RIGHT(Ruimtestaat[[#This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65" s="213">
        <f>IF(S65&gt;0,VLOOKUP($J65,Ruimtegroepen[],3,FALSE)*VLOOKUP($L65,Vloersoorten[],3,FALSE)*VLOOKUP($R65,Frequenties[],3,FALSE)*VLOOKUP($A65,Locaties[],3,FALSE),0)</f>
        <v>0</v>
      </c>
      <c r="U65" s="213">
        <f>Ruimtestaat[[#This Row],[Uitvoeringen werkdagen]]*Ruimtestaat[[#This Row],[Oppervlak (netto)]]</f>
        <v>0</v>
      </c>
      <c r="V65" s="253">
        <f>IF(T65&gt;0,Ruimtestaat[[#This Row],[Prest. (m2 /jaar) werkdagen]]/Ruimtestaat[[#This Row],[Norm (m2/uur) werkdagen]],0)</f>
        <v>0</v>
      </c>
      <c r="W65" s="254">
        <f>Ruimtestaat[[#This Row],[uren / jaar werkdagen]]*Tariefsopbouw!$D$38</f>
        <v>0</v>
      </c>
      <c r="X65" s="33"/>
      <c r="Y65" s="33">
        <f>IF(Ruimtestaat[[#This Row],[Frequentie weekend]]&gt;0,VALUE(LEFT(X65,1))*Q65,0)</f>
        <v>0</v>
      </c>
      <c r="Z65" s="33">
        <f>IF($Y65&gt;0,VLOOKUP($J65,Ruimtegroepen[],3,FALSE)*VLOOKUP($L65,Vloersoorten[],3,FALSE)*VLOOKUP($X65,Frequenties[],3,FALSE)*VLOOKUP(#REF!,Locaties[],3,FALSE),0)</f>
        <v>0</v>
      </c>
      <c r="AA65" s="33"/>
      <c r="AB65" s="33"/>
      <c r="AC65" s="33">
        <f>Ruimtestaat[[#This Row],[uren / jaar weekend]]*Tariefsopbouw!$D$40</f>
        <v>0</v>
      </c>
      <c r="AD65" s="88">
        <f>Ruimtestaat[[#This Row],[Prest. (m2 /jaar) weekend]]+Ruimtestaat[[#This Row],[Prest. (m2 /jaar) werkdagen]]</f>
        <v>0</v>
      </c>
      <c r="AE65" s="88">
        <f>Ruimtestaat[[#This Row],[uren / jaar weekend]]+Ruimtestaat[[#This Row],[uren / jaar werkdagen]]</f>
        <v>0</v>
      </c>
      <c r="AF65" s="89">
        <f>Ruimtestaat[[#This Row],[kosten / jaar weekend]]+Ruimtestaat[[#This Row],[kosten / jaar werkdagen]]</f>
        <v>0</v>
      </c>
      <c r="AG65" s="114"/>
      <c r="HK65" s="87"/>
    </row>
    <row r="66" spans="1:219" ht="15" customHeight="1">
      <c r="A66" s="129">
        <v>1</v>
      </c>
      <c r="B66" s="21" t="str">
        <f>VLOOKUP(Ruimtestaat[[#This Row],[Code]],Locaties[#All],2,FALSE)</f>
        <v>Novalis College hoofdgebouw</v>
      </c>
      <c r="C66" s="21" t="str">
        <f>VLOOKUP(Ruimtestaat[[#This Row],[Code]],Locaties[#All],4,FALSE)</f>
        <v>Sterrenlaan 16</v>
      </c>
      <c r="D66" s="21" t="str">
        <f>VLOOKUP(Ruimtestaat[[#This Row],[Code]],Locaties[#All],5,FALSE)</f>
        <v>5631 KA</v>
      </c>
      <c r="E66" s="200" t="str">
        <f>VLOOKUP(Ruimtestaat[[#This Row],[Code]],Locaties[#All],6,FALSE)</f>
        <v>Eindhoven</v>
      </c>
      <c r="F66" s="213" t="s">
        <v>613</v>
      </c>
      <c r="G66" s="200" t="s">
        <v>524</v>
      </c>
      <c r="H66" s="200" t="s">
        <v>497</v>
      </c>
      <c r="I66" s="241" t="s">
        <v>386</v>
      </c>
      <c r="J66" s="213">
        <v>6</v>
      </c>
      <c r="K66" s="241" t="str">
        <f>VLOOKUP(Ruimtestaat[[#This Row],[Ruimte code]],Ruimtegroepen[#All],2,FALSE)</f>
        <v>Gangen/hallen</v>
      </c>
      <c r="L66" s="213" t="s">
        <v>110</v>
      </c>
      <c r="M66" s="200" t="s">
        <v>277</v>
      </c>
      <c r="N66" s="212">
        <v>29</v>
      </c>
      <c r="O66" s="212"/>
      <c r="P66" s="240" t="str">
        <f>VLOOKUP(Ruimtestaat[[#This Row],[Ruimte code]],Ruimtegroepen[#All],4,FALSE)</f>
        <v>V  (Verkeersruimte)</v>
      </c>
      <c r="Q66" s="213">
        <v>40</v>
      </c>
      <c r="R66" s="213" t="s">
        <v>2</v>
      </c>
      <c r="S66" s="213">
        <f>IF(Q66&gt;0,IF(RIGHT(Ruimtestaat[[#This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6" s="213">
        <f>IF(S66&gt;0,VLOOKUP($J66,Ruimtegroepen[],3,FALSE)*VLOOKUP($L66,Vloersoorten[],3,FALSE)*VLOOKUP($R66,Frequenties[],3,FALSE)*VLOOKUP($A66,Locaties[],3,FALSE),0)</f>
        <v>0</v>
      </c>
      <c r="U66" s="213">
        <f>Ruimtestaat[[#This Row],[Uitvoeringen werkdagen]]*Ruimtestaat[[#This Row],[Oppervlak (netto)]]</f>
        <v>5800</v>
      </c>
      <c r="V66" s="253">
        <f>IF(T66&gt;0,Ruimtestaat[[#This Row],[Prest. (m2 /jaar) werkdagen]]/Ruimtestaat[[#This Row],[Norm (m2/uur) werkdagen]],0)</f>
        <v>0</v>
      </c>
      <c r="W66" s="254">
        <f>Ruimtestaat[[#This Row],[uren / jaar werkdagen]]*Tariefsopbouw!$D$38</f>
        <v>0</v>
      </c>
      <c r="X66" s="33"/>
      <c r="Y66" s="33">
        <f>IF(Ruimtestaat[[#This Row],[Frequentie weekend]]&gt;0,VALUE(LEFT(X66,1))*Q66,0)</f>
        <v>0</v>
      </c>
      <c r="Z66" s="33">
        <f>IF($Y66&gt;0,VLOOKUP($J66,Ruimtegroepen[],3,FALSE)*VLOOKUP($L66,Vloersoorten[],3,FALSE)*VLOOKUP($X66,Frequenties[],3,FALSE)*VLOOKUP(#REF!,Locaties[],3,FALSE),0)</f>
        <v>0</v>
      </c>
      <c r="AA66" s="33"/>
      <c r="AB66" s="33"/>
      <c r="AC66" s="33">
        <f>Ruimtestaat[[#This Row],[uren / jaar weekend]]*Tariefsopbouw!$D$40</f>
        <v>0</v>
      </c>
      <c r="AD66" s="88">
        <f>Ruimtestaat[[#This Row],[Prest. (m2 /jaar) weekend]]+Ruimtestaat[[#This Row],[Prest. (m2 /jaar) werkdagen]]</f>
        <v>5800</v>
      </c>
      <c r="AE66" s="88">
        <f>Ruimtestaat[[#This Row],[uren / jaar weekend]]+Ruimtestaat[[#This Row],[uren / jaar werkdagen]]</f>
        <v>0</v>
      </c>
      <c r="AF66" s="89">
        <f>Ruimtestaat[[#This Row],[kosten / jaar weekend]]+Ruimtestaat[[#This Row],[kosten / jaar werkdagen]]</f>
        <v>0</v>
      </c>
      <c r="AG66" s="114"/>
      <c r="HK66" s="87"/>
    </row>
    <row r="67" spans="1:219" ht="15" customHeight="1">
      <c r="A67" s="129">
        <v>1</v>
      </c>
      <c r="B67" s="21" t="str">
        <f>VLOOKUP(Ruimtestaat[[#This Row],[Code]],Locaties[#All],2,FALSE)</f>
        <v>Novalis College hoofdgebouw</v>
      </c>
      <c r="C67" s="21" t="str">
        <f>VLOOKUP(Ruimtestaat[[#This Row],[Code]],Locaties[#All],4,FALSE)</f>
        <v>Sterrenlaan 16</v>
      </c>
      <c r="D67" s="21" t="str">
        <f>VLOOKUP(Ruimtestaat[[#This Row],[Code]],Locaties[#All],5,FALSE)</f>
        <v>5631 KA</v>
      </c>
      <c r="E67" s="200" t="str">
        <f>VLOOKUP(Ruimtestaat[[#This Row],[Code]],Locaties[#All],6,FALSE)</f>
        <v>Eindhoven</v>
      </c>
      <c r="F67" s="213" t="s">
        <v>613</v>
      </c>
      <c r="G67" s="200" t="s">
        <v>524</v>
      </c>
      <c r="H67" s="200" t="s">
        <v>498</v>
      </c>
      <c r="I67" s="241" t="s">
        <v>514</v>
      </c>
      <c r="J67" s="200">
        <v>16</v>
      </c>
      <c r="K67" s="241" t="str">
        <f>VLOOKUP(Ruimtestaat[[#This Row],[Ruimte code]],Ruimtegroepen[#All],2,FALSE)</f>
        <v>Lokaal</v>
      </c>
      <c r="L67" s="213" t="s">
        <v>110</v>
      </c>
      <c r="M67" s="200" t="s">
        <v>277</v>
      </c>
      <c r="N67" s="212">
        <v>48</v>
      </c>
      <c r="O67" s="212"/>
      <c r="P67" s="240" t="str">
        <f>VLOOKUP(Ruimtestaat[[#This Row],[Ruimte code]],Ruimtegroepen[#All],4,FALSE)</f>
        <v>L  (Lesruimte)</v>
      </c>
      <c r="Q67" s="213">
        <v>40</v>
      </c>
      <c r="R67" s="213" t="s">
        <v>2</v>
      </c>
      <c r="S67" s="213">
        <f>IF(Q67&gt;0,IF(RIGHT(Ruimtestaat[[#This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7" s="213">
        <f>IF(S67&gt;0,VLOOKUP($J67,Ruimtegroepen[],3,FALSE)*VLOOKUP($L67,Vloersoorten[],3,FALSE)*VLOOKUP($R67,Frequenties[],3,FALSE)*VLOOKUP($A67,Locaties[],3,FALSE),0)</f>
        <v>0</v>
      </c>
      <c r="U67" s="213">
        <f>Ruimtestaat[[#This Row],[Uitvoeringen werkdagen]]*Ruimtestaat[[#This Row],[Oppervlak (netto)]]</f>
        <v>9600</v>
      </c>
      <c r="V67" s="253">
        <f>IF(T67&gt;0,Ruimtestaat[[#This Row],[Prest. (m2 /jaar) werkdagen]]/Ruimtestaat[[#This Row],[Norm (m2/uur) werkdagen]],0)</f>
        <v>0</v>
      </c>
      <c r="W67" s="254">
        <f>Ruimtestaat[[#This Row],[uren / jaar werkdagen]]*Tariefsopbouw!$D$38</f>
        <v>0</v>
      </c>
      <c r="X67" s="33"/>
      <c r="Y67" s="33">
        <f>IF(Ruimtestaat[[#This Row],[Frequentie weekend]]&gt;0,VALUE(LEFT(X67,1))*Q67,0)</f>
        <v>0</v>
      </c>
      <c r="Z67" s="33">
        <f>IF($Y67&gt;0,VLOOKUP($J67,Ruimtegroepen[],3,FALSE)*VLOOKUP($L67,Vloersoorten[],3,FALSE)*VLOOKUP($X67,Frequenties[],3,FALSE)*VLOOKUP(#REF!,Locaties[],3,FALSE),0)</f>
        <v>0</v>
      </c>
      <c r="AA67" s="33"/>
      <c r="AB67" s="33"/>
      <c r="AC67" s="33">
        <f>Ruimtestaat[[#This Row],[uren / jaar weekend]]*Tariefsopbouw!$D$40</f>
        <v>0</v>
      </c>
      <c r="AD67" s="88">
        <f>Ruimtestaat[[#This Row],[Prest. (m2 /jaar) weekend]]+Ruimtestaat[[#This Row],[Prest. (m2 /jaar) werkdagen]]</f>
        <v>9600</v>
      </c>
      <c r="AE67" s="88">
        <f>Ruimtestaat[[#This Row],[uren / jaar weekend]]+Ruimtestaat[[#This Row],[uren / jaar werkdagen]]</f>
        <v>0</v>
      </c>
      <c r="AF67" s="89">
        <f>Ruimtestaat[[#This Row],[kosten / jaar weekend]]+Ruimtestaat[[#This Row],[kosten / jaar werkdagen]]</f>
        <v>0</v>
      </c>
      <c r="AG67" s="114"/>
      <c r="HK67" s="87"/>
    </row>
    <row r="68" spans="1:219" ht="15" customHeight="1">
      <c r="A68" s="129">
        <v>1</v>
      </c>
      <c r="B68" s="21" t="str">
        <f>VLOOKUP(Ruimtestaat[[#This Row],[Code]],Locaties[#All],2,FALSE)</f>
        <v>Novalis College hoofdgebouw</v>
      </c>
      <c r="C68" s="21" t="str">
        <f>VLOOKUP(Ruimtestaat[[#This Row],[Code]],Locaties[#All],4,FALSE)</f>
        <v>Sterrenlaan 16</v>
      </c>
      <c r="D68" s="21" t="str">
        <f>VLOOKUP(Ruimtestaat[[#This Row],[Code]],Locaties[#All],5,FALSE)</f>
        <v>5631 KA</v>
      </c>
      <c r="E68" s="200" t="str">
        <f>VLOOKUP(Ruimtestaat[[#This Row],[Code]],Locaties[#All],6,FALSE)</f>
        <v>Eindhoven</v>
      </c>
      <c r="F68" s="213" t="s">
        <v>613</v>
      </c>
      <c r="G68" s="200" t="s">
        <v>524</v>
      </c>
      <c r="H68" s="200" t="s">
        <v>499</v>
      </c>
      <c r="I68" s="241" t="s">
        <v>514</v>
      </c>
      <c r="J68" s="200">
        <v>16</v>
      </c>
      <c r="K68" s="241" t="str">
        <f>VLOOKUP(Ruimtestaat[[#This Row],[Ruimte code]],Ruimtegroepen[#All],2,FALSE)</f>
        <v>Lokaal</v>
      </c>
      <c r="L68" s="213" t="s">
        <v>110</v>
      </c>
      <c r="M68" s="200" t="s">
        <v>277</v>
      </c>
      <c r="N68" s="212">
        <v>48</v>
      </c>
      <c r="O68" s="212"/>
      <c r="P68" s="240" t="str">
        <f>VLOOKUP(Ruimtestaat[[#This Row],[Ruimte code]],Ruimtegroepen[#All],4,FALSE)</f>
        <v>L  (Lesruimte)</v>
      </c>
      <c r="Q68" s="213">
        <v>40</v>
      </c>
      <c r="R68" s="213" t="s">
        <v>2</v>
      </c>
      <c r="S68" s="213">
        <f>IF(Q68&gt;0,IF(RIGHT(Ruimtestaat[[#This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8" s="213">
        <f>IF(S68&gt;0,VLOOKUP($J68,Ruimtegroepen[],3,FALSE)*VLOOKUP($L68,Vloersoorten[],3,FALSE)*VLOOKUP($R68,Frequenties[],3,FALSE)*VLOOKUP($A68,Locaties[],3,FALSE),0)</f>
        <v>0</v>
      </c>
      <c r="U68" s="213">
        <f>Ruimtestaat[[#This Row],[Uitvoeringen werkdagen]]*Ruimtestaat[[#This Row],[Oppervlak (netto)]]</f>
        <v>9600</v>
      </c>
      <c r="V68" s="253">
        <f>IF(T68&gt;0,Ruimtestaat[[#This Row],[Prest. (m2 /jaar) werkdagen]]/Ruimtestaat[[#This Row],[Norm (m2/uur) werkdagen]],0)</f>
        <v>0</v>
      </c>
      <c r="W68" s="254">
        <f>Ruimtestaat[[#This Row],[uren / jaar werkdagen]]*Tariefsopbouw!$D$38</f>
        <v>0</v>
      </c>
      <c r="X68" s="33"/>
      <c r="Y68" s="33">
        <f>IF(Ruimtestaat[[#This Row],[Frequentie weekend]]&gt;0,VALUE(LEFT(X68,1))*Q68,0)</f>
        <v>0</v>
      </c>
      <c r="Z68" s="33">
        <f>IF($Y68&gt;0,VLOOKUP($J68,Ruimtegroepen[],3,FALSE)*VLOOKUP($L68,Vloersoorten[],3,FALSE)*VLOOKUP($X68,Frequenties[],3,FALSE)*VLOOKUP(#REF!,Locaties[],3,FALSE),0)</f>
        <v>0</v>
      </c>
      <c r="AA68" s="33"/>
      <c r="AB68" s="33"/>
      <c r="AC68" s="33">
        <f>Ruimtestaat[[#This Row],[uren / jaar weekend]]*Tariefsopbouw!$D$40</f>
        <v>0</v>
      </c>
      <c r="AD68" s="88">
        <f>Ruimtestaat[[#This Row],[Prest. (m2 /jaar) weekend]]+Ruimtestaat[[#This Row],[Prest. (m2 /jaar) werkdagen]]</f>
        <v>9600</v>
      </c>
      <c r="AE68" s="88">
        <f>Ruimtestaat[[#This Row],[uren / jaar weekend]]+Ruimtestaat[[#This Row],[uren / jaar werkdagen]]</f>
        <v>0</v>
      </c>
      <c r="AF68" s="89">
        <f>Ruimtestaat[[#This Row],[kosten / jaar weekend]]+Ruimtestaat[[#This Row],[kosten / jaar werkdagen]]</f>
        <v>0</v>
      </c>
      <c r="AG68" s="114"/>
      <c r="HK68" s="87"/>
    </row>
    <row r="69" spans="1:219" ht="15" customHeight="1">
      <c r="A69" s="129">
        <v>1</v>
      </c>
      <c r="B69" s="21" t="str">
        <f>VLOOKUP(Ruimtestaat[[#This Row],[Code]],Locaties[#All],2,FALSE)</f>
        <v>Novalis College hoofdgebouw</v>
      </c>
      <c r="C69" s="21" t="str">
        <f>VLOOKUP(Ruimtestaat[[#This Row],[Code]],Locaties[#All],4,FALSE)</f>
        <v>Sterrenlaan 16</v>
      </c>
      <c r="D69" s="21" t="str">
        <f>VLOOKUP(Ruimtestaat[[#This Row],[Code]],Locaties[#All],5,FALSE)</f>
        <v>5631 KA</v>
      </c>
      <c r="E69" s="200" t="str">
        <f>VLOOKUP(Ruimtestaat[[#This Row],[Code]],Locaties[#All],6,FALSE)</f>
        <v>Eindhoven</v>
      </c>
      <c r="F69" s="213" t="s">
        <v>613</v>
      </c>
      <c r="G69" s="200" t="s">
        <v>524</v>
      </c>
      <c r="H69" s="200" t="s">
        <v>500</v>
      </c>
      <c r="I69" s="241" t="s">
        <v>514</v>
      </c>
      <c r="J69" s="200">
        <v>16</v>
      </c>
      <c r="K69" s="241" t="str">
        <f>VLOOKUP(Ruimtestaat[[#This Row],[Ruimte code]],Ruimtegroepen[#All],2,FALSE)</f>
        <v>Lokaal</v>
      </c>
      <c r="L69" s="213" t="s">
        <v>110</v>
      </c>
      <c r="M69" s="200" t="s">
        <v>277</v>
      </c>
      <c r="N69" s="212">
        <v>48</v>
      </c>
      <c r="O69" s="212"/>
      <c r="P69" s="240" t="str">
        <f>VLOOKUP(Ruimtestaat[[#This Row],[Ruimte code]],Ruimtegroepen[#All],4,FALSE)</f>
        <v>L  (Lesruimte)</v>
      </c>
      <c r="Q69" s="213">
        <v>40</v>
      </c>
      <c r="R69" s="213" t="s">
        <v>2</v>
      </c>
      <c r="S69" s="213">
        <f>IF(Q69&gt;0,IF(RIGHT(Ruimtestaat[[#This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69" s="213">
        <f>IF(S69&gt;0,VLOOKUP($J69,Ruimtegroepen[],3,FALSE)*VLOOKUP($L69,Vloersoorten[],3,FALSE)*VLOOKUP($R69,Frequenties[],3,FALSE)*VLOOKUP($A69,Locaties[],3,FALSE),0)</f>
        <v>0</v>
      </c>
      <c r="U69" s="213">
        <f>Ruimtestaat[[#This Row],[Uitvoeringen werkdagen]]*Ruimtestaat[[#This Row],[Oppervlak (netto)]]</f>
        <v>9600</v>
      </c>
      <c r="V69" s="253">
        <f>IF(T69&gt;0,Ruimtestaat[[#This Row],[Prest. (m2 /jaar) werkdagen]]/Ruimtestaat[[#This Row],[Norm (m2/uur) werkdagen]],0)</f>
        <v>0</v>
      </c>
      <c r="W69" s="254">
        <f>Ruimtestaat[[#This Row],[uren / jaar werkdagen]]*Tariefsopbouw!$D$38</f>
        <v>0</v>
      </c>
      <c r="X69" s="33"/>
      <c r="Y69" s="33">
        <f>IF(Ruimtestaat[[#This Row],[Frequentie weekend]]&gt;0,VALUE(LEFT(X69,1))*Q69,0)</f>
        <v>0</v>
      </c>
      <c r="Z69" s="33">
        <f>IF($Y69&gt;0,VLOOKUP($J69,Ruimtegroepen[],3,FALSE)*VLOOKUP($L69,Vloersoorten[],3,FALSE)*VLOOKUP($X69,Frequenties[],3,FALSE)*VLOOKUP(#REF!,Locaties[],3,FALSE),0)</f>
        <v>0</v>
      </c>
      <c r="AA69" s="33"/>
      <c r="AB69" s="33"/>
      <c r="AC69" s="33">
        <f>Ruimtestaat[[#This Row],[uren / jaar weekend]]*Tariefsopbouw!$D$40</f>
        <v>0</v>
      </c>
      <c r="AD69" s="88">
        <f>Ruimtestaat[[#This Row],[Prest. (m2 /jaar) weekend]]+Ruimtestaat[[#This Row],[Prest. (m2 /jaar) werkdagen]]</f>
        <v>9600</v>
      </c>
      <c r="AE69" s="88">
        <f>Ruimtestaat[[#This Row],[uren / jaar weekend]]+Ruimtestaat[[#This Row],[uren / jaar werkdagen]]</f>
        <v>0</v>
      </c>
      <c r="AF69" s="89">
        <f>Ruimtestaat[[#This Row],[kosten / jaar weekend]]+Ruimtestaat[[#This Row],[kosten / jaar werkdagen]]</f>
        <v>0</v>
      </c>
      <c r="AG69" s="114"/>
      <c r="HK69" s="87"/>
    </row>
    <row r="70" spans="1:219" ht="15" customHeight="1">
      <c r="A70" s="129">
        <v>1</v>
      </c>
      <c r="B70" s="21" t="str">
        <f>VLOOKUP(Ruimtestaat[[#This Row],[Code]],Locaties[#All],2,FALSE)</f>
        <v>Novalis College hoofdgebouw</v>
      </c>
      <c r="C70" s="21" t="str">
        <f>VLOOKUP(Ruimtestaat[[#This Row],[Code]],Locaties[#All],4,FALSE)</f>
        <v>Sterrenlaan 16</v>
      </c>
      <c r="D70" s="21" t="str">
        <f>VLOOKUP(Ruimtestaat[[#This Row],[Code]],Locaties[#All],5,FALSE)</f>
        <v>5631 KA</v>
      </c>
      <c r="E70" s="200" t="str">
        <f>VLOOKUP(Ruimtestaat[[#This Row],[Code]],Locaties[#All],6,FALSE)</f>
        <v>Eindhoven</v>
      </c>
      <c r="F70" s="213" t="s">
        <v>613</v>
      </c>
      <c r="G70" s="200" t="s">
        <v>524</v>
      </c>
      <c r="H70" s="200" t="s">
        <v>564</v>
      </c>
      <c r="I70" s="241" t="s">
        <v>514</v>
      </c>
      <c r="J70" s="200">
        <v>16</v>
      </c>
      <c r="K70" s="241" t="str">
        <f>VLOOKUP(Ruimtestaat[[#This Row],[Ruimte code]],Ruimtegroepen[#All],2,FALSE)</f>
        <v>Lokaal</v>
      </c>
      <c r="L70" s="213" t="s">
        <v>110</v>
      </c>
      <c r="M70" s="200" t="s">
        <v>277</v>
      </c>
      <c r="N70" s="212">
        <v>48</v>
      </c>
      <c r="O70" s="212"/>
      <c r="P70" s="240" t="str">
        <f>VLOOKUP(Ruimtestaat[[#This Row],[Ruimte code]],Ruimtegroepen[#All],4,FALSE)</f>
        <v>L  (Lesruimte)</v>
      </c>
      <c r="Q70" s="213">
        <v>40</v>
      </c>
      <c r="R70" s="213" t="s">
        <v>2</v>
      </c>
      <c r="S70" s="213">
        <f>IF(Q70&gt;0,IF(RIGHT(Ruimtestaat[[#This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0" s="213">
        <f>IF(S70&gt;0,VLOOKUP($J70,Ruimtegroepen[],3,FALSE)*VLOOKUP($L70,Vloersoorten[],3,FALSE)*VLOOKUP($R70,Frequenties[],3,FALSE)*VLOOKUP($A70,Locaties[],3,FALSE),0)</f>
        <v>0</v>
      </c>
      <c r="U70" s="213">
        <f>Ruimtestaat[[#This Row],[Uitvoeringen werkdagen]]*Ruimtestaat[[#This Row],[Oppervlak (netto)]]</f>
        <v>9600</v>
      </c>
      <c r="V70" s="253">
        <f>IF(T70&gt;0,Ruimtestaat[[#This Row],[Prest. (m2 /jaar) werkdagen]]/Ruimtestaat[[#This Row],[Norm (m2/uur) werkdagen]],0)</f>
        <v>0</v>
      </c>
      <c r="W70" s="254">
        <f>Ruimtestaat[[#This Row],[uren / jaar werkdagen]]*Tariefsopbouw!$D$38</f>
        <v>0</v>
      </c>
      <c r="X70" s="33"/>
      <c r="Y70" s="33">
        <f>IF(Ruimtestaat[[#This Row],[Frequentie weekend]]&gt;0,VALUE(LEFT(X70,1))*Q70,0)</f>
        <v>0</v>
      </c>
      <c r="Z70" s="33">
        <f>IF($Y70&gt;0,VLOOKUP($J70,Ruimtegroepen[],3,FALSE)*VLOOKUP($L70,Vloersoorten[],3,FALSE)*VLOOKUP($X70,Frequenties[],3,FALSE)*VLOOKUP(#REF!,Locaties[],3,FALSE),0)</f>
        <v>0</v>
      </c>
      <c r="AA70" s="33"/>
      <c r="AB70" s="33"/>
      <c r="AC70" s="33">
        <f>Ruimtestaat[[#This Row],[uren / jaar weekend]]*Tariefsopbouw!$D$40</f>
        <v>0</v>
      </c>
      <c r="AD70" s="88">
        <f>Ruimtestaat[[#This Row],[Prest. (m2 /jaar) weekend]]+Ruimtestaat[[#This Row],[Prest. (m2 /jaar) werkdagen]]</f>
        <v>9600</v>
      </c>
      <c r="AE70" s="88">
        <f>Ruimtestaat[[#This Row],[uren / jaar weekend]]+Ruimtestaat[[#This Row],[uren / jaar werkdagen]]</f>
        <v>0</v>
      </c>
      <c r="AF70" s="89">
        <f>Ruimtestaat[[#This Row],[kosten / jaar weekend]]+Ruimtestaat[[#This Row],[kosten / jaar werkdagen]]</f>
        <v>0</v>
      </c>
      <c r="AG70" s="114"/>
      <c r="HK70" s="87"/>
    </row>
    <row r="71" spans="1:219" ht="15" customHeight="1">
      <c r="A71" s="129">
        <v>1</v>
      </c>
      <c r="B71" s="21" t="str">
        <f>VLOOKUP(Ruimtestaat[[#This Row],[Code]],Locaties[#All],2,FALSE)</f>
        <v>Novalis College hoofdgebouw</v>
      </c>
      <c r="C71" s="21" t="str">
        <f>VLOOKUP(Ruimtestaat[[#This Row],[Code]],Locaties[#All],4,FALSE)</f>
        <v>Sterrenlaan 16</v>
      </c>
      <c r="D71" s="21" t="str">
        <f>VLOOKUP(Ruimtestaat[[#This Row],[Code]],Locaties[#All],5,FALSE)</f>
        <v>5631 KA</v>
      </c>
      <c r="E71" s="200" t="str">
        <f>VLOOKUP(Ruimtestaat[[#This Row],[Code]],Locaties[#All],6,FALSE)</f>
        <v>Eindhoven</v>
      </c>
      <c r="F71" s="213" t="s">
        <v>613</v>
      </c>
      <c r="G71" s="200" t="s">
        <v>524</v>
      </c>
      <c r="H71" s="200" t="s">
        <v>565</v>
      </c>
      <c r="I71" s="241" t="s">
        <v>507</v>
      </c>
      <c r="J71" s="200">
        <v>11</v>
      </c>
      <c r="K71" s="241" t="str">
        <f>VLOOKUP(Ruimtestaat[[#This Row],[Ruimte code]],Ruimtegroepen[#All],2,FALSE)</f>
        <v>Handvaardigheidlokaal</v>
      </c>
      <c r="L71" s="213" t="s">
        <v>110</v>
      </c>
      <c r="M71" s="200" t="s">
        <v>277</v>
      </c>
      <c r="N71" s="212">
        <v>63</v>
      </c>
      <c r="O71" s="212"/>
      <c r="P71" s="240" t="str">
        <f>VLOOKUP(Ruimtestaat[[#This Row],[Ruimte code]],Ruimtegroepen[#All],4,FALSE)</f>
        <v>L  (Lesruimte)</v>
      </c>
      <c r="Q71" s="213">
        <v>40</v>
      </c>
      <c r="R71" s="213" t="s">
        <v>2</v>
      </c>
      <c r="S71" s="213">
        <f>IF(Q71&gt;0,IF(RIGHT(Ruimtestaat[[#This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1" s="213">
        <f>IF(S71&gt;0,VLOOKUP($J71,Ruimtegroepen[],3,FALSE)*VLOOKUP($L71,Vloersoorten[],3,FALSE)*VLOOKUP($R71,Frequenties[],3,FALSE)*VLOOKUP($A71,Locaties[],3,FALSE),0)</f>
        <v>0</v>
      </c>
      <c r="U71" s="213">
        <f>Ruimtestaat[[#This Row],[Uitvoeringen werkdagen]]*Ruimtestaat[[#This Row],[Oppervlak (netto)]]</f>
        <v>12600</v>
      </c>
      <c r="V71" s="253">
        <f>IF(T71&gt;0,Ruimtestaat[[#This Row],[Prest. (m2 /jaar) werkdagen]]/Ruimtestaat[[#This Row],[Norm (m2/uur) werkdagen]],0)</f>
        <v>0</v>
      </c>
      <c r="W71" s="254">
        <f>Ruimtestaat[[#This Row],[uren / jaar werkdagen]]*Tariefsopbouw!$D$38</f>
        <v>0</v>
      </c>
      <c r="X71" s="33"/>
      <c r="Y71" s="33">
        <f>IF(Ruimtestaat[[#This Row],[Frequentie weekend]]&gt;0,VALUE(LEFT(X71,1))*Q71,0)</f>
        <v>0</v>
      </c>
      <c r="Z71" s="33">
        <f>IF($Y71&gt;0,VLOOKUP($J71,Ruimtegroepen[],3,FALSE)*VLOOKUP($L71,Vloersoorten[],3,FALSE)*VLOOKUP($X71,Frequenties[],3,FALSE)*VLOOKUP(#REF!,Locaties[],3,FALSE),0)</f>
        <v>0</v>
      </c>
      <c r="AA71" s="33"/>
      <c r="AB71" s="33"/>
      <c r="AC71" s="33">
        <f>Ruimtestaat[[#This Row],[uren / jaar weekend]]*Tariefsopbouw!$D$40</f>
        <v>0</v>
      </c>
      <c r="AD71" s="88">
        <f>Ruimtestaat[[#This Row],[Prest. (m2 /jaar) weekend]]+Ruimtestaat[[#This Row],[Prest. (m2 /jaar) werkdagen]]</f>
        <v>12600</v>
      </c>
      <c r="AE71" s="88">
        <f>Ruimtestaat[[#This Row],[uren / jaar weekend]]+Ruimtestaat[[#This Row],[uren / jaar werkdagen]]</f>
        <v>0</v>
      </c>
      <c r="AF71" s="89">
        <f>Ruimtestaat[[#This Row],[kosten / jaar weekend]]+Ruimtestaat[[#This Row],[kosten / jaar werkdagen]]</f>
        <v>0</v>
      </c>
      <c r="AG71" s="114"/>
      <c r="HK71" s="87"/>
    </row>
    <row r="72" spans="1:219" ht="15" customHeight="1">
      <c r="A72" s="129">
        <v>1</v>
      </c>
      <c r="B72" s="21" t="str">
        <f>VLOOKUP(Ruimtestaat[[#This Row],[Code]],Locaties[#All],2,FALSE)</f>
        <v>Novalis College hoofdgebouw</v>
      </c>
      <c r="C72" s="21" t="str">
        <f>VLOOKUP(Ruimtestaat[[#This Row],[Code]],Locaties[#All],4,FALSE)</f>
        <v>Sterrenlaan 16</v>
      </c>
      <c r="D72" s="21" t="str">
        <f>VLOOKUP(Ruimtestaat[[#This Row],[Code]],Locaties[#All],5,FALSE)</f>
        <v>5631 KA</v>
      </c>
      <c r="E72" s="200" t="str">
        <f>VLOOKUP(Ruimtestaat[[#This Row],[Code]],Locaties[#All],6,FALSE)</f>
        <v>Eindhoven</v>
      </c>
      <c r="F72" s="213" t="s">
        <v>613</v>
      </c>
      <c r="G72" s="200" t="s">
        <v>524</v>
      </c>
      <c r="H72" s="200" t="s">
        <v>566</v>
      </c>
      <c r="I72" s="241" t="s">
        <v>567</v>
      </c>
      <c r="J72" s="200">
        <v>11</v>
      </c>
      <c r="K72" s="241" t="str">
        <f>VLOOKUP(Ruimtestaat[[#This Row],[Ruimte code]],Ruimtegroepen[#All],2,FALSE)</f>
        <v>Handvaardigheidlokaal</v>
      </c>
      <c r="L72" s="240" t="s">
        <v>111</v>
      </c>
      <c r="M72" s="200" t="s">
        <v>551</v>
      </c>
      <c r="N72" s="212">
        <v>63</v>
      </c>
      <c r="O72" s="212"/>
      <c r="P72" s="240" t="str">
        <f>VLOOKUP(Ruimtestaat[[#This Row],[Ruimte code]],Ruimtegroepen[#All],4,FALSE)</f>
        <v>L  (Lesruimte)</v>
      </c>
      <c r="Q72" s="213">
        <v>40</v>
      </c>
      <c r="R72" s="213" t="s">
        <v>2</v>
      </c>
      <c r="S72" s="213">
        <f>IF(Q72&gt;0,IF(RIGHT(Ruimtestaat[[#This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2" s="213">
        <f>IF(S72&gt;0,VLOOKUP($J72,Ruimtegroepen[],3,FALSE)*VLOOKUP($L72,Vloersoorten[],3,FALSE)*VLOOKUP($R72,Frequenties[],3,FALSE)*VLOOKUP($A72,Locaties[],3,FALSE),0)</f>
        <v>0</v>
      </c>
      <c r="U72" s="213">
        <f>Ruimtestaat[[#This Row],[Uitvoeringen werkdagen]]*Ruimtestaat[[#This Row],[Oppervlak (netto)]]</f>
        <v>12600</v>
      </c>
      <c r="V72" s="253">
        <f>IF(T72&gt;0,Ruimtestaat[[#This Row],[Prest. (m2 /jaar) werkdagen]]/Ruimtestaat[[#This Row],[Norm (m2/uur) werkdagen]],0)</f>
        <v>0</v>
      </c>
      <c r="W72" s="254">
        <f>Ruimtestaat[[#This Row],[uren / jaar werkdagen]]*Tariefsopbouw!$D$38</f>
        <v>0</v>
      </c>
      <c r="X72" s="33"/>
      <c r="Y72" s="33">
        <f>IF(Ruimtestaat[[#This Row],[Frequentie weekend]]&gt;0,VALUE(LEFT(X72,1))*Q72,0)</f>
        <v>0</v>
      </c>
      <c r="Z72" s="33">
        <f>IF($Y72&gt;0,VLOOKUP($J72,Ruimtegroepen[],3,FALSE)*VLOOKUP($L72,Vloersoorten[],3,FALSE)*VLOOKUP($X72,Frequenties[],3,FALSE)*VLOOKUP(#REF!,Locaties[],3,FALSE),0)</f>
        <v>0</v>
      </c>
      <c r="AA72" s="33"/>
      <c r="AB72" s="33"/>
      <c r="AC72" s="33">
        <f>Ruimtestaat[[#This Row],[uren / jaar weekend]]*Tariefsopbouw!$D$40</f>
        <v>0</v>
      </c>
      <c r="AD72" s="88">
        <f>Ruimtestaat[[#This Row],[Prest. (m2 /jaar) weekend]]+Ruimtestaat[[#This Row],[Prest. (m2 /jaar) werkdagen]]</f>
        <v>12600</v>
      </c>
      <c r="AE72" s="88">
        <f>Ruimtestaat[[#This Row],[uren / jaar weekend]]+Ruimtestaat[[#This Row],[uren / jaar werkdagen]]</f>
        <v>0</v>
      </c>
      <c r="AF72" s="89">
        <f>Ruimtestaat[[#This Row],[kosten / jaar weekend]]+Ruimtestaat[[#This Row],[kosten / jaar werkdagen]]</f>
        <v>0</v>
      </c>
      <c r="AG72" s="114"/>
      <c r="HK72" s="87"/>
    </row>
    <row r="73" spans="1:219" ht="15" customHeight="1">
      <c r="A73" s="129">
        <v>1</v>
      </c>
      <c r="B73" s="21" t="str">
        <f>VLOOKUP(Ruimtestaat[[#This Row],[Code]],Locaties[#All],2,FALSE)</f>
        <v>Novalis College hoofdgebouw</v>
      </c>
      <c r="C73" s="21" t="str">
        <f>VLOOKUP(Ruimtestaat[[#This Row],[Code]],Locaties[#All],4,FALSE)</f>
        <v>Sterrenlaan 16</v>
      </c>
      <c r="D73" s="21" t="str">
        <f>VLOOKUP(Ruimtestaat[[#This Row],[Code]],Locaties[#All],5,FALSE)</f>
        <v>5631 KA</v>
      </c>
      <c r="E73" s="200" t="str">
        <f>VLOOKUP(Ruimtestaat[[#This Row],[Code]],Locaties[#All],6,FALSE)</f>
        <v>Eindhoven</v>
      </c>
      <c r="F73" s="213" t="s">
        <v>613</v>
      </c>
      <c r="G73" s="200" t="s">
        <v>524</v>
      </c>
      <c r="H73" s="200" t="s">
        <v>568</v>
      </c>
      <c r="I73" s="241" t="s">
        <v>569</v>
      </c>
      <c r="J73" s="200">
        <v>4</v>
      </c>
      <c r="K73" s="241" t="str">
        <f>VLOOKUP(Ruimtestaat[[#This Row],[Ruimte code]],Ruimtegroepen[#All],2,FALSE)</f>
        <v>Vergader/spreekkamers</v>
      </c>
      <c r="L73" s="213" t="s">
        <v>110</v>
      </c>
      <c r="M73" s="200" t="s">
        <v>277</v>
      </c>
      <c r="N73" s="212">
        <v>24</v>
      </c>
      <c r="O73" s="212"/>
      <c r="P73" s="240" t="str">
        <f>VLOOKUP(Ruimtestaat[[#This Row],[Ruimte code]],Ruimtegroepen[#All],4,FALSE)</f>
        <v>B  (Bureauruimte)</v>
      </c>
      <c r="Q73" s="213">
        <v>40</v>
      </c>
      <c r="R73" s="213" t="s">
        <v>18</v>
      </c>
      <c r="S73" s="213">
        <f>IF(Q73&gt;0,IF(RIGHT(Ruimtestaat[[#This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73" s="213">
        <f>IF(S73&gt;0,VLOOKUP($J73,Ruimtegroepen[],3,FALSE)*VLOOKUP($L73,Vloersoorten[],3,FALSE)*VLOOKUP($R73,Frequenties[],3,FALSE)*VLOOKUP($A73,Locaties[],3,FALSE),0)</f>
        <v>0</v>
      </c>
      <c r="U73" s="213">
        <f>Ruimtestaat[[#This Row],[Uitvoeringen werkdagen]]*Ruimtestaat[[#This Row],[Oppervlak (netto)]]</f>
        <v>2880</v>
      </c>
      <c r="V73" s="253">
        <f>IF(T73&gt;0,Ruimtestaat[[#This Row],[Prest. (m2 /jaar) werkdagen]]/Ruimtestaat[[#This Row],[Norm (m2/uur) werkdagen]],0)</f>
        <v>0</v>
      </c>
      <c r="W73" s="254">
        <f>Ruimtestaat[[#This Row],[uren / jaar werkdagen]]*Tariefsopbouw!$D$38</f>
        <v>0</v>
      </c>
      <c r="X73" s="33"/>
      <c r="Y73" s="33">
        <f>IF(Ruimtestaat[[#This Row],[Frequentie weekend]]&gt;0,VALUE(LEFT(X73,1))*Q73,0)</f>
        <v>0</v>
      </c>
      <c r="Z73" s="33">
        <f>IF($Y73&gt;0,VLOOKUP($J73,Ruimtegroepen[],3,FALSE)*VLOOKUP($L73,Vloersoorten[],3,FALSE)*VLOOKUP($X73,Frequenties[],3,FALSE)*VLOOKUP(#REF!,Locaties[],3,FALSE),0)</f>
        <v>0</v>
      </c>
      <c r="AA73" s="33"/>
      <c r="AB73" s="33"/>
      <c r="AC73" s="33">
        <f>Ruimtestaat[[#This Row],[uren / jaar weekend]]*Tariefsopbouw!$D$40</f>
        <v>0</v>
      </c>
      <c r="AD73" s="88">
        <f>Ruimtestaat[[#This Row],[Prest. (m2 /jaar) weekend]]+Ruimtestaat[[#This Row],[Prest. (m2 /jaar) werkdagen]]</f>
        <v>2880</v>
      </c>
      <c r="AE73" s="88">
        <f>Ruimtestaat[[#This Row],[uren / jaar weekend]]+Ruimtestaat[[#This Row],[uren / jaar werkdagen]]</f>
        <v>0</v>
      </c>
      <c r="AF73" s="89">
        <f>Ruimtestaat[[#This Row],[kosten / jaar weekend]]+Ruimtestaat[[#This Row],[kosten / jaar werkdagen]]</f>
        <v>0</v>
      </c>
      <c r="AG73" s="114"/>
      <c r="HK73" s="87"/>
    </row>
    <row r="74" spans="1:219" ht="15" customHeight="1">
      <c r="A74" s="129">
        <v>1</v>
      </c>
      <c r="B74" s="21" t="str">
        <f>VLOOKUP(Ruimtestaat[[#This Row],[Code]],Locaties[#All],2,FALSE)</f>
        <v>Novalis College hoofdgebouw</v>
      </c>
      <c r="C74" s="21" t="str">
        <f>VLOOKUP(Ruimtestaat[[#This Row],[Code]],Locaties[#All],4,FALSE)</f>
        <v>Sterrenlaan 16</v>
      </c>
      <c r="D74" s="21" t="str">
        <f>VLOOKUP(Ruimtestaat[[#This Row],[Code]],Locaties[#All],5,FALSE)</f>
        <v>5631 KA</v>
      </c>
      <c r="E74" s="200" t="str">
        <f>VLOOKUP(Ruimtestaat[[#This Row],[Code]],Locaties[#All],6,FALSE)</f>
        <v>Eindhoven</v>
      </c>
      <c r="F74" s="213" t="s">
        <v>613</v>
      </c>
      <c r="G74" s="200" t="s">
        <v>524</v>
      </c>
      <c r="H74" s="200" t="s">
        <v>570</v>
      </c>
      <c r="I74" s="241" t="s">
        <v>571</v>
      </c>
      <c r="J74" s="200">
        <v>13</v>
      </c>
      <c r="K74" s="241" t="str">
        <f>VLOOKUP(Ruimtestaat[[#This Row],[Ruimte code]],Ruimtegroepen[#All],2,FALSE)</f>
        <v>Praktijklokalen</v>
      </c>
      <c r="L74" s="213" t="s">
        <v>110</v>
      </c>
      <c r="M74" s="200" t="s">
        <v>277</v>
      </c>
      <c r="N74" s="212">
        <v>63</v>
      </c>
      <c r="O74" s="212"/>
      <c r="P74" s="240" t="str">
        <f>VLOOKUP(Ruimtestaat[[#This Row],[Ruimte code]],Ruimtegroepen[#All],4,FALSE)</f>
        <v>L  (Lesruimte)</v>
      </c>
      <c r="Q74" s="213">
        <v>40</v>
      </c>
      <c r="R74" s="213" t="s">
        <v>2</v>
      </c>
      <c r="S74" s="213">
        <f>IF(Q74&gt;0,IF(RIGHT(Ruimtestaat[[#This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4" s="213">
        <f>IF(S74&gt;0,VLOOKUP($J74,Ruimtegroepen[],3,FALSE)*VLOOKUP($L74,Vloersoorten[],3,FALSE)*VLOOKUP($R74,Frequenties[],3,FALSE)*VLOOKUP($A74,Locaties[],3,FALSE),0)</f>
        <v>0</v>
      </c>
      <c r="U74" s="213">
        <f>Ruimtestaat[[#This Row],[Uitvoeringen werkdagen]]*Ruimtestaat[[#This Row],[Oppervlak (netto)]]</f>
        <v>12600</v>
      </c>
      <c r="V74" s="253">
        <f>IF(T74&gt;0,Ruimtestaat[[#This Row],[Prest. (m2 /jaar) werkdagen]]/Ruimtestaat[[#This Row],[Norm (m2/uur) werkdagen]],0)</f>
        <v>0</v>
      </c>
      <c r="W74" s="254">
        <f>Ruimtestaat[[#This Row],[uren / jaar werkdagen]]*Tariefsopbouw!$D$38</f>
        <v>0</v>
      </c>
      <c r="X74" s="33"/>
      <c r="Y74" s="33">
        <f>IF(Ruimtestaat[[#This Row],[Frequentie weekend]]&gt;0,VALUE(LEFT(X74,1))*Q74,0)</f>
        <v>0</v>
      </c>
      <c r="Z74" s="33">
        <f>IF($Y74&gt;0,VLOOKUP($J74,Ruimtegroepen[],3,FALSE)*VLOOKUP($L74,Vloersoorten[],3,FALSE)*VLOOKUP($X74,Frequenties[],3,FALSE)*VLOOKUP(#REF!,Locaties[],3,FALSE),0)</f>
        <v>0</v>
      </c>
      <c r="AA74" s="33"/>
      <c r="AB74" s="33"/>
      <c r="AC74" s="33">
        <f>Ruimtestaat[[#This Row],[uren / jaar weekend]]*Tariefsopbouw!$D$40</f>
        <v>0</v>
      </c>
      <c r="AD74" s="88">
        <f>Ruimtestaat[[#This Row],[Prest. (m2 /jaar) weekend]]+Ruimtestaat[[#This Row],[Prest. (m2 /jaar) werkdagen]]</f>
        <v>12600</v>
      </c>
      <c r="AE74" s="88">
        <f>Ruimtestaat[[#This Row],[uren / jaar weekend]]+Ruimtestaat[[#This Row],[uren / jaar werkdagen]]</f>
        <v>0</v>
      </c>
      <c r="AF74" s="89">
        <f>Ruimtestaat[[#This Row],[kosten / jaar weekend]]+Ruimtestaat[[#This Row],[kosten / jaar werkdagen]]</f>
        <v>0</v>
      </c>
      <c r="AG74" s="114"/>
      <c r="HK74" s="87"/>
    </row>
    <row r="75" spans="1:219" ht="15" customHeight="1">
      <c r="A75" s="129">
        <v>1</v>
      </c>
      <c r="B75" s="21" t="str">
        <f>VLOOKUP(Ruimtestaat[[#This Row],[Code]],Locaties[#All],2,FALSE)</f>
        <v>Novalis College hoofdgebouw</v>
      </c>
      <c r="C75" s="21" t="str">
        <f>VLOOKUP(Ruimtestaat[[#This Row],[Code]],Locaties[#All],4,FALSE)</f>
        <v>Sterrenlaan 16</v>
      </c>
      <c r="D75" s="21" t="str">
        <f>VLOOKUP(Ruimtestaat[[#This Row],[Code]],Locaties[#All],5,FALSE)</f>
        <v>5631 KA</v>
      </c>
      <c r="E75" s="200" t="str">
        <f>VLOOKUP(Ruimtestaat[[#This Row],[Code]],Locaties[#All],6,FALSE)</f>
        <v>Eindhoven</v>
      </c>
      <c r="F75" s="213" t="s">
        <v>613</v>
      </c>
      <c r="G75" s="200" t="s">
        <v>525</v>
      </c>
      <c r="H75" s="200" t="s">
        <v>572</v>
      </c>
      <c r="I75" s="241" t="s">
        <v>386</v>
      </c>
      <c r="J75" s="213">
        <v>6</v>
      </c>
      <c r="K75" s="241" t="str">
        <f>VLOOKUP(Ruimtestaat[[#This Row],[Ruimte code]],Ruimtegroepen[#All],2,FALSE)</f>
        <v>Gangen/hallen</v>
      </c>
      <c r="L75" s="213" t="s">
        <v>110</v>
      </c>
      <c r="M75" s="200" t="s">
        <v>277</v>
      </c>
      <c r="N75" s="212">
        <v>99</v>
      </c>
      <c r="O75" s="212"/>
      <c r="P75" s="240" t="str">
        <f>VLOOKUP(Ruimtestaat[[#This Row],[Ruimte code]],Ruimtegroepen[#All],4,FALSE)</f>
        <v>V  (Verkeersruimte)</v>
      </c>
      <c r="Q75" s="213">
        <v>40</v>
      </c>
      <c r="R75" s="213" t="s">
        <v>2</v>
      </c>
      <c r="S75" s="213">
        <f>IF(Q75&gt;0,IF(RIGHT(Ruimtestaat[[#This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5" s="213">
        <f>IF(S75&gt;0,VLOOKUP($J75,Ruimtegroepen[],3,FALSE)*VLOOKUP($L75,Vloersoorten[],3,FALSE)*VLOOKUP($R75,Frequenties[],3,FALSE)*VLOOKUP($A75,Locaties[],3,FALSE),0)</f>
        <v>0</v>
      </c>
      <c r="U75" s="213">
        <f>Ruimtestaat[[#This Row],[Uitvoeringen werkdagen]]*Ruimtestaat[[#This Row],[Oppervlak (netto)]]</f>
        <v>19800</v>
      </c>
      <c r="V75" s="253">
        <f>IF(T75&gt;0,Ruimtestaat[[#This Row],[Prest. (m2 /jaar) werkdagen]]/Ruimtestaat[[#This Row],[Norm (m2/uur) werkdagen]],0)</f>
        <v>0</v>
      </c>
      <c r="W75" s="254">
        <f>Ruimtestaat[[#This Row],[uren / jaar werkdagen]]*Tariefsopbouw!$D$38</f>
        <v>0</v>
      </c>
      <c r="X75" s="33"/>
      <c r="Y75" s="33">
        <f>IF(Ruimtestaat[[#This Row],[Frequentie weekend]]&gt;0,VALUE(LEFT(X75,1))*Q75,0)</f>
        <v>0</v>
      </c>
      <c r="Z75" s="33">
        <f>IF($Y75&gt;0,VLOOKUP($J75,Ruimtegroepen[],3,FALSE)*VLOOKUP($L75,Vloersoorten[],3,FALSE)*VLOOKUP($X75,Frequenties[],3,FALSE)*VLOOKUP(#REF!,Locaties[],3,FALSE),0)</f>
        <v>0</v>
      </c>
      <c r="AA75" s="33"/>
      <c r="AB75" s="33"/>
      <c r="AC75" s="33">
        <f>Ruimtestaat[[#This Row],[uren / jaar weekend]]*Tariefsopbouw!$D$40</f>
        <v>0</v>
      </c>
      <c r="AD75" s="88">
        <f>Ruimtestaat[[#This Row],[Prest. (m2 /jaar) weekend]]+Ruimtestaat[[#This Row],[Prest. (m2 /jaar) werkdagen]]</f>
        <v>19800</v>
      </c>
      <c r="AE75" s="88">
        <f>Ruimtestaat[[#This Row],[uren / jaar weekend]]+Ruimtestaat[[#This Row],[uren / jaar werkdagen]]</f>
        <v>0</v>
      </c>
      <c r="AF75" s="89">
        <f>Ruimtestaat[[#This Row],[kosten / jaar weekend]]+Ruimtestaat[[#This Row],[kosten / jaar werkdagen]]</f>
        <v>0</v>
      </c>
      <c r="AG75" s="114"/>
      <c r="HK75" s="87"/>
    </row>
    <row r="76" spans="1:219" ht="15" customHeight="1">
      <c r="A76" s="129">
        <v>1</v>
      </c>
      <c r="B76" s="21" t="str">
        <f>VLOOKUP(Ruimtestaat[[#This Row],[Code]],Locaties[#All],2,FALSE)</f>
        <v>Novalis College hoofdgebouw</v>
      </c>
      <c r="C76" s="21" t="str">
        <f>VLOOKUP(Ruimtestaat[[#This Row],[Code]],Locaties[#All],4,FALSE)</f>
        <v>Sterrenlaan 16</v>
      </c>
      <c r="D76" s="21" t="str">
        <f>VLOOKUP(Ruimtestaat[[#This Row],[Code]],Locaties[#All],5,FALSE)</f>
        <v>5631 KA</v>
      </c>
      <c r="E76" s="200" t="str">
        <f>VLOOKUP(Ruimtestaat[[#This Row],[Code]],Locaties[#All],6,FALSE)</f>
        <v>Eindhoven</v>
      </c>
      <c r="F76" s="213" t="s">
        <v>613</v>
      </c>
      <c r="G76" s="200" t="s">
        <v>525</v>
      </c>
      <c r="H76" s="200" t="s">
        <v>573</v>
      </c>
      <c r="I76" s="241" t="s">
        <v>386</v>
      </c>
      <c r="J76" s="213">
        <v>6</v>
      </c>
      <c r="K76" s="241" t="str">
        <f>VLOOKUP(Ruimtestaat[[#This Row],[Ruimte code]],Ruimtegroepen[#All],2,FALSE)</f>
        <v>Gangen/hallen</v>
      </c>
      <c r="L76" s="213" t="s">
        <v>110</v>
      </c>
      <c r="M76" s="200" t="s">
        <v>277</v>
      </c>
      <c r="N76" s="212">
        <v>26</v>
      </c>
      <c r="O76" s="212"/>
      <c r="P76" s="240" t="str">
        <f>VLOOKUP(Ruimtestaat[[#This Row],[Ruimte code]],Ruimtegroepen[#All],4,FALSE)</f>
        <v>V  (Verkeersruimte)</v>
      </c>
      <c r="Q76" s="213">
        <v>40</v>
      </c>
      <c r="R76" s="213" t="s">
        <v>2</v>
      </c>
      <c r="S76" s="213">
        <f>IF(Q76&gt;0,IF(RIGHT(Ruimtestaat[[#This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6" s="213">
        <f>IF(S76&gt;0,VLOOKUP($J76,Ruimtegroepen[],3,FALSE)*VLOOKUP($L76,Vloersoorten[],3,FALSE)*VLOOKUP($R76,Frequenties[],3,FALSE)*VLOOKUP($A76,Locaties[],3,FALSE),0)</f>
        <v>0</v>
      </c>
      <c r="U76" s="213">
        <f>Ruimtestaat[[#This Row],[Uitvoeringen werkdagen]]*Ruimtestaat[[#This Row],[Oppervlak (netto)]]</f>
        <v>5200</v>
      </c>
      <c r="V76" s="253">
        <f>IF(T76&gt;0,Ruimtestaat[[#This Row],[Prest. (m2 /jaar) werkdagen]]/Ruimtestaat[[#This Row],[Norm (m2/uur) werkdagen]],0)</f>
        <v>0</v>
      </c>
      <c r="W76" s="254">
        <f>Ruimtestaat[[#This Row],[uren / jaar werkdagen]]*Tariefsopbouw!$D$38</f>
        <v>0</v>
      </c>
      <c r="X76" s="33"/>
      <c r="Y76" s="33">
        <f>IF(Ruimtestaat[[#This Row],[Frequentie weekend]]&gt;0,VALUE(LEFT(X76,1))*Q76,0)</f>
        <v>0</v>
      </c>
      <c r="Z76" s="33">
        <f>IF($Y76&gt;0,VLOOKUP($J76,Ruimtegroepen[],3,FALSE)*VLOOKUP($L76,Vloersoorten[],3,FALSE)*VLOOKUP($X76,Frequenties[],3,FALSE)*VLOOKUP(#REF!,Locaties[],3,FALSE),0)</f>
        <v>0</v>
      </c>
      <c r="AA76" s="33"/>
      <c r="AB76" s="33"/>
      <c r="AC76" s="33">
        <f>Ruimtestaat[[#This Row],[uren / jaar weekend]]*Tariefsopbouw!$D$40</f>
        <v>0</v>
      </c>
      <c r="AD76" s="88">
        <f>Ruimtestaat[[#This Row],[Prest. (m2 /jaar) weekend]]+Ruimtestaat[[#This Row],[Prest. (m2 /jaar) werkdagen]]</f>
        <v>5200</v>
      </c>
      <c r="AE76" s="88">
        <f>Ruimtestaat[[#This Row],[uren / jaar weekend]]+Ruimtestaat[[#This Row],[uren / jaar werkdagen]]</f>
        <v>0</v>
      </c>
      <c r="AF76" s="89">
        <f>Ruimtestaat[[#This Row],[kosten / jaar weekend]]+Ruimtestaat[[#This Row],[kosten / jaar werkdagen]]</f>
        <v>0</v>
      </c>
      <c r="AG76" s="114"/>
      <c r="HK76" s="87"/>
    </row>
    <row r="77" spans="1:219" ht="15" customHeight="1">
      <c r="A77" s="129">
        <v>1</v>
      </c>
      <c r="B77" s="21" t="str">
        <f>VLOOKUP(Ruimtestaat[[#This Row],[Code]],Locaties[#All],2,FALSE)</f>
        <v>Novalis College hoofdgebouw</v>
      </c>
      <c r="C77" s="21" t="str">
        <f>VLOOKUP(Ruimtestaat[[#This Row],[Code]],Locaties[#All],4,FALSE)</f>
        <v>Sterrenlaan 16</v>
      </c>
      <c r="D77" s="21" t="str">
        <f>VLOOKUP(Ruimtestaat[[#This Row],[Code]],Locaties[#All],5,FALSE)</f>
        <v>5631 KA</v>
      </c>
      <c r="E77" s="200" t="str">
        <f>VLOOKUP(Ruimtestaat[[#This Row],[Code]],Locaties[#All],6,FALSE)</f>
        <v>Eindhoven</v>
      </c>
      <c r="F77" s="213" t="s">
        <v>613</v>
      </c>
      <c r="G77" s="200" t="s">
        <v>525</v>
      </c>
      <c r="H77" s="200" t="s">
        <v>574</v>
      </c>
      <c r="I77" s="241" t="s">
        <v>575</v>
      </c>
      <c r="J77" s="200">
        <v>10</v>
      </c>
      <c r="K77" s="241" t="str">
        <f>VLOOKUP(Ruimtestaat[[#This Row],[Ruimte code]],Ruimtegroepen[#All],2,FALSE)</f>
        <v>Trappenhuizen/lift</v>
      </c>
      <c r="L77" s="240" t="s">
        <v>762</v>
      </c>
      <c r="M77" s="200" t="s">
        <v>550</v>
      </c>
      <c r="N77" s="212">
        <v>12</v>
      </c>
      <c r="O77" s="212"/>
      <c r="P77" s="240" t="str">
        <f>VLOOKUP(Ruimtestaat[[#This Row],[Ruimte code]],Ruimtegroepen[#All],4,FALSE)</f>
        <v>V  (Verkeersruimte)</v>
      </c>
      <c r="Q77" s="213">
        <v>40</v>
      </c>
      <c r="R77" s="213" t="s">
        <v>2</v>
      </c>
      <c r="S77" s="213">
        <f>IF(Q77&gt;0,IF(RIGHT(Ruimtestaat[[#This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77" s="213">
        <f>IF(S77&gt;0,VLOOKUP($J77,Ruimtegroepen[],3,FALSE)*VLOOKUP($L77,Vloersoorten[],3,FALSE)*VLOOKUP($R77,Frequenties[],3,FALSE)*VLOOKUP($A77,Locaties[],3,FALSE),0)</f>
        <v>0</v>
      </c>
      <c r="U77" s="213">
        <f>Ruimtestaat[[#This Row],[Uitvoeringen werkdagen]]*Ruimtestaat[[#This Row],[Oppervlak (netto)]]</f>
        <v>2400</v>
      </c>
      <c r="V77" s="253">
        <f>IF(T77&gt;0,Ruimtestaat[[#This Row],[Prest. (m2 /jaar) werkdagen]]/Ruimtestaat[[#This Row],[Norm (m2/uur) werkdagen]],0)</f>
        <v>0</v>
      </c>
      <c r="W77" s="254">
        <f>Ruimtestaat[[#This Row],[uren / jaar werkdagen]]*Tariefsopbouw!$D$38</f>
        <v>0</v>
      </c>
      <c r="X77" s="33"/>
      <c r="Y77" s="33">
        <f>IF(Ruimtestaat[[#This Row],[Frequentie weekend]]&gt;0,VALUE(LEFT(X77,1))*Q77,0)</f>
        <v>0</v>
      </c>
      <c r="Z77" s="33">
        <f>IF($Y77&gt;0,VLOOKUP($J77,Ruimtegroepen[],3,FALSE)*VLOOKUP($L77,Vloersoorten[],3,FALSE)*VLOOKUP($X77,Frequenties[],3,FALSE)*VLOOKUP(#REF!,Locaties[],3,FALSE),0)</f>
        <v>0</v>
      </c>
      <c r="AA77" s="33"/>
      <c r="AB77" s="33"/>
      <c r="AC77" s="33">
        <f>Ruimtestaat[[#This Row],[uren / jaar weekend]]*Tariefsopbouw!$D$40</f>
        <v>0</v>
      </c>
      <c r="AD77" s="88">
        <f>Ruimtestaat[[#This Row],[Prest. (m2 /jaar) weekend]]+Ruimtestaat[[#This Row],[Prest. (m2 /jaar) werkdagen]]</f>
        <v>2400</v>
      </c>
      <c r="AE77" s="88">
        <f>Ruimtestaat[[#This Row],[uren / jaar weekend]]+Ruimtestaat[[#This Row],[uren / jaar werkdagen]]</f>
        <v>0</v>
      </c>
      <c r="AF77" s="89">
        <f>Ruimtestaat[[#This Row],[kosten / jaar weekend]]+Ruimtestaat[[#This Row],[kosten / jaar werkdagen]]</f>
        <v>0</v>
      </c>
      <c r="AG77" s="114"/>
      <c r="HK77" s="87"/>
    </row>
    <row r="78" spans="1:219" ht="15" customHeight="1">
      <c r="A78" s="129">
        <v>1</v>
      </c>
      <c r="B78" s="21" t="str">
        <f>VLOOKUP(Ruimtestaat[[#This Row],[Code]],Locaties[#All],2,FALSE)</f>
        <v>Novalis College hoofdgebouw</v>
      </c>
      <c r="C78" s="21" t="str">
        <f>VLOOKUP(Ruimtestaat[[#This Row],[Code]],Locaties[#All],4,FALSE)</f>
        <v>Sterrenlaan 16</v>
      </c>
      <c r="D78" s="21" t="str">
        <f>VLOOKUP(Ruimtestaat[[#This Row],[Code]],Locaties[#All],5,FALSE)</f>
        <v>5631 KA</v>
      </c>
      <c r="E78" s="200" t="str">
        <f>VLOOKUP(Ruimtestaat[[#This Row],[Code]],Locaties[#All],6,FALSE)</f>
        <v>Eindhoven</v>
      </c>
      <c r="F78" s="213" t="s">
        <v>613</v>
      </c>
      <c r="G78" s="200" t="s">
        <v>525</v>
      </c>
      <c r="H78" s="200" t="s">
        <v>576</v>
      </c>
      <c r="I78" s="241" t="s">
        <v>529</v>
      </c>
      <c r="J78" s="200">
        <v>5</v>
      </c>
      <c r="K78" s="241" t="str">
        <f>VLOOKUP(Ruimtestaat[[#This Row],[Ruimte code]],Ruimtegroepen[#All],2,FALSE)</f>
        <v>Sanitair</v>
      </c>
      <c r="L78" s="240" t="s">
        <v>111</v>
      </c>
      <c r="M78" s="200" t="s">
        <v>551</v>
      </c>
      <c r="N78" s="212">
        <v>8</v>
      </c>
      <c r="O78" s="212"/>
      <c r="P78" s="240" t="str">
        <f>VLOOKUP(Ruimtestaat[[#This Row],[Ruimte code]],Ruimtegroepen[#All],4,FALSE)</f>
        <v>S  (Sanitair)</v>
      </c>
      <c r="Q78" s="213">
        <v>42</v>
      </c>
      <c r="R78" s="213" t="s">
        <v>2</v>
      </c>
      <c r="S78" s="213">
        <f>IF(Q78&gt;0,IF(RIGHT(Ruimtestaat[[#This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78" s="213">
        <f>IF(S78&gt;0,VLOOKUP($J78,Ruimtegroepen[],3,FALSE)*VLOOKUP($L78,Vloersoorten[],3,FALSE)*VLOOKUP($R78,Frequenties[],3,FALSE)*VLOOKUP($A78,Locaties[],3,FALSE),0)</f>
        <v>0</v>
      </c>
      <c r="U78" s="213">
        <f>Ruimtestaat[[#This Row],[Uitvoeringen werkdagen]]*Ruimtestaat[[#This Row],[Oppervlak (netto)]]</f>
        <v>1680</v>
      </c>
      <c r="V78" s="253">
        <f>IF(T78&gt;0,Ruimtestaat[[#This Row],[Prest. (m2 /jaar) werkdagen]]/Ruimtestaat[[#This Row],[Norm (m2/uur) werkdagen]],0)</f>
        <v>0</v>
      </c>
      <c r="W78" s="254">
        <f>Ruimtestaat[[#This Row],[uren / jaar werkdagen]]*Tariefsopbouw!$D$38</f>
        <v>0</v>
      </c>
      <c r="X78" s="33"/>
      <c r="Y78" s="33">
        <f>IF(Ruimtestaat[[#This Row],[Frequentie weekend]]&gt;0,VALUE(LEFT(X78,1))*Q78,0)</f>
        <v>0</v>
      </c>
      <c r="Z78" s="33">
        <f>IF($Y78&gt;0,VLOOKUP($J78,Ruimtegroepen[],3,FALSE)*VLOOKUP($L78,Vloersoorten[],3,FALSE)*VLOOKUP($X78,Frequenties[],3,FALSE)*VLOOKUP(#REF!,Locaties[],3,FALSE),0)</f>
        <v>0</v>
      </c>
      <c r="AA78" s="33"/>
      <c r="AB78" s="33"/>
      <c r="AC78" s="33">
        <f>Ruimtestaat[[#This Row],[uren / jaar weekend]]*Tariefsopbouw!$D$40</f>
        <v>0</v>
      </c>
      <c r="AD78" s="88">
        <f>Ruimtestaat[[#This Row],[Prest. (m2 /jaar) weekend]]+Ruimtestaat[[#This Row],[Prest. (m2 /jaar) werkdagen]]</f>
        <v>1680</v>
      </c>
      <c r="AE78" s="88">
        <f>Ruimtestaat[[#This Row],[uren / jaar weekend]]+Ruimtestaat[[#This Row],[uren / jaar werkdagen]]</f>
        <v>0</v>
      </c>
      <c r="AF78" s="89">
        <f>Ruimtestaat[[#This Row],[kosten / jaar weekend]]+Ruimtestaat[[#This Row],[kosten / jaar werkdagen]]</f>
        <v>0</v>
      </c>
      <c r="AG78" s="114"/>
      <c r="HK78" s="87"/>
    </row>
    <row r="79" spans="1:219" ht="15" customHeight="1">
      <c r="A79" s="129">
        <v>1</v>
      </c>
      <c r="B79" s="21" t="str">
        <f>VLOOKUP(Ruimtestaat[[#This Row],[Code]],Locaties[#All],2,FALSE)</f>
        <v>Novalis College hoofdgebouw</v>
      </c>
      <c r="C79" s="21" t="str">
        <f>VLOOKUP(Ruimtestaat[[#This Row],[Code]],Locaties[#All],4,FALSE)</f>
        <v>Sterrenlaan 16</v>
      </c>
      <c r="D79" s="21" t="str">
        <f>VLOOKUP(Ruimtestaat[[#This Row],[Code]],Locaties[#All],5,FALSE)</f>
        <v>5631 KA</v>
      </c>
      <c r="E79" s="200" t="str">
        <f>VLOOKUP(Ruimtestaat[[#This Row],[Code]],Locaties[#All],6,FALSE)</f>
        <v>Eindhoven</v>
      </c>
      <c r="F79" s="213" t="s">
        <v>613</v>
      </c>
      <c r="G79" s="200" t="s">
        <v>525</v>
      </c>
      <c r="H79" s="200" t="s">
        <v>577</v>
      </c>
      <c r="I79" s="241" t="s">
        <v>530</v>
      </c>
      <c r="J79" s="200">
        <v>5</v>
      </c>
      <c r="K79" s="241" t="str">
        <f>VLOOKUP(Ruimtestaat[[#This Row],[Ruimte code]],Ruimtegroepen[#All],2,FALSE)</f>
        <v>Sanitair</v>
      </c>
      <c r="L79" s="240" t="s">
        <v>111</v>
      </c>
      <c r="M79" s="200" t="s">
        <v>551</v>
      </c>
      <c r="N79" s="212">
        <v>11</v>
      </c>
      <c r="O79" s="212"/>
      <c r="P79" s="240" t="str">
        <f>VLOOKUP(Ruimtestaat[[#This Row],[Ruimte code]],Ruimtegroepen[#All],4,FALSE)</f>
        <v>S  (Sanitair)</v>
      </c>
      <c r="Q79" s="213">
        <v>42</v>
      </c>
      <c r="R79" s="213" t="s">
        <v>2</v>
      </c>
      <c r="S79" s="213">
        <f>IF(Q79&gt;0,IF(RIGHT(Ruimtestaat[[#This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79" s="213">
        <f>IF(S79&gt;0,VLOOKUP($J79,Ruimtegroepen[],3,FALSE)*VLOOKUP($L79,Vloersoorten[],3,FALSE)*VLOOKUP($R79,Frequenties[],3,FALSE)*VLOOKUP($A79,Locaties[],3,FALSE),0)</f>
        <v>0</v>
      </c>
      <c r="U79" s="213">
        <f>Ruimtestaat[[#This Row],[Uitvoeringen werkdagen]]*Ruimtestaat[[#This Row],[Oppervlak (netto)]]</f>
        <v>2310</v>
      </c>
      <c r="V79" s="253">
        <f>IF(T79&gt;0,Ruimtestaat[[#This Row],[Prest. (m2 /jaar) werkdagen]]/Ruimtestaat[[#This Row],[Norm (m2/uur) werkdagen]],0)</f>
        <v>0</v>
      </c>
      <c r="W79" s="254">
        <f>Ruimtestaat[[#This Row],[uren / jaar werkdagen]]*Tariefsopbouw!$D$38</f>
        <v>0</v>
      </c>
      <c r="X79" s="33"/>
      <c r="Y79" s="33">
        <f>IF(Ruimtestaat[[#This Row],[Frequentie weekend]]&gt;0,VALUE(LEFT(X79,1))*Q79,0)</f>
        <v>0</v>
      </c>
      <c r="Z79" s="33">
        <f>IF($Y79&gt;0,VLOOKUP($J79,Ruimtegroepen[],3,FALSE)*VLOOKUP($L79,Vloersoorten[],3,FALSE)*VLOOKUP($X79,Frequenties[],3,FALSE)*VLOOKUP(#REF!,Locaties[],3,FALSE),0)</f>
        <v>0</v>
      </c>
      <c r="AA79" s="33"/>
      <c r="AB79" s="33"/>
      <c r="AC79" s="33">
        <f>Ruimtestaat[[#This Row],[uren / jaar weekend]]*Tariefsopbouw!$D$40</f>
        <v>0</v>
      </c>
      <c r="AD79" s="88">
        <f>Ruimtestaat[[#This Row],[Prest. (m2 /jaar) weekend]]+Ruimtestaat[[#This Row],[Prest. (m2 /jaar) werkdagen]]</f>
        <v>2310</v>
      </c>
      <c r="AE79" s="88">
        <f>Ruimtestaat[[#This Row],[uren / jaar weekend]]+Ruimtestaat[[#This Row],[uren / jaar werkdagen]]</f>
        <v>0</v>
      </c>
      <c r="AF79" s="89">
        <f>Ruimtestaat[[#This Row],[kosten / jaar weekend]]+Ruimtestaat[[#This Row],[kosten / jaar werkdagen]]</f>
        <v>0</v>
      </c>
      <c r="AG79" s="114"/>
      <c r="HK79" s="87"/>
    </row>
    <row r="80" spans="1:219" ht="15" customHeight="1">
      <c r="A80" s="129">
        <v>1</v>
      </c>
      <c r="B80" s="21" t="str">
        <f>VLOOKUP(Ruimtestaat[[#This Row],[Code]],Locaties[#All],2,FALSE)</f>
        <v>Novalis College hoofdgebouw</v>
      </c>
      <c r="C80" s="21" t="str">
        <f>VLOOKUP(Ruimtestaat[[#This Row],[Code]],Locaties[#All],4,FALSE)</f>
        <v>Sterrenlaan 16</v>
      </c>
      <c r="D80" s="21" t="str">
        <f>VLOOKUP(Ruimtestaat[[#This Row],[Code]],Locaties[#All],5,FALSE)</f>
        <v>5631 KA</v>
      </c>
      <c r="E80" s="200" t="str">
        <f>VLOOKUP(Ruimtestaat[[#This Row],[Code]],Locaties[#All],6,FALSE)</f>
        <v>Eindhoven</v>
      </c>
      <c r="F80" s="213" t="s">
        <v>613</v>
      </c>
      <c r="G80" s="200" t="s">
        <v>525</v>
      </c>
      <c r="H80" s="200" t="s">
        <v>578</v>
      </c>
      <c r="I80" s="241" t="s">
        <v>464</v>
      </c>
      <c r="J80" s="200">
        <v>21</v>
      </c>
      <c r="K80" s="241" t="str">
        <f>VLOOKUP(Ruimtestaat[[#This Row],[Ruimte code]],Ruimtegroepen[#All],2,FALSE)</f>
        <v>Niet in onderhoud</v>
      </c>
      <c r="L80" s="240" t="s">
        <v>111</v>
      </c>
      <c r="M80" s="200" t="s">
        <v>551</v>
      </c>
      <c r="N80" s="212"/>
      <c r="O80" s="212">
        <v>2</v>
      </c>
      <c r="P80" s="240" t="str">
        <f>VLOOKUP(Ruimtestaat[[#This Row],[Ruimte code]],Ruimtegroepen[#All],4,FALSE)</f>
        <v>Niet in onderhoud</v>
      </c>
      <c r="Q80" s="213"/>
      <c r="R80" s="213"/>
      <c r="S80" s="213">
        <f>IF(Q80&gt;0,IF(RIGHT(Ruimtestaat[[#This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80" s="213">
        <f>IF(S80&gt;0,VLOOKUP($J80,Ruimtegroepen[],3,FALSE)*VLOOKUP($L80,Vloersoorten[],3,FALSE)*VLOOKUP($R80,Frequenties[],3,FALSE)*VLOOKUP($A80,Locaties[],3,FALSE),0)</f>
        <v>0</v>
      </c>
      <c r="U80" s="213">
        <f>Ruimtestaat[[#This Row],[Uitvoeringen werkdagen]]*Ruimtestaat[[#This Row],[Oppervlak (netto)]]</f>
        <v>0</v>
      </c>
      <c r="V80" s="253">
        <f>IF(T80&gt;0,Ruimtestaat[[#This Row],[Prest. (m2 /jaar) werkdagen]]/Ruimtestaat[[#This Row],[Norm (m2/uur) werkdagen]],0)</f>
        <v>0</v>
      </c>
      <c r="W80" s="254">
        <f>Ruimtestaat[[#This Row],[uren / jaar werkdagen]]*Tariefsopbouw!$D$38</f>
        <v>0</v>
      </c>
      <c r="X80" s="33"/>
      <c r="Y80" s="33">
        <f>IF(Ruimtestaat[[#This Row],[Frequentie weekend]]&gt;0,VALUE(LEFT(X80,1))*Q80,0)</f>
        <v>0</v>
      </c>
      <c r="Z80" s="33">
        <f>IF($Y80&gt;0,VLOOKUP($J80,Ruimtegroepen[],3,FALSE)*VLOOKUP($L80,Vloersoorten[],3,FALSE)*VLOOKUP($X80,Frequenties[],3,FALSE)*VLOOKUP(#REF!,Locaties[],3,FALSE),0)</f>
        <v>0</v>
      </c>
      <c r="AA80" s="33"/>
      <c r="AB80" s="33"/>
      <c r="AC80" s="33">
        <f>Ruimtestaat[[#This Row],[uren / jaar weekend]]*Tariefsopbouw!$D$40</f>
        <v>0</v>
      </c>
      <c r="AD80" s="88">
        <f>Ruimtestaat[[#This Row],[Prest. (m2 /jaar) weekend]]+Ruimtestaat[[#This Row],[Prest. (m2 /jaar) werkdagen]]</f>
        <v>0</v>
      </c>
      <c r="AE80" s="88">
        <f>Ruimtestaat[[#This Row],[uren / jaar weekend]]+Ruimtestaat[[#This Row],[uren / jaar werkdagen]]</f>
        <v>0</v>
      </c>
      <c r="AF80" s="89">
        <f>Ruimtestaat[[#This Row],[kosten / jaar weekend]]+Ruimtestaat[[#This Row],[kosten / jaar werkdagen]]</f>
        <v>0</v>
      </c>
      <c r="HK80" s="87"/>
    </row>
    <row r="81" spans="1:219" ht="15" customHeight="1">
      <c r="A81" s="129">
        <v>1</v>
      </c>
      <c r="B81" s="21" t="str">
        <f>VLOOKUP(Ruimtestaat[[#This Row],[Code]],Locaties[#All],2,FALSE)</f>
        <v>Novalis College hoofdgebouw</v>
      </c>
      <c r="C81" s="21" t="str">
        <f>VLOOKUP(Ruimtestaat[[#This Row],[Code]],Locaties[#All],4,FALSE)</f>
        <v>Sterrenlaan 16</v>
      </c>
      <c r="D81" s="21" t="str">
        <f>VLOOKUP(Ruimtestaat[[#This Row],[Code]],Locaties[#All],5,FALSE)</f>
        <v>5631 KA</v>
      </c>
      <c r="E81" s="200" t="str">
        <f>VLOOKUP(Ruimtestaat[[#This Row],[Code]],Locaties[#All],6,FALSE)</f>
        <v>Eindhoven</v>
      </c>
      <c r="F81" s="213" t="s">
        <v>613</v>
      </c>
      <c r="G81" s="200" t="s">
        <v>525</v>
      </c>
      <c r="H81" s="200" t="s">
        <v>580</v>
      </c>
      <c r="I81" s="241" t="s">
        <v>386</v>
      </c>
      <c r="J81" s="213">
        <v>6</v>
      </c>
      <c r="K81" s="241" t="str">
        <f>VLOOKUP(Ruimtestaat[[#This Row],[Ruimte code]],Ruimtegroepen[#All],2,FALSE)</f>
        <v>Gangen/hallen</v>
      </c>
      <c r="L81" s="213" t="s">
        <v>110</v>
      </c>
      <c r="M81" s="200" t="s">
        <v>277</v>
      </c>
      <c r="N81" s="212">
        <v>104</v>
      </c>
      <c r="O81" s="212"/>
      <c r="P81" s="240" t="str">
        <f>VLOOKUP(Ruimtestaat[[#This Row],[Ruimte code]],Ruimtegroepen[#All],4,FALSE)</f>
        <v>V  (Verkeersruimte)</v>
      </c>
      <c r="Q81" s="213">
        <v>40</v>
      </c>
      <c r="R81" s="213" t="s">
        <v>2</v>
      </c>
      <c r="S81" s="213">
        <f>IF(Q81&gt;0,IF(RIGHT(Ruimtestaat[[#This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1" s="213">
        <f>IF(S81&gt;0,VLOOKUP($J81,Ruimtegroepen[],3,FALSE)*VLOOKUP($L81,Vloersoorten[],3,FALSE)*VLOOKUP($R81,Frequenties[],3,FALSE)*VLOOKUP($A81,Locaties[],3,FALSE),0)</f>
        <v>0</v>
      </c>
      <c r="U81" s="213">
        <f>Ruimtestaat[[#This Row],[Uitvoeringen werkdagen]]*Ruimtestaat[[#This Row],[Oppervlak (netto)]]</f>
        <v>20800</v>
      </c>
      <c r="V81" s="253">
        <f>IF(T81&gt;0,Ruimtestaat[[#This Row],[Prest. (m2 /jaar) werkdagen]]/Ruimtestaat[[#This Row],[Norm (m2/uur) werkdagen]],0)</f>
        <v>0</v>
      </c>
      <c r="W81" s="254">
        <f>Ruimtestaat[[#This Row],[uren / jaar werkdagen]]*Tariefsopbouw!$D$38</f>
        <v>0</v>
      </c>
      <c r="X81" s="33"/>
      <c r="Y81" s="33">
        <f>IF(Ruimtestaat[[#This Row],[Frequentie weekend]]&gt;0,VALUE(LEFT(X81,1))*Q81,0)</f>
        <v>0</v>
      </c>
      <c r="Z81" s="33">
        <f>IF($Y81&gt;0,VLOOKUP($J81,Ruimtegroepen[],3,FALSE)*VLOOKUP($L81,Vloersoorten[],3,FALSE)*VLOOKUP($X81,Frequenties[],3,FALSE)*VLOOKUP(#REF!,Locaties[],3,FALSE),0)</f>
        <v>0</v>
      </c>
      <c r="AA81" s="33"/>
      <c r="AB81" s="33"/>
      <c r="AC81" s="33">
        <f>Ruimtestaat[[#This Row],[uren / jaar weekend]]*Tariefsopbouw!$D$40</f>
        <v>0</v>
      </c>
      <c r="AD81" s="88">
        <f>Ruimtestaat[[#This Row],[Prest. (m2 /jaar) weekend]]+Ruimtestaat[[#This Row],[Prest. (m2 /jaar) werkdagen]]</f>
        <v>20800</v>
      </c>
      <c r="AE81" s="88">
        <f>Ruimtestaat[[#This Row],[uren / jaar weekend]]+Ruimtestaat[[#This Row],[uren / jaar werkdagen]]</f>
        <v>0</v>
      </c>
      <c r="AF81" s="89">
        <f>Ruimtestaat[[#This Row],[kosten / jaar weekend]]+Ruimtestaat[[#This Row],[kosten / jaar werkdagen]]</f>
        <v>0</v>
      </c>
      <c r="HK81" s="87"/>
    </row>
    <row r="82" spans="1:219" ht="15" customHeight="1">
      <c r="A82" s="129">
        <v>1</v>
      </c>
      <c r="B82" s="21" t="str">
        <f>VLOOKUP(Ruimtestaat[[#This Row],[Code]],Locaties[#All],2,FALSE)</f>
        <v>Novalis College hoofdgebouw</v>
      </c>
      <c r="C82" s="21" t="str">
        <f>VLOOKUP(Ruimtestaat[[#This Row],[Code]],Locaties[#All],4,FALSE)</f>
        <v>Sterrenlaan 16</v>
      </c>
      <c r="D82" s="21" t="str">
        <f>VLOOKUP(Ruimtestaat[[#This Row],[Code]],Locaties[#All],5,FALSE)</f>
        <v>5631 KA</v>
      </c>
      <c r="E82" s="200" t="str">
        <f>VLOOKUP(Ruimtestaat[[#This Row],[Code]],Locaties[#All],6,FALSE)</f>
        <v>Eindhoven</v>
      </c>
      <c r="F82" s="213" t="s">
        <v>613</v>
      </c>
      <c r="G82" s="200" t="s">
        <v>525</v>
      </c>
      <c r="H82" s="200" t="s">
        <v>581</v>
      </c>
      <c r="I82" s="241" t="s">
        <v>512</v>
      </c>
      <c r="J82" s="200">
        <v>10</v>
      </c>
      <c r="K82" s="241" t="str">
        <f>VLOOKUP(Ruimtestaat[[#This Row],[Ruimte code]],Ruimtegroepen[#All],2,FALSE)</f>
        <v>Trappenhuizen/lift</v>
      </c>
      <c r="L82" s="213" t="s">
        <v>110</v>
      </c>
      <c r="M82" s="200" t="s">
        <v>277</v>
      </c>
      <c r="N82" s="212">
        <v>21</v>
      </c>
      <c r="O82" s="212"/>
      <c r="P82" s="240" t="str">
        <f>VLOOKUP(Ruimtestaat[[#This Row],[Ruimte code]],Ruimtegroepen[#All],4,FALSE)</f>
        <v>V  (Verkeersruimte)</v>
      </c>
      <c r="Q82" s="213">
        <v>40</v>
      </c>
      <c r="R82" s="213" t="s">
        <v>2</v>
      </c>
      <c r="S82" s="213">
        <f>IF(Q82&gt;0,IF(RIGHT(Ruimtestaat[[#This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2" s="213">
        <f>IF(S82&gt;0,VLOOKUP($J82,Ruimtegroepen[],3,FALSE)*VLOOKUP($L82,Vloersoorten[],3,FALSE)*VLOOKUP($R82,Frequenties[],3,FALSE)*VLOOKUP($A82,Locaties[],3,FALSE),0)</f>
        <v>0</v>
      </c>
      <c r="U82" s="213">
        <f>Ruimtestaat[[#This Row],[Uitvoeringen werkdagen]]*Ruimtestaat[[#This Row],[Oppervlak (netto)]]</f>
        <v>4200</v>
      </c>
      <c r="V82" s="253">
        <f>IF(T82&gt;0,Ruimtestaat[[#This Row],[Prest. (m2 /jaar) werkdagen]]/Ruimtestaat[[#This Row],[Norm (m2/uur) werkdagen]],0)</f>
        <v>0</v>
      </c>
      <c r="W82" s="254">
        <f>Ruimtestaat[[#This Row],[uren / jaar werkdagen]]*Tariefsopbouw!$D$38</f>
        <v>0</v>
      </c>
      <c r="X82" s="33"/>
      <c r="Y82" s="33">
        <f>IF(Ruimtestaat[[#This Row],[Frequentie weekend]]&gt;0,VALUE(LEFT(X82,1))*Q82,0)</f>
        <v>0</v>
      </c>
      <c r="Z82" s="33">
        <f>IF($Y82&gt;0,VLOOKUP($J82,Ruimtegroepen[],3,FALSE)*VLOOKUP($L82,Vloersoorten[],3,FALSE)*VLOOKUP($X82,Frequenties[],3,FALSE)*VLOOKUP(#REF!,Locaties[],3,FALSE),0)</f>
        <v>0</v>
      </c>
      <c r="AA82" s="33"/>
      <c r="AB82" s="33"/>
      <c r="AC82" s="33">
        <f>Ruimtestaat[[#This Row],[uren / jaar weekend]]*Tariefsopbouw!$D$40</f>
        <v>0</v>
      </c>
      <c r="AD82" s="88">
        <f>Ruimtestaat[[#This Row],[Prest. (m2 /jaar) weekend]]+Ruimtestaat[[#This Row],[Prest. (m2 /jaar) werkdagen]]</f>
        <v>4200</v>
      </c>
      <c r="AE82" s="88">
        <f>Ruimtestaat[[#This Row],[uren / jaar weekend]]+Ruimtestaat[[#This Row],[uren / jaar werkdagen]]</f>
        <v>0</v>
      </c>
      <c r="AF82" s="89">
        <f>Ruimtestaat[[#This Row],[kosten / jaar weekend]]+Ruimtestaat[[#This Row],[kosten / jaar werkdagen]]</f>
        <v>0</v>
      </c>
      <c r="HK82" s="87"/>
    </row>
    <row r="83" spans="1:219" ht="15" customHeight="1">
      <c r="A83" s="129">
        <v>1</v>
      </c>
      <c r="B83" s="21" t="str">
        <f>VLOOKUP(Ruimtestaat[[#This Row],[Code]],Locaties[#All],2,FALSE)</f>
        <v>Novalis College hoofdgebouw</v>
      </c>
      <c r="C83" s="21" t="str">
        <f>VLOOKUP(Ruimtestaat[[#This Row],[Code]],Locaties[#All],4,FALSE)</f>
        <v>Sterrenlaan 16</v>
      </c>
      <c r="D83" s="21" t="str">
        <f>VLOOKUP(Ruimtestaat[[#This Row],[Code]],Locaties[#All],5,FALSE)</f>
        <v>5631 KA</v>
      </c>
      <c r="E83" s="200" t="str">
        <f>VLOOKUP(Ruimtestaat[[#This Row],[Code]],Locaties[#All],6,FALSE)</f>
        <v>Eindhoven</v>
      </c>
      <c r="F83" s="213" t="s">
        <v>613</v>
      </c>
      <c r="G83" s="200" t="s">
        <v>525</v>
      </c>
      <c r="H83" s="200" t="s">
        <v>582</v>
      </c>
      <c r="I83" s="241" t="s">
        <v>501</v>
      </c>
      <c r="J83" s="200">
        <v>10</v>
      </c>
      <c r="K83" s="241" t="str">
        <f>VLOOKUP(Ruimtestaat[[#This Row],[Ruimte code]],Ruimtegroepen[#All],2,FALSE)</f>
        <v>Trappenhuizen/lift</v>
      </c>
      <c r="L83" s="240" t="s">
        <v>762</v>
      </c>
      <c r="M83" s="200" t="s">
        <v>550</v>
      </c>
      <c r="N83" s="212">
        <v>5</v>
      </c>
      <c r="O83" s="212"/>
      <c r="P83" s="240" t="str">
        <f>VLOOKUP(Ruimtestaat[[#This Row],[Ruimte code]],Ruimtegroepen[#All],4,FALSE)</f>
        <v>V  (Verkeersruimte)</v>
      </c>
      <c r="Q83" s="213">
        <v>40</v>
      </c>
      <c r="R83" s="213" t="s">
        <v>2</v>
      </c>
      <c r="S83" s="213">
        <f>IF(Q83&gt;0,IF(RIGHT(Ruimtestaat[[#This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3" s="213">
        <f>IF(S83&gt;0,VLOOKUP($J83,Ruimtegroepen[],3,FALSE)*VLOOKUP($L83,Vloersoorten[],3,FALSE)*VLOOKUP($R83,Frequenties[],3,FALSE)*VLOOKUP($A83,Locaties[],3,FALSE),0)</f>
        <v>0</v>
      </c>
      <c r="U83" s="213">
        <f>Ruimtestaat[[#This Row],[Uitvoeringen werkdagen]]*Ruimtestaat[[#This Row],[Oppervlak (netto)]]</f>
        <v>1000</v>
      </c>
      <c r="V83" s="253">
        <f>IF(T83&gt;0,Ruimtestaat[[#This Row],[Prest. (m2 /jaar) werkdagen]]/Ruimtestaat[[#This Row],[Norm (m2/uur) werkdagen]],0)</f>
        <v>0</v>
      </c>
      <c r="W83" s="254">
        <f>Ruimtestaat[[#This Row],[uren / jaar werkdagen]]*Tariefsopbouw!$D$38</f>
        <v>0</v>
      </c>
      <c r="X83" s="33"/>
      <c r="Y83" s="33">
        <f>IF(Ruimtestaat[[#This Row],[Frequentie weekend]]&gt;0,VALUE(LEFT(X83,1))*Q83,0)</f>
        <v>0</v>
      </c>
      <c r="Z83" s="33">
        <f>IF($Y83&gt;0,VLOOKUP($J83,Ruimtegroepen[],3,FALSE)*VLOOKUP($L83,Vloersoorten[],3,FALSE)*VLOOKUP($X83,Frequenties[],3,FALSE)*VLOOKUP(#REF!,Locaties[],3,FALSE),0)</f>
        <v>0</v>
      </c>
      <c r="AA83" s="33"/>
      <c r="AB83" s="33"/>
      <c r="AC83" s="33">
        <f>Ruimtestaat[[#This Row],[uren / jaar weekend]]*Tariefsopbouw!$D$40</f>
        <v>0</v>
      </c>
      <c r="AD83" s="88">
        <f>Ruimtestaat[[#This Row],[Prest. (m2 /jaar) weekend]]+Ruimtestaat[[#This Row],[Prest. (m2 /jaar) werkdagen]]</f>
        <v>1000</v>
      </c>
      <c r="AE83" s="88">
        <f>Ruimtestaat[[#This Row],[uren / jaar weekend]]+Ruimtestaat[[#This Row],[uren / jaar werkdagen]]</f>
        <v>0</v>
      </c>
      <c r="AF83" s="89">
        <f>Ruimtestaat[[#This Row],[kosten / jaar weekend]]+Ruimtestaat[[#This Row],[kosten / jaar werkdagen]]</f>
        <v>0</v>
      </c>
      <c r="HK83" s="87"/>
    </row>
    <row r="84" spans="1:219" ht="15" customHeight="1">
      <c r="A84" s="129">
        <v>1</v>
      </c>
      <c r="B84" s="21" t="str">
        <f>VLOOKUP(Ruimtestaat[[#This Row],[Code]],Locaties[#All],2,FALSE)</f>
        <v>Novalis College hoofdgebouw</v>
      </c>
      <c r="C84" s="21" t="str">
        <f>VLOOKUP(Ruimtestaat[[#This Row],[Code]],Locaties[#All],4,FALSE)</f>
        <v>Sterrenlaan 16</v>
      </c>
      <c r="D84" s="21" t="str">
        <f>VLOOKUP(Ruimtestaat[[#This Row],[Code]],Locaties[#All],5,FALSE)</f>
        <v>5631 KA</v>
      </c>
      <c r="E84" s="200" t="str">
        <f>VLOOKUP(Ruimtestaat[[#This Row],[Code]],Locaties[#All],6,FALSE)</f>
        <v>Eindhoven</v>
      </c>
      <c r="F84" s="213" t="s">
        <v>613</v>
      </c>
      <c r="G84" s="200" t="s">
        <v>525</v>
      </c>
      <c r="H84" s="200" t="s">
        <v>583</v>
      </c>
      <c r="I84" s="241" t="s">
        <v>512</v>
      </c>
      <c r="J84" s="200">
        <v>10</v>
      </c>
      <c r="K84" s="241" t="str">
        <f>VLOOKUP(Ruimtestaat[[#This Row],[Ruimte code]],Ruimtegroepen[#All],2,FALSE)</f>
        <v>Trappenhuizen/lift</v>
      </c>
      <c r="L84" s="213" t="s">
        <v>110</v>
      </c>
      <c r="M84" s="200" t="s">
        <v>277</v>
      </c>
      <c r="N84" s="212">
        <v>20</v>
      </c>
      <c r="O84" s="212"/>
      <c r="P84" s="240" t="str">
        <f>VLOOKUP(Ruimtestaat[[#This Row],[Ruimte code]],Ruimtegroepen[#All],4,FALSE)</f>
        <v>V  (Verkeersruimte)</v>
      </c>
      <c r="Q84" s="213">
        <v>40</v>
      </c>
      <c r="R84" s="213" t="s">
        <v>2</v>
      </c>
      <c r="S84" s="213">
        <f>IF(Q84&gt;0,IF(RIGHT(Ruimtestaat[[#This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4" s="213">
        <f>IF(S84&gt;0,VLOOKUP($J84,Ruimtegroepen[],3,FALSE)*VLOOKUP($L84,Vloersoorten[],3,FALSE)*VLOOKUP($R84,Frequenties[],3,FALSE)*VLOOKUP($A84,Locaties[],3,FALSE),0)</f>
        <v>0</v>
      </c>
      <c r="U84" s="213">
        <f>Ruimtestaat[[#This Row],[Uitvoeringen werkdagen]]*Ruimtestaat[[#This Row],[Oppervlak (netto)]]</f>
        <v>4000</v>
      </c>
      <c r="V84" s="253">
        <f>IF(T84&gt;0,Ruimtestaat[[#This Row],[Prest. (m2 /jaar) werkdagen]]/Ruimtestaat[[#This Row],[Norm (m2/uur) werkdagen]],0)</f>
        <v>0</v>
      </c>
      <c r="W84" s="254">
        <f>Ruimtestaat[[#This Row],[uren / jaar werkdagen]]*Tariefsopbouw!$D$38</f>
        <v>0</v>
      </c>
      <c r="X84" s="33"/>
      <c r="Y84" s="33">
        <f>IF(Ruimtestaat[[#This Row],[Frequentie weekend]]&gt;0,VALUE(LEFT(X84,1))*Q84,0)</f>
        <v>0</v>
      </c>
      <c r="Z84" s="33">
        <f>IF($Y84&gt;0,VLOOKUP($J84,Ruimtegroepen[],3,FALSE)*VLOOKUP($L84,Vloersoorten[],3,FALSE)*VLOOKUP($X84,Frequenties[],3,FALSE)*VLOOKUP(#REF!,Locaties[],3,FALSE),0)</f>
        <v>0</v>
      </c>
      <c r="AA84" s="33"/>
      <c r="AB84" s="33"/>
      <c r="AC84" s="33">
        <f>Ruimtestaat[[#This Row],[uren / jaar weekend]]*Tariefsopbouw!$D$40</f>
        <v>0</v>
      </c>
      <c r="AD84" s="88">
        <f>Ruimtestaat[[#This Row],[Prest. (m2 /jaar) weekend]]+Ruimtestaat[[#This Row],[Prest. (m2 /jaar) werkdagen]]</f>
        <v>4000</v>
      </c>
      <c r="AE84" s="88">
        <f>Ruimtestaat[[#This Row],[uren / jaar weekend]]+Ruimtestaat[[#This Row],[uren / jaar werkdagen]]</f>
        <v>0</v>
      </c>
      <c r="AF84" s="89">
        <f>Ruimtestaat[[#This Row],[kosten / jaar weekend]]+Ruimtestaat[[#This Row],[kosten / jaar werkdagen]]</f>
        <v>0</v>
      </c>
      <c r="HK84" s="87"/>
    </row>
    <row r="85" spans="1:219" ht="15" customHeight="1">
      <c r="A85" s="129">
        <v>1</v>
      </c>
      <c r="B85" s="21" t="str">
        <f>VLOOKUP(Ruimtestaat[[#This Row],[Code]],Locaties[#All],2,FALSE)</f>
        <v>Novalis College hoofdgebouw</v>
      </c>
      <c r="C85" s="240" t="str">
        <f>VLOOKUP(Ruimtestaat[[#This Row],[Code]],Locaties[#All],4,FALSE)</f>
        <v>Sterrenlaan 16</v>
      </c>
      <c r="D85" s="240" t="str">
        <f>VLOOKUP(Ruimtestaat[[#This Row],[Code]],Locaties[#All],5,FALSE)</f>
        <v>5631 KA</v>
      </c>
      <c r="E85" s="240" t="str">
        <f>VLOOKUP(Ruimtestaat[[#This Row],[Code]],Locaties[#All],6,FALSE)</f>
        <v>Eindhoven</v>
      </c>
      <c r="F85" s="213" t="s">
        <v>613</v>
      </c>
      <c r="G85" s="200" t="s">
        <v>525</v>
      </c>
      <c r="H85" s="200" t="s">
        <v>584</v>
      </c>
      <c r="I85" s="241" t="s">
        <v>501</v>
      </c>
      <c r="J85" s="200">
        <v>10</v>
      </c>
      <c r="K85" s="256" t="str">
        <f>VLOOKUP(Ruimtestaat[[#This Row],[Ruimte code]],Ruimtegroepen[#All],2,FALSE)</f>
        <v>Trappenhuizen/lift</v>
      </c>
      <c r="L85" s="240" t="s">
        <v>762</v>
      </c>
      <c r="M85" s="268" t="s">
        <v>550</v>
      </c>
      <c r="N85" s="212">
        <v>5</v>
      </c>
      <c r="O85" s="212"/>
      <c r="P85" s="240" t="str">
        <f>VLOOKUP(Ruimtestaat[[#This Row],[Ruimte code]],Ruimtegroepen[#All],4,FALSE)</f>
        <v>V  (Verkeersruimte)</v>
      </c>
      <c r="Q85" s="213">
        <v>40</v>
      </c>
      <c r="R85" s="213" t="s">
        <v>2</v>
      </c>
      <c r="S85" s="213">
        <f>IF(Q85&gt;0,IF(RIGHT(Ruimtestaat[[#This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5" s="213">
        <f>IF(S85&gt;0,VLOOKUP($J85,Ruimtegroepen[],3,FALSE)*VLOOKUP($L85,Vloersoorten[],3,FALSE)*VLOOKUP($R85,Frequenties[],3,FALSE)*VLOOKUP($A85,Locaties[],3,FALSE),0)</f>
        <v>0</v>
      </c>
      <c r="U85" s="213">
        <f>Ruimtestaat[[#This Row],[Uitvoeringen werkdagen]]*Ruimtestaat[[#This Row],[Oppervlak (netto)]]</f>
        <v>1000</v>
      </c>
      <c r="V85" s="253">
        <f>IF(T85&gt;0,Ruimtestaat[[#This Row],[Prest. (m2 /jaar) werkdagen]]/Ruimtestaat[[#This Row],[Norm (m2/uur) werkdagen]],0)</f>
        <v>0</v>
      </c>
      <c r="W85" s="254">
        <f>Ruimtestaat[[#This Row],[uren / jaar werkdagen]]*Tariefsopbouw!$D$38</f>
        <v>0</v>
      </c>
      <c r="X85" s="33"/>
      <c r="Y85" s="33">
        <f>IF(Ruimtestaat[[#This Row],[Frequentie weekend]]&gt;0,VALUE(LEFT(X85,1))*Q85,0)</f>
        <v>0</v>
      </c>
      <c r="Z85" s="33">
        <f>IF($Y85&gt;0,VLOOKUP($J85,Ruimtegroepen[],3,FALSE)*VLOOKUP($L85,Vloersoorten[],3,FALSE)*VLOOKUP($X85,Frequenties[],3,FALSE)*VLOOKUP(#REF!,Locaties[],3,FALSE),0)</f>
        <v>0</v>
      </c>
      <c r="AA85" s="33"/>
      <c r="AB85" s="33"/>
      <c r="AC85" s="33">
        <f>Ruimtestaat[[#This Row],[uren / jaar weekend]]*Tariefsopbouw!$D$40</f>
        <v>0</v>
      </c>
      <c r="AD85" s="88">
        <f>Ruimtestaat[[#This Row],[Prest. (m2 /jaar) weekend]]+Ruimtestaat[[#This Row],[Prest. (m2 /jaar) werkdagen]]</f>
        <v>1000</v>
      </c>
      <c r="AE85" s="88">
        <f>Ruimtestaat[[#This Row],[uren / jaar weekend]]+Ruimtestaat[[#This Row],[uren / jaar werkdagen]]</f>
        <v>0</v>
      </c>
      <c r="AF85" s="89">
        <f>Ruimtestaat[[#This Row],[kosten / jaar weekend]]+Ruimtestaat[[#This Row],[kosten / jaar werkdagen]]</f>
        <v>0</v>
      </c>
    </row>
    <row r="86" spans="1:219" ht="15" customHeight="1">
      <c r="A86" s="129">
        <v>1</v>
      </c>
      <c r="B86" s="21" t="str">
        <f>VLOOKUP(Ruimtestaat[[#This Row],[Code]],Locaties[#All],2,FALSE)</f>
        <v>Novalis College hoofdgebouw</v>
      </c>
      <c r="C86" s="240" t="str">
        <f>VLOOKUP(Ruimtestaat[[#This Row],[Code]],Locaties[#All],4,FALSE)</f>
        <v>Sterrenlaan 16</v>
      </c>
      <c r="D86" s="240" t="str">
        <f>VLOOKUP(Ruimtestaat[[#This Row],[Code]],Locaties[#All],5,FALSE)</f>
        <v>5631 KA</v>
      </c>
      <c r="E86" s="240" t="str">
        <f>VLOOKUP(Ruimtestaat[[#This Row],[Code]],Locaties[#All],6,FALSE)</f>
        <v>Eindhoven</v>
      </c>
      <c r="F86" s="213" t="s">
        <v>613</v>
      </c>
      <c r="G86" s="200" t="s">
        <v>525</v>
      </c>
      <c r="H86" s="200" t="s">
        <v>585</v>
      </c>
      <c r="I86" s="241" t="s">
        <v>519</v>
      </c>
      <c r="J86" s="240">
        <v>21</v>
      </c>
      <c r="K86" s="256" t="str">
        <f>VLOOKUP(Ruimtestaat[[#This Row],[Ruimte code]],Ruimtegroepen[#All],2,FALSE)</f>
        <v>Niet in onderhoud</v>
      </c>
      <c r="L86" s="213" t="s">
        <v>110</v>
      </c>
      <c r="M86" s="268" t="s">
        <v>277</v>
      </c>
      <c r="N86" s="212"/>
      <c r="O86" s="212">
        <v>13</v>
      </c>
      <c r="P86" s="240" t="str">
        <f>VLOOKUP(Ruimtestaat[[#This Row],[Ruimte code]],Ruimtegroepen[#All],4,FALSE)</f>
        <v>Niet in onderhoud</v>
      </c>
      <c r="Q86" s="213"/>
      <c r="R86" s="213"/>
      <c r="S86" s="213">
        <f>IF(Q86&gt;0,IF(RIGHT(Ruimtestaat[[#This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86" s="213">
        <f>IF(S86&gt;0,VLOOKUP($J86,Ruimtegroepen[],3,FALSE)*VLOOKUP($L86,Vloersoorten[],3,FALSE)*VLOOKUP($R86,Frequenties[],3,FALSE)*VLOOKUP($A86,Locaties[],3,FALSE),0)</f>
        <v>0</v>
      </c>
      <c r="U86" s="213">
        <f>Ruimtestaat[[#This Row],[Uitvoeringen werkdagen]]*Ruimtestaat[[#This Row],[Oppervlak (netto)]]</f>
        <v>0</v>
      </c>
      <c r="V86" s="253">
        <f>IF(T86&gt;0,Ruimtestaat[[#This Row],[Prest. (m2 /jaar) werkdagen]]/Ruimtestaat[[#This Row],[Norm (m2/uur) werkdagen]],0)</f>
        <v>0</v>
      </c>
      <c r="W86" s="254">
        <f>Ruimtestaat[[#This Row],[uren / jaar werkdagen]]*Tariefsopbouw!$D$38</f>
        <v>0</v>
      </c>
      <c r="X86" s="33"/>
      <c r="Y86" s="33">
        <f>IF(Ruimtestaat[[#This Row],[Frequentie weekend]]&gt;0,VALUE(LEFT(X86,1))*Q86,0)</f>
        <v>0</v>
      </c>
      <c r="Z86" s="33">
        <f>IF($Y86&gt;0,VLOOKUP($J86,Ruimtegroepen[],3,FALSE)*VLOOKUP($L86,Vloersoorten[],3,FALSE)*VLOOKUP($X86,Frequenties[],3,FALSE)*VLOOKUP(#REF!,Locaties[],3,FALSE),0)</f>
        <v>0</v>
      </c>
      <c r="AA86" s="33"/>
      <c r="AB86" s="33"/>
      <c r="AC86" s="33">
        <f>Ruimtestaat[[#This Row],[uren / jaar weekend]]*Tariefsopbouw!$D$40</f>
        <v>0</v>
      </c>
      <c r="AD86" s="88">
        <f>Ruimtestaat[[#This Row],[Prest. (m2 /jaar) weekend]]+Ruimtestaat[[#This Row],[Prest. (m2 /jaar) werkdagen]]</f>
        <v>0</v>
      </c>
      <c r="AE86" s="88">
        <f>Ruimtestaat[[#This Row],[uren / jaar weekend]]+Ruimtestaat[[#This Row],[uren / jaar werkdagen]]</f>
        <v>0</v>
      </c>
      <c r="AF86" s="89">
        <f>Ruimtestaat[[#This Row],[kosten / jaar weekend]]+Ruimtestaat[[#This Row],[kosten / jaar werkdagen]]</f>
        <v>0</v>
      </c>
    </row>
    <row r="87" spans="1:219" ht="15" customHeight="1">
      <c r="A87" s="129">
        <v>1</v>
      </c>
      <c r="B87" s="21" t="str">
        <f>VLOOKUP(Ruimtestaat[[#This Row],[Code]],Locaties[#All],2,FALSE)</f>
        <v>Novalis College hoofdgebouw</v>
      </c>
      <c r="C87" s="240" t="str">
        <f>VLOOKUP(Ruimtestaat[[#This Row],[Code]],Locaties[#All],4,FALSE)</f>
        <v>Sterrenlaan 16</v>
      </c>
      <c r="D87" s="240" t="str">
        <f>VLOOKUP(Ruimtestaat[[#This Row],[Code]],Locaties[#All],5,FALSE)</f>
        <v>5631 KA</v>
      </c>
      <c r="E87" s="240" t="str">
        <f>VLOOKUP(Ruimtestaat[[#This Row],[Code]],Locaties[#All],6,FALSE)</f>
        <v>Eindhoven</v>
      </c>
      <c r="F87" s="213" t="s">
        <v>613</v>
      </c>
      <c r="G87" s="200" t="s">
        <v>525</v>
      </c>
      <c r="H87" s="200" t="s">
        <v>586</v>
      </c>
      <c r="I87" s="241" t="s">
        <v>515</v>
      </c>
      <c r="J87" s="240">
        <v>18</v>
      </c>
      <c r="K87" s="256" t="str">
        <f>VLOOKUP(Ruimtestaat[[#This Row],[Ruimte code]],Ruimtegroepen[#All],2,FALSE)</f>
        <v>Gym - / speellokaal</v>
      </c>
      <c r="L87" s="213" t="s">
        <v>762</v>
      </c>
      <c r="M87" s="268" t="s">
        <v>555</v>
      </c>
      <c r="N87" s="212">
        <v>317</v>
      </c>
      <c r="O87" s="212"/>
      <c r="P87" s="240" t="str">
        <f>VLOOKUP(Ruimtestaat[[#This Row],[Ruimte code]],Ruimtegroepen[#All],4,FALSE)</f>
        <v>Sp  (Sportruimte)</v>
      </c>
      <c r="Q87" s="213">
        <v>40</v>
      </c>
      <c r="R87" s="213" t="s">
        <v>2</v>
      </c>
      <c r="S87" s="213">
        <f>IF(Q87&gt;0,IF(RIGHT(Ruimtestaat[[#This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87" s="213">
        <f>IF(S87&gt;0,VLOOKUP($J87,Ruimtegroepen[],3,FALSE)*VLOOKUP($L87,Vloersoorten[],3,FALSE)*VLOOKUP($R87,Frequenties[],3,FALSE)*VLOOKUP($A87,Locaties[],3,FALSE),0)</f>
        <v>0</v>
      </c>
      <c r="U87" s="213">
        <f>Ruimtestaat[[#This Row],[Uitvoeringen werkdagen]]*Ruimtestaat[[#This Row],[Oppervlak (netto)]]</f>
        <v>63400</v>
      </c>
      <c r="V87" s="253">
        <f>IF(T87&gt;0,Ruimtestaat[[#This Row],[Prest. (m2 /jaar) werkdagen]]/Ruimtestaat[[#This Row],[Norm (m2/uur) werkdagen]],0)</f>
        <v>0</v>
      </c>
      <c r="W87" s="254">
        <f>Ruimtestaat[[#This Row],[uren / jaar werkdagen]]*Tariefsopbouw!$D$38</f>
        <v>0</v>
      </c>
      <c r="X87" s="33"/>
      <c r="Y87" s="33">
        <f>IF(Ruimtestaat[[#This Row],[Frequentie weekend]]&gt;0,VALUE(LEFT(X87,1))*Q87,0)</f>
        <v>0</v>
      </c>
      <c r="Z87" s="33">
        <f>IF($Y87&gt;0,VLOOKUP($J87,Ruimtegroepen[],3,FALSE)*VLOOKUP($L87,Vloersoorten[],3,FALSE)*VLOOKUP($X87,Frequenties[],3,FALSE)*VLOOKUP(#REF!,Locaties[],3,FALSE),0)</f>
        <v>0</v>
      </c>
      <c r="AA87" s="33"/>
      <c r="AB87" s="33"/>
      <c r="AC87" s="33">
        <f>Ruimtestaat[[#This Row],[uren / jaar weekend]]*Tariefsopbouw!$D$40</f>
        <v>0</v>
      </c>
      <c r="AD87" s="88">
        <f>Ruimtestaat[[#This Row],[Prest. (m2 /jaar) weekend]]+Ruimtestaat[[#This Row],[Prest. (m2 /jaar) werkdagen]]</f>
        <v>63400</v>
      </c>
      <c r="AE87" s="88">
        <f>Ruimtestaat[[#This Row],[uren / jaar weekend]]+Ruimtestaat[[#This Row],[uren / jaar werkdagen]]</f>
        <v>0</v>
      </c>
      <c r="AF87" s="89">
        <f>Ruimtestaat[[#This Row],[kosten / jaar weekend]]+Ruimtestaat[[#This Row],[kosten / jaar werkdagen]]</f>
        <v>0</v>
      </c>
    </row>
    <row r="88" spans="1:219" ht="15" customHeight="1">
      <c r="A88" s="129">
        <v>1</v>
      </c>
      <c r="B88" s="21" t="str">
        <f>VLOOKUP(Ruimtestaat[[#This Row],[Code]],Locaties[#All],2,FALSE)</f>
        <v>Novalis College hoofdgebouw</v>
      </c>
      <c r="C88" s="240" t="str">
        <f>VLOOKUP(Ruimtestaat[[#This Row],[Code]],Locaties[#All],4,FALSE)</f>
        <v>Sterrenlaan 16</v>
      </c>
      <c r="D88" s="240" t="str">
        <f>VLOOKUP(Ruimtestaat[[#This Row],[Code]],Locaties[#All],5,FALSE)</f>
        <v>5631 KA</v>
      </c>
      <c r="E88" s="240" t="str">
        <f>VLOOKUP(Ruimtestaat[[#This Row],[Code]],Locaties[#All],6,FALSE)</f>
        <v>Eindhoven</v>
      </c>
      <c r="F88" s="213" t="s">
        <v>613</v>
      </c>
      <c r="G88" s="200" t="s">
        <v>525</v>
      </c>
      <c r="H88" s="200" t="s">
        <v>587</v>
      </c>
      <c r="I88" s="241" t="s">
        <v>504</v>
      </c>
      <c r="J88" s="240">
        <v>2</v>
      </c>
      <c r="K88" s="256" t="str">
        <f>VLOOKUP(Ruimtestaat[[#This Row],[Ruimte code]],Ruimtegroepen[#All],2,FALSE)</f>
        <v>Kantoren</v>
      </c>
      <c r="L88" s="213" t="s">
        <v>110</v>
      </c>
      <c r="M88" s="268" t="s">
        <v>277</v>
      </c>
      <c r="N88" s="212">
        <v>13</v>
      </c>
      <c r="O88" s="212"/>
      <c r="P88" s="240" t="str">
        <f>VLOOKUP(Ruimtestaat[[#This Row],[Ruimte code]],Ruimtegroepen[#All],4,FALSE)</f>
        <v>B  (Bureauruimte)</v>
      </c>
      <c r="Q88" s="213">
        <v>40</v>
      </c>
      <c r="R88" s="213" t="s">
        <v>17</v>
      </c>
      <c r="S88" s="213">
        <f>IF(Q88&gt;0,IF(RIGHT(Ruimtestaat[[#This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88" s="213">
        <f>IF(S88&gt;0,VLOOKUP($J88,Ruimtegroepen[],3,FALSE)*VLOOKUP($L88,Vloersoorten[],3,FALSE)*VLOOKUP($R88,Frequenties[],3,FALSE)*VLOOKUP($A88,Locaties[],3,FALSE),0)</f>
        <v>0</v>
      </c>
      <c r="U88" s="213">
        <f>Ruimtestaat[[#This Row],[Uitvoeringen werkdagen]]*Ruimtestaat[[#This Row],[Oppervlak (netto)]]</f>
        <v>1040</v>
      </c>
      <c r="V88" s="253">
        <f>IF(T88&gt;0,Ruimtestaat[[#This Row],[Prest. (m2 /jaar) werkdagen]]/Ruimtestaat[[#This Row],[Norm (m2/uur) werkdagen]],0)</f>
        <v>0</v>
      </c>
      <c r="W88" s="254">
        <f>Ruimtestaat[[#This Row],[uren / jaar werkdagen]]*Tariefsopbouw!$D$38</f>
        <v>0</v>
      </c>
      <c r="X88" s="33"/>
      <c r="Y88" s="33">
        <f>IF(Ruimtestaat[[#This Row],[Frequentie weekend]]&gt;0,VALUE(LEFT(X88,1))*Q88,0)</f>
        <v>0</v>
      </c>
      <c r="Z88" s="33">
        <f>IF($Y88&gt;0,VLOOKUP($J88,Ruimtegroepen[],3,FALSE)*VLOOKUP($L88,Vloersoorten[],3,FALSE)*VLOOKUP($X88,Frequenties[],3,FALSE)*VLOOKUP(#REF!,Locaties[],3,FALSE),0)</f>
        <v>0</v>
      </c>
      <c r="AA88" s="33"/>
      <c r="AB88" s="33"/>
      <c r="AC88" s="33">
        <f>Ruimtestaat[[#This Row],[uren / jaar weekend]]*Tariefsopbouw!$D$40</f>
        <v>0</v>
      </c>
      <c r="AD88" s="88">
        <f>Ruimtestaat[[#This Row],[Prest. (m2 /jaar) weekend]]+Ruimtestaat[[#This Row],[Prest. (m2 /jaar) werkdagen]]</f>
        <v>1040</v>
      </c>
      <c r="AE88" s="88">
        <f>Ruimtestaat[[#This Row],[uren / jaar weekend]]+Ruimtestaat[[#This Row],[uren / jaar werkdagen]]</f>
        <v>0</v>
      </c>
      <c r="AF88" s="89">
        <f>Ruimtestaat[[#This Row],[kosten / jaar weekend]]+Ruimtestaat[[#This Row],[kosten / jaar werkdagen]]</f>
        <v>0</v>
      </c>
    </row>
    <row r="89" spans="1:219" ht="15" customHeight="1">
      <c r="A89" s="129">
        <v>1</v>
      </c>
      <c r="B89" s="21" t="str">
        <f>VLOOKUP(Ruimtestaat[[#This Row],[Code]],Locaties[#All],2,FALSE)</f>
        <v>Novalis College hoofdgebouw</v>
      </c>
      <c r="C89" s="240" t="str">
        <f>VLOOKUP(Ruimtestaat[[#This Row],[Code]],Locaties[#All],4,FALSE)</f>
        <v>Sterrenlaan 16</v>
      </c>
      <c r="D89" s="240" t="str">
        <f>VLOOKUP(Ruimtestaat[[#This Row],[Code]],Locaties[#All],5,FALSE)</f>
        <v>5631 KA</v>
      </c>
      <c r="E89" s="240" t="str">
        <f>VLOOKUP(Ruimtestaat[[#This Row],[Code]],Locaties[#All],6,FALSE)</f>
        <v>Eindhoven</v>
      </c>
      <c r="F89" s="213" t="s">
        <v>613</v>
      </c>
      <c r="G89" s="200" t="s">
        <v>525</v>
      </c>
      <c r="H89" s="200" t="s">
        <v>588</v>
      </c>
      <c r="I89" s="241" t="s">
        <v>516</v>
      </c>
      <c r="J89" s="240">
        <v>21</v>
      </c>
      <c r="K89" s="256" t="str">
        <f>VLOOKUP(Ruimtestaat[[#This Row],[Ruimte code]],Ruimtegroepen[#All],2,FALSE)</f>
        <v>Niet in onderhoud</v>
      </c>
      <c r="L89" s="213" t="s">
        <v>112</v>
      </c>
      <c r="M89" s="268" t="s">
        <v>555</v>
      </c>
      <c r="N89" s="212"/>
      <c r="O89" s="212">
        <v>27</v>
      </c>
      <c r="P89" s="240" t="str">
        <f>VLOOKUP(Ruimtestaat[[#This Row],[Ruimte code]],Ruimtegroepen[#All],4,FALSE)</f>
        <v>Niet in onderhoud</v>
      </c>
      <c r="Q89" s="213"/>
      <c r="R89" s="213"/>
      <c r="S89" s="213">
        <f>IF(Q89&gt;0,IF(RIGHT(Ruimtestaat[[#This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89" s="213">
        <f>IF(S89&gt;0,VLOOKUP($J89,Ruimtegroepen[],3,FALSE)*VLOOKUP($L89,Vloersoorten[],3,FALSE)*VLOOKUP($R89,Frequenties[],3,FALSE)*VLOOKUP($A89,Locaties[],3,FALSE),0)</f>
        <v>0</v>
      </c>
      <c r="U89" s="213">
        <f>Ruimtestaat[[#This Row],[Uitvoeringen werkdagen]]*Ruimtestaat[[#This Row],[Oppervlak (netto)]]</f>
        <v>0</v>
      </c>
      <c r="V89" s="253">
        <f>IF(T89&gt;0,Ruimtestaat[[#This Row],[Prest. (m2 /jaar) werkdagen]]/Ruimtestaat[[#This Row],[Norm (m2/uur) werkdagen]],0)</f>
        <v>0</v>
      </c>
      <c r="W89" s="254">
        <f>Ruimtestaat[[#This Row],[uren / jaar werkdagen]]*Tariefsopbouw!$D$38</f>
        <v>0</v>
      </c>
      <c r="X89" s="33"/>
      <c r="Y89" s="33">
        <f>IF(Ruimtestaat[[#This Row],[Frequentie weekend]]&gt;0,VALUE(LEFT(X89,1))*Q89,0)</f>
        <v>0</v>
      </c>
      <c r="Z89" s="33">
        <f>IF($Y89&gt;0,VLOOKUP($J89,Ruimtegroepen[],3,FALSE)*VLOOKUP($L89,Vloersoorten[],3,FALSE)*VLOOKUP($X89,Frequenties[],3,FALSE)*VLOOKUP(#REF!,Locaties[],3,FALSE),0)</f>
        <v>0</v>
      </c>
      <c r="AA89" s="33"/>
      <c r="AB89" s="33"/>
      <c r="AC89" s="33">
        <f>Ruimtestaat[[#This Row],[uren / jaar weekend]]*Tariefsopbouw!$D$40</f>
        <v>0</v>
      </c>
      <c r="AD89" s="88">
        <f>Ruimtestaat[[#This Row],[Prest. (m2 /jaar) weekend]]+Ruimtestaat[[#This Row],[Prest. (m2 /jaar) werkdagen]]</f>
        <v>0</v>
      </c>
      <c r="AE89" s="88">
        <f>Ruimtestaat[[#This Row],[uren / jaar weekend]]+Ruimtestaat[[#This Row],[uren / jaar werkdagen]]</f>
        <v>0</v>
      </c>
      <c r="AF89" s="89">
        <f>Ruimtestaat[[#This Row],[kosten / jaar weekend]]+Ruimtestaat[[#This Row],[kosten / jaar werkdagen]]</f>
        <v>0</v>
      </c>
    </row>
    <row r="90" spans="1:219" ht="15" customHeight="1">
      <c r="A90" s="129">
        <v>1</v>
      </c>
      <c r="B90" s="21" t="str">
        <f>VLOOKUP(Ruimtestaat[[#This Row],[Code]],Locaties[#All],2,FALSE)</f>
        <v>Novalis College hoofdgebouw</v>
      </c>
      <c r="C90" s="240" t="str">
        <f>VLOOKUP(Ruimtestaat[[#This Row],[Code]],Locaties[#All],4,FALSE)</f>
        <v>Sterrenlaan 16</v>
      </c>
      <c r="D90" s="240" t="str">
        <f>VLOOKUP(Ruimtestaat[[#This Row],[Code]],Locaties[#All],5,FALSE)</f>
        <v>5631 KA</v>
      </c>
      <c r="E90" s="240" t="str">
        <f>VLOOKUP(Ruimtestaat[[#This Row],[Code]],Locaties[#All],6,FALSE)</f>
        <v>Eindhoven</v>
      </c>
      <c r="F90" s="213" t="s">
        <v>613</v>
      </c>
      <c r="G90" s="200" t="s">
        <v>525</v>
      </c>
      <c r="H90" s="200" t="s">
        <v>589</v>
      </c>
      <c r="I90" s="241" t="s">
        <v>518</v>
      </c>
      <c r="J90" s="240">
        <v>21</v>
      </c>
      <c r="K90" s="256" t="str">
        <f>VLOOKUP(Ruimtestaat[[#This Row],[Ruimte code]],Ruimtegroepen[#All],2,FALSE)</f>
        <v>Niet in onderhoud</v>
      </c>
      <c r="L90" s="240" t="s">
        <v>111</v>
      </c>
      <c r="M90" s="268" t="s">
        <v>130</v>
      </c>
      <c r="N90" s="212"/>
      <c r="O90" s="212"/>
      <c r="P90" s="240" t="str">
        <f>VLOOKUP(Ruimtestaat[[#This Row],[Ruimte code]],Ruimtegroepen[#All],4,FALSE)</f>
        <v>Niet in onderhoud</v>
      </c>
      <c r="Q90" s="213"/>
      <c r="R90" s="213"/>
      <c r="S90" s="213">
        <f>IF(Q90&gt;0,IF(RIGHT(Ruimtestaat[[#This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90" s="213">
        <f>IF(S90&gt;0,VLOOKUP($J90,Ruimtegroepen[],3,FALSE)*VLOOKUP($L90,Vloersoorten[],3,FALSE)*VLOOKUP($R90,Frequenties[],3,FALSE)*VLOOKUP($A90,Locaties[],3,FALSE),0)</f>
        <v>0</v>
      </c>
      <c r="U90" s="213">
        <f>Ruimtestaat[[#This Row],[Uitvoeringen werkdagen]]*Ruimtestaat[[#This Row],[Oppervlak (netto)]]</f>
        <v>0</v>
      </c>
      <c r="V90" s="253">
        <f>IF(T90&gt;0,Ruimtestaat[[#This Row],[Prest. (m2 /jaar) werkdagen]]/Ruimtestaat[[#This Row],[Norm (m2/uur) werkdagen]],0)</f>
        <v>0</v>
      </c>
      <c r="W90" s="254">
        <f>Ruimtestaat[[#This Row],[uren / jaar werkdagen]]*Tariefsopbouw!$D$38</f>
        <v>0</v>
      </c>
      <c r="X90" s="33"/>
      <c r="Y90" s="33">
        <f>IF(Ruimtestaat[[#This Row],[Frequentie weekend]]&gt;0,VALUE(LEFT(X90,1))*Q90,0)</f>
        <v>0</v>
      </c>
      <c r="Z90" s="33">
        <f>IF($Y90&gt;0,VLOOKUP($J90,Ruimtegroepen[],3,FALSE)*VLOOKUP($L90,Vloersoorten[],3,FALSE)*VLOOKUP($X90,Frequenties[],3,FALSE)*VLOOKUP(#REF!,Locaties[],3,FALSE),0)</f>
        <v>0</v>
      </c>
      <c r="AA90" s="33"/>
      <c r="AB90" s="33"/>
      <c r="AC90" s="33">
        <f>Ruimtestaat[[#This Row],[uren / jaar weekend]]*Tariefsopbouw!$D$40</f>
        <v>0</v>
      </c>
      <c r="AD90" s="88">
        <f>Ruimtestaat[[#This Row],[Prest. (m2 /jaar) weekend]]+Ruimtestaat[[#This Row],[Prest. (m2 /jaar) werkdagen]]</f>
        <v>0</v>
      </c>
      <c r="AE90" s="88">
        <f>Ruimtestaat[[#This Row],[uren / jaar weekend]]+Ruimtestaat[[#This Row],[uren / jaar werkdagen]]</f>
        <v>0</v>
      </c>
      <c r="AF90" s="89">
        <f>Ruimtestaat[[#This Row],[kosten / jaar weekend]]+Ruimtestaat[[#This Row],[kosten / jaar werkdagen]]</f>
        <v>0</v>
      </c>
    </row>
    <row r="91" spans="1:219" ht="15" customHeight="1">
      <c r="A91" s="129">
        <v>1</v>
      </c>
      <c r="B91" s="21" t="str">
        <f>VLOOKUP(Ruimtestaat[[#This Row],[Code]],Locaties[#All],2,FALSE)</f>
        <v>Novalis College hoofdgebouw</v>
      </c>
      <c r="C91" s="240" t="str">
        <f>VLOOKUP(Ruimtestaat[[#This Row],[Code]],Locaties[#All],4,FALSE)</f>
        <v>Sterrenlaan 16</v>
      </c>
      <c r="D91" s="240" t="str">
        <f>VLOOKUP(Ruimtestaat[[#This Row],[Code]],Locaties[#All],5,FALSE)</f>
        <v>5631 KA</v>
      </c>
      <c r="E91" s="240" t="str">
        <f>VLOOKUP(Ruimtestaat[[#This Row],[Code]],Locaties[#All],6,FALSE)</f>
        <v>Eindhoven</v>
      </c>
      <c r="F91" s="213" t="s">
        <v>613</v>
      </c>
      <c r="G91" s="200" t="s">
        <v>525</v>
      </c>
      <c r="H91" s="200" t="s">
        <v>590</v>
      </c>
      <c r="I91" s="241" t="s">
        <v>591</v>
      </c>
      <c r="J91" s="200">
        <v>5</v>
      </c>
      <c r="K91" s="256" t="str">
        <f>VLOOKUP(Ruimtestaat[[#This Row],[Ruimte code]],Ruimtegroepen[#All],2,FALSE)</f>
        <v>Sanitair</v>
      </c>
      <c r="L91" s="240" t="s">
        <v>111</v>
      </c>
      <c r="M91" s="268" t="s">
        <v>551</v>
      </c>
      <c r="N91" s="212">
        <v>12</v>
      </c>
      <c r="O91" s="212"/>
      <c r="P91" s="240" t="str">
        <f>VLOOKUP(Ruimtestaat[[#This Row],[Ruimte code]],Ruimtegroepen[#All],4,FALSE)</f>
        <v>S  (Sanitair)</v>
      </c>
      <c r="Q91" s="213">
        <v>42</v>
      </c>
      <c r="R91" s="213" t="s">
        <v>2</v>
      </c>
      <c r="S91" s="213">
        <f>IF(Q91&gt;0,IF(RIGHT(Ruimtestaat[[#This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91" s="213">
        <f>IF(S91&gt;0,VLOOKUP($J91,Ruimtegroepen[],3,FALSE)*VLOOKUP($L91,Vloersoorten[],3,FALSE)*VLOOKUP($R91,Frequenties[],3,FALSE)*VLOOKUP($A91,Locaties[],3,FALSE),0)</f>
        <v>0</v>
      </c>
      <c r="U91" s="213">
        <f>Ruimtestaat[[#This Row],[Uitvoeringen werkdagen]]*Ruimtestaat[[#This Row],[Oppervlak (netto)]]</f>
        <v>2520</v>
      </c>
      <c r="V91" s="253">
        <f>IF(T91&gt;0,Ruimtestaat[[#This Row],[Prest. (m2 /jaar) werkdagen]]/Ruimtestaat[[#This Row],[Norm (m2/uur) werkdagen]],0)</f>
        <v>0</v>
      </c>
      <c r="W91" s="254">
        <f>Ruimtestaat[[#This Row],[uren / jaar werkdagen]]*Tariefsopbouw!$D$38</f>
        <v>0</v>
      </c>
      <c r="X91" s="33"/>
      <c r="Y91" s="33">
        <f>IF(Ruimtestaat[[#This Row],[Frequentie weekend]]&gt;0,VALUE(LEFT(X91,1))*Q91,0)</f>
        <v>0</v>
      </c>
      <c r="Z91" s="33">
        <f>IF($Y91&gt;0,VLOOKUP($J91,Ruimtegroepen[],3,FALSE)*VLOOKUP($L91,Vloersoorten[],3,FALSE)*VLOOKUP($X91,Frequenties[],3,FALSE)*VLOOKUP(#REF!,Locaties[],3,FALSE),0)</f>
        <v>0</v>
      </c>
      <c r="AA91" s="33"/>
      <c r="AB91" s="33"/>
      <c r="AC91" s="33">
        <f>Ruimtestaat[[#This Row],[uren / jaar weekend]]*Tariefsopbouw!$D$40</f>
        <v>0</v>
      </c>
      <c r="AD91" s="88">
        <f>Ruimtestaat[[#This Row],[Prest. (m2 /jaar) weekend]]+Ruimtestaat[[#This Row],[Prest. (m2 /jaar) werkdagen]]</f>
        <v>2520</v>
      </c>
      <c r="AE91" s="88">
        <f>Ruimtestaat[[#This Row],[uren / jaar weekend]]+Ruimtestaat[[#This Row],[uren / jaar werkdagen]]</f>
        <v>0</v>
      </c>
      <c r="AF91" s="89">
        <f>Ruimtestaat[[#This Row],[kosten / jaar weekend]]+Ruimtestaat[[#This Row],[kosten / jaar werkdagen]]</f>
        <v>0</v>
      </c>
    </row>
    <row r="92" spans="1:219" ht="15" customHeight="1">
      <c r="A92" s="129">
        <v>1</v>
      </c>
      <c r="B92" s="21" t="str">
        <f>VLOOKUP(Ruimtestaat[[#This Row],[Code]],Locaties[#All],2,FALSE)</f>
        <v>Novalis College hoofdgebouw</v>
      </c>
      <c r="C92" s="240" t="str">
        <f>VLOOKUP(Ruimtestaat[[#This Row],[Code]],Locaties[#All],4,FALSE)</f>
        <v>Sterrenlaan 16</v>
      </c>
      <c r="D92" s="240" t="str">
        <f>VLOOKUP(Ruimtestaat[[#This Row],[Code]],Locaties[#All],5,FALSE)</f>
        <v>5631 KA</v>
      </c>
      <c r="E92" s="240" t="str">
        <f>VLOOKUP(Ruimtestaat[[#This Row],[Code]],Locaties[#All],6,FALSE)</f>
        <v>Eindhoven</v>
      </c>
      <c r="F92" s="213" t="s">
        <v>613</v>
      </c>
      <c r="G92" s="200" t="s">
        <v>525</v>
      </c>
      <c r="H92" s="200" t="s">
        <v>592</v>
      </c>
      <c r="I92" s="241" t="s">
        <v>449</v>
      </c>
      <c r="J92" s="240">
        <v>19</v>
      </c>
      <c r="K92" s="256" t="str">
        <f>VLOOKUP(Ruimtestaat[[#This Row],[Ruimte code]],Ruimtegroepen[#All],2,FALSE)</f>
        <v>Kleedruimten</v>
      </c>
      <c r="L92" s="240" t="s">
        <v>111</v>
      </c>
      <c r="M92" s="268" t="s">
        <v>551</v>
      </c>
      <c r="N92" s="212">
        <v>24</v>
      </c>
      <c r="O92" s="212"/>
      <c r="P92" s="240" t="str">
        <f>VLOOKUP(Ruimtestaat[[#This Row],[Ruimte code]],Ruimtegroepen[#All],4,FALSE)</f>
        <v>V  (Verkeersruimte)</v>
      </c>
      <c r="Q92" s="213">
        <v>40</v>
      </c>
      <c r="R92" s="213" t="s">
        <v>2</v>
      </c>
      <c r="S92" s="213">
        <f>IF(Q92&gt;0,IF(RIGHT(Ruimtestaat[[#This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2" s="213">
        <f>IF(S92&gt;0,VLOOKUP($J92,Ruimtegroepen[],3,FALSE)*VLOOKUP($L92,Vloersoorten[],3,FALSE)*VLOOKUP($R92,Frequenties[],3,FALSE)*VLOOKUP($A92,Locaties[],3,FALSE),0)</f>
        <v>0</v>
      </c>
      <c r="U92" s="213">
        <f>Ruimtestaat[[#This Row],[Uitvoeringen werkdagen]]*Ruimtestaat[[#This Row],[Oppervlak (netto)]]</f>
        <v>4800</v>
      </c>
      <c r="V92" s="253">
        <f>IF(T92&gt;0,Ruimtestaat[[#This Row],[Prest. (m2 /jaar) werkdagen]]/Ruimtestaat[[#This Row],[Norm (m2/uur) werkdagen]],0)</f>
        <v>0</v>
      </c>
      <c r="W92" s="254">
        <f>Ruimtestaat[[#This Row],[uren / jaar werkdagen]]*Tariefsopbouw!$D$38</f>
        <v>0</v>
      </c>
      <c r="X92" s="33"/>
      <c r="Y92" s="33">
        <f>IF(Ruimtestaat[[#This Row],[Frequentie weekend]]&gt;0,VALUE(LEFT(X92,1))*Q92,0)</f>
        <v>0</v>
      </c>
      <c r="Z92" s="33">
        <f>IF($Y92&gt;0,VLOOKUP($J92,Ruimtegroepen[],3,FALSE)*VLOOKUP($L92,Vloersoorten[],3,FALSE)*VLOOKUP($X92,Frequenties[],3,FALSE)*VLOOKUP(#REF!,Locaties[],3,FALSE),0)</f>
        <v>0</v>
      </c>
      <c r="AA92" s="33"/>
      <c r="AB92" s="33"/>
      <c r="AC92" s="33">
        <f>Ruimtestaat[[#This Row],[uren / jaar weekend]]*Tariefsopbouw!$D$40</f>
        <v>0</v>
      </c>
      <c r="AD92" s="88">
        <f>Ruimtestaat[[#This Row],[Prest. (m2 /jaar) weekend]]+Ruimtestaat[[#This Row],[Prest. (m2 /jaar) werkdagen]]</f>
        <v>4800</v>
      </c>
      <c r="AE92" s="88">
        <f>Ruimtestaat[[#This Row],[uren / jaar weekend]]+Ruimtestaat[[#This Row],[uren / jaar werkdagen]]</f>
        <v>0</v>
      </c>
      <c r="AF92" s="89">
        <f>Ruimtestaat[[#This Row],[kosten / jaar weekend]]+Ruimtestaat[[#This Row],[kosten / jaar werkdagen]]</f>
        <v>0</v>
      </c>
    </row>
    <row r="93" spans="1:219" ht="15" customHeight="1">
      <c r="A93" s="129">
        <v>1</v>
      </c>
      <c r="B93" s="21" t="str">
        <f>VLOOKUP(Ruimtestaat[[#This Row],[Code]],Locaties[#All],2,FALSE)</f>
        <v>Novalis College hoofdgebouw</v>
      </c>
      <c r="C93" s="240" t="str">
        <f>VLOOKUP(Ruimtestaat[[#This Row],[Code]],Locaties[#All],4,FALSE)</f>
        <v>Sterrenlaan 16</v>
      </c>
      <c r="D93" s="240" t="str">
        <f>VLOOKUP(Ruimtestaat[[#This Row],[Code]],Locaties[#All],5,FALSE)</f>
        <v>5631 KA</v>
      </c>
      <c r="E93" s="240" t="str">
        <f>VLOOKUP(Ruimtestaat[[#This Row],[Code]],Locaties[#All],6,FALSE)</f>
        <v>Eindhoven</v>
      </c>
      <c r="F93" s="213" t="s">
        <v>613</v>
      </c>
      <c r="G93" s="200" t="s">
        <v>525</v>
      </c>
      <c r="H93" s="200" t="s">
        <v>593</v>
      </c>
      <c r="I93" s="241" t="s">
        <v>451</v>
      </c>
      <c r="J93" s="240">
        <v>19</v>
      </c>
      <c r="K93" s="256" t="str">
        <f>VLOOKUP(Ruimtestaat[[#This Row],[Ruimte code]],Ruimtegroepen[#All],2,FALSE)</f>
        <v>Kleedruimten</v>
      </c>
      <c r="L93" s="240" t="s">
        <v>111</v>
      </c>
      <c r="M93" s="268" t="s">
        <v>551</v>
      </c>
      <c r="N93" s="212">
        <v>19</v>
      </c>
      <c r="O93" s="212"/>
      <c r="P93" s="240" t="str">
        <f>VLOOKUP(Ruimtestaat[[#This Row],[Ruimte code]],Ruimtegroepen[#All],4,FALSE)</f>
        <v>V  (Verkeersruimte)</v>
      </c>
      <c r="Q93" s="213">
        <v>40</v>
      </c>
      <c r="R93" s="213" t="s">
        <v>2</v>
      </c>
      <c r="S93" s="213">
        <f>IF(Q93&gt;0,IF(RIGHT(Ruimtestaat[[#This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3" s="213">
        <f>IF(S93&gt;0,VLOOKUP($J93,Ruimtegroepen[],3,FALSE)*VLOOKUP($L93,Vloersoorten[],3,FALSE)*VLOOKUP($R93,Frequenties[],3,FALSE)*VLOOKUP($A93,Locaties[],3,FALSE),0)</f>
        <v>0</v>
      </c>
      <c r="U93" s="213">
        <f>Ruimtestaat[[#This Row],[Uitvoeringen werkdagen]]*Ruimtestaat[[#This Row],[Oppervlak (netto)]]</f>
        <v>3800</v>
      </c>
      <c r="V93" s="253">
        <f>IF(T93&gt;0,Ruimtestaat[[#This Row],[Prest. (m2 /jaar) werkdagen]]/Ruimtestaat[[#This Row],[Norm (m2/uur) werkdagen]],0)</f>
        <v>0</v>
      </c>
      <c r="W93" s="254">
        <f>Ruimtestaat[[#This Row],[uren / jaar werkdagen]]*Tariefsopbouw!$D$38</f>
        <v>0</v>
      </c>
      <c r="X93" s="33"/>
      <c r="Y93" s="33">
        <f>IF(Ruimtestaat[[#This Row],[Frequentie weekend]]&gt;0,VALUE(LEFT(X93,1))*Q93,0)</f>
        <v>0</v>
      </c>
      <c r="Z93" s="33">
        <f>IF($Y93&gt;0,VLOOKUP($J93,Ruimtegroepen[],3,FALSE)*VLOOKUP($L93,Vloersoorten[],3,FALSE)*VLOOKUP($X93,Frequenties[],3,FALSE)*VLOOKUP(#REF!,Locaties[],3,FALSE),0)</f>
        <v>0</v>
      </c>
      <c r="AA93" s="33"/>
      <c r="AB93" s="33"/>
      <c r="AC93" s="33">
        <f>Ruimtestaat[[#This Row],[uren / jaar weekend]]*Tariefsopbouw!$D$40</f>
        <v>0</v>
      </c>
      <c r="AD93" s="88">
        <f>Ruimtestaat[[#This Row],[Prest. (m2 /jaar) weekend]]+Ruimtestaat[[#This Row],[Prest. (m2 /jaar) werkdagen]]</f>
        <v>3800</v>
      </c>
      <c r="AE93" s="88">
        <f>Ruimtestaat[[#This Row],[uren / jaar weekend]]+Ruimtestaat[[#This Row],[uren / jaar werkdagen]]</f>
        <v>0</v>
      </c>
      <c r="AF93" s="89">
        <f>Ruimtestaat[[#This Row],[kosten / jaar weekend]]+Ruimtestaat[[#This Row],[kosten / jaar werkdagen]]</f>
        <v>0</v>
      </c>
    </row>
    <row r="94" spans="1:219" ht="15" customHeight="1">
      <c r="A94" s="129">
        <v>1</v>
      </c>
      <c r="B94" s="21" t="str">
        <f>VLOOKUP(Ruimtestaat[[#This Row],[Code]],Locaties[#All],2,FALSE)</f>
        <v>Novalis College hoofdgebouw</v>
      </c>
      <c r="C94" s="240" t="str">
        <f>VLOOKUP(Ruimtestaat[[#This Row],[Code]],Locaties[#All],4,FALSE)</f>
        <v>Sterrenlaan 16</v>
      </c>
      <c r="D94" s="240" t="str">
        <f>VLOOKUP(Ruimtestaat[[#This Row],[Code]],Locaties[#All],5,FALSE)</f>
        <v>5631 KA</v>
      </c>
      <c r="E94" s="240" t="str">
        <f>VLOOKUP(Ruimtestaat[[#This Row],[Code]],Locaties[#All],6,FALSE)</f>
        <v>Eindhoven</v>
      </c>
      <c r="F94" s="213" t="s">
        <v>613</v>
      </c>
      <c r="G94" s="200" t="s">
        <v>525</v>
      </c>
      <c r="H94" s="200" t="s">
        <v>594</v>
      </c>
      <c r="I94" s="241" t="s">
        <v>595</v>
      </c>
      <c r="J94" s="200">
        <v>5</v>
      </c>
      <c r="K94" s="256" t="str">
        <f>VLOOKUP(Ruimtestaat[[#This Row],[Ruimte code]],Ruimtegroepen[#All],2,FALSE)</f>
        <v>Sanitair</v>
      </c>
      <c r="L94" s="240" t="s">
        <v>111</v>
      </c>
      <c r="M94" s="268" t="s">
        <v>551</v>
      </c>
      <c r="N94" s="212">
        <v>11</v>
      </c>
      <c r="O94" s="212"/>
      <c r="P94" s="240" t="str">
        <f>VLOOKUP(Ruimtestaat[[#This Row],[Ruimte code]],Ruimtegroepen[#All],4,FALSE)</f>
        <v>S  (Sanitair)</v>
      </c>
      <c r="Q94" s="213">
        <v>42</v>
      </c>
      <c r="R94" s="213" t="s">
        <v>2</v>
      </c>
      <c r="S94" s="213">
        <f>IF(Q94&gt;0,IF(RIGHT(Ruimtestaat[[#This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94" s="213">
        <f>IF(S94&gt;0,VLOOKUP($J94,Ruimtegroepen[],3,FALSE)*VLOOKUP($L94,Vloersoorten[],3,FALSE)*VLOOKUP($R94,Frequenties[],3,FALSE)*VLOOKUP($A94,Locaties[],3,FALSE),0)</f>
        <v>0</v>
      </c>
      <c r="U94" s="213">
        <f>Ruimtestaat[[#This Row],[Uitvoeringen werkdagen]]*Ruimtestaat[[#This Row],[Oppervlak (netto)]]</f>
        <v>2310</v>
      </c>
      <c r="V94" s="253">
        <f>IF(T94&gt;0,Ruimtestaat[[#This Row],[Prest. (m2 /jaar) werkdagen]]/Ruimtestaat[[#This Row],[Norm (m2/uur) werkdagen]],0)</f>
        <v>0</v>
      </c>
      <c r="W94" s="254">
        <f>Ruimtestaat[[#This Row],[uren / jaar werkdagen]]*Tariefsopbouw!$D$38</f>
        <v>0</v>
      </c>
      <c r="X94" s="33"/>
      <c r="Y94" s="33">
        <f>IF(Ruimtestaat[[#This Row],[Frequentie weekend]]&gt;0,VALUE(LEFT(X94,1))*Q94,0)</f>
        <v>0</v>
      </c>
      <c r="Z94" s="33">
        <f>IF($Y94&gt;0,VLOOKUP($J94,Ruimtegroepen[],3,FALSE)*VLOOKUP($L94,Vloersoorten[],3,FALSE)*VLOOKUP($X94,Frequenties[],3,FALSE)*VLOOKUP(#REF!,Locaties[],3,FALSE),0)</f>
        <v>0</v>
      </c>
      <c r="AA94" s="33"/>
      <c r="AB94" s="33"/>
      <c r="AC94" s="33">
        <f>Ruimtestaat[[#This Row],[uren / jaar weekend]]*Tariefsopbouw!$D$40</f>
        <v>0</v>
      </c>
      <c r="AD94" s="88">
        <f>Ruimtestaat[[#This Row],[Prest. (m2 /jaar) weekend]]+Ruimtestaat[[#This Row],[Prest. (m2 /jaar) werkdagen]]</f>
        <v>2310</v>
      </c>
      <c r="AE94" s="88">
        <f>Ruimtestaat[[#This Row],[uren / jaar weekend]]+Ruimtestaat[[#This Row],[uren / jaar werkdagen]]</f>
        <v>0</v>
      </c>
      <c r="AF94" s="89">
        <f>Ruimtestaat[[#This Row],[kosten / jaar weekend]]+Ruimtestaat[[#This Row],[kosten / jaar werkdagen]]</f>
        <v>0</v>
      </c>
    </row>
    <row r="95" spans="1:219" ht="15" customHeight="1">
      <c r="A95" s="129">
        <v>1</v>
      </c>
      <c r="B95" s="21" t="str">
        <f>VLOOKUP(Ruimtestaat[[#This Row],[Code]],Locaties[#All],2,FALSE)</f>
        <v>Novalis College hoofdgebouw</v>
      </c>
      <c r="C95" s="240" t="str">
        <f>VLOOKUP(Ruimtestaat[[#This Row],[Code]],Locaties[#All],4,FALSE)</f>
        <v>Sterrenlaan 16</v>
      </c>
      <c r="D95" s="240" t="str">
        <f>VLOOKUP(Ruimtestaat[[#This Row],[Code]],Locaties[#All],5,FALSE)</f>
        <v>5631 KA</v>
      </c>
      <c r="E95" s="240" t="str">
        <f>VLOOKUP(Ruimtestaat[[#This Row],[Code]],Locaties[#All],6,FALSE)</f>
        <v>Eindhoven</v>
      </c>
      <c r="F95" s="213" t="s">
        <v>613</v>
      </c>
      <c r="G95" s="200" t="s">
        <v>525</v>
      </c>
      <c r="H95" s="200" t="s">
        <v>596</v>
      </c>
      <c r="I95" s="241" t="s">
        <v>597</v>
      </c>
      <c r="J95" s="240">
        <v>19</v>
      </c>
      <c r="K95" s="256" t="str">
        <f>VLOOKUP(Ruimtestaat[[#This Row],[Ruimte code]],Ruimtegroepen[#All],2,FALSE)</f>
        <v>Kleedruimten</v>
      </c>
      <c r="L95" s="240" t="s">
        <v>111</v>
      </c>
      <c r="M95" s="268" t="s">
        <v>551</v>
      </c>
      <c r="N95" s="212">
        <v>7</v>
      </c>
      <c r="O95" s="212"/>
      <c r="P95" s="240" t="str">
        <f>VLOOKUP(Ruimtestaat[[#This Row],[Ruimte code]],Ruimtegroepen[#All],4,FALSE)</f>
        <v>V  (Verkeersruimte)</v>
      </c>
      <c r="Q95" s="213">
        <v>40</v>
      </c>
      <c r="R95" s="213" t="s">
        <v>2</v>
      </c>
      <c r="S95" s="213">
        <f>IF(Q95&gt;0,IF(RIGHT(Ruimtestaat[[#This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5" s="213">
        <f>IF(S95&gt;0,VLOOKUP($J95,Ruimtegroepen[],3,FALSE)*VLOOKUP($L95,Vloersoorten[],3,FALSE)*VLOOKUP($R95,Frequenties[],3,FALSE)*VLOOKUP($A95,Locaties[],3,FALSE),0)</f>
        <v>0</v>
      </c>
      <c r="U95" s="213">
        <f>Ruimtestaat[[#This Row],[Uitvoeringen werkdagen]]*Ruimtestaat[[#This Row],[Oppervlak (netto)]]</f>
        <v>1400</v>
      </c>
      <c r="V95" s="253">
        <f>IF(T95&gt;0,Ruimtestaat[[#This Row],[Prest. (m2 /jaar) werkdagen]]/Ruimtestaat[[#This Row],[Norm (m2/uur) werkdagen]],0)</f>
        <v>0</v>
      </c>
      <c r="W95" s="254">
        <f>Ruimtestaat[[#This Row],[uren / jaar werkdagen]]*Tariefsopbouw!$D$38</f>
        <v>0</v>
      </c>
      <c r="X95" s="33"/>
      <c r="Y95" s="33">
        <f>IF(Ruimtestaat[[#This Row],[Frequentie weekend]]&gt;0,VALUE(LEFT(X95,1))*Q95,0)</f>
        <v>0</v>
      </c>
      <c r="Z95" s="33">
        <f>IF($Y95&gt;0,VLOOKUP($J95,Ruimtegroepen[],3,FALSE)*VLOOKUP($L95,Vloersoorten[],3,FALSE)*VLOOKUP($X95,Frequenties[],3,FALSE)*VLOOKUP(#REF!,Locaties[],3,FALSE),0)</f>
        <v>0</v>
      </c>
      <c r="AA95" s="33"/>
      <c r="AB95" s="33"/>
      <c r="AC95" s="33">
        <f>Ruimtestaat[[#This Row],[uren / jaar weekend]]*Tariefsopbouw!$D$40</f>
        <v>0</v>
      </c>
      <c r="AD95" s="88">
        <f>Ruimtestaat[[#This Row],[Prest. (m2 /jaar) weekend]]+Ruimtestaat[[#This Row],[Prest. (m2 /jaar) werkdagen]]</f>
        <v>1400</v>
      </c>
      <c r="AE95" s="88">
        <f>Ruimtestaat[[#This Row],[uren / jaar weekend]]+Ruimtestaat[[#This Row],[uren / jaar werkdagen]]</f>
        <v>0</v>
      </c>
      <c r="AF95" s="89">
        <f>Ruimtestaat[[#This Row],[kosten / jaar weekend]]+Ruimtestaat[[#This Row],[kosten / jaar werkdagen]]</f>
        <v>0</v>
      </c>
    </row>
    <row r="96" spans="1:219" ht="15" customHeight="1">
      <c r="A96" s="129">
        <v>1</v>
      </c>
      <c r="B96" s="21" t="str">
        <f>VLOOKUP(Ruimtestaat[[#This Row],[Code]],Locaties[#All],2,FALSE)</f>
        <v>Novalis College hoofdgebouw</v>
      </c>
      <c r="C96" s="240" t="str">
        <f>VLOOKUP(Ruimtestaat[[#This Row],[Code]],Locaties[#All],4,FALSE)</f>
        <v>Sterrenlaan 16</v>
      </c>
      <c r="D96" s="240" t="str">
        <f>VLOOKUP(Ruimtestaat[[#This Row],[Code]],Locaties[#All],5,FALSE)</f>
        <v>5631 KA</v>
      </c>
      <c r="E96" s="240" t="str">
        <f>VLOOKUP(Ruimtestaat[[#This Row],[Code]],Locaties[#All],6,FALSE)</f>
        <v>Eindhoven</v>
      </c>
      <c r="F96" s="213" t="s">
        <v>613</v>
      </c>
      <c r="G96" s="200" t="s">
        <v>525</v>
      </c>
      <c r="H96" s="200" t="s">
        <v>598</v>
      </c>
      <c r="I96" s="241" t="s">
        <v>514</v>
      </c>
      <c r="J96" s="200">
        <v>16</v>
      </c>
      <c r="K96" s="256" t="str">
        <f>VLOOKUP(Ruimtestaat[[#This Row],[Ruimte code]],Ruimtegroepen[#All],2,FALSE)</f>
        <v>Lokaal</v>
      </c>
      <c r="L96" s="213" t="s">
        <v>110</v>
      </c>
      <c r="M96" s="268" t="s">
        <v>277</v>
      </c>
      <c r="N96" s="212">
        <v>48</v>
      </c>
      <c r="O96" s="212"/>
      <c r="P96" s="240" t="str">
        <f>VLOOKUP(Ruimtestaat[[#This Row],[Ruimte code]],Ruimtegroepen[#All],4,FALSE)</f>
        <v>L  (Lesruimte)</v>
      </c>
      <c r="Q96" s="213">
        <v>40</v>
      </c>
      <c r="R96" s="213" t="s">
        <v>2</v>
      </c>
      <c r="S96" s="213">
        <f>IF(Q96&gt;0,IF(RIGHT(Ruimtestaat[[#This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6" s="213">
        <f>IF(S96&gt;0,VLOOKUP($J96,Ruimtegroepen[],3,FALSE)*VLOOKUP($L96,Vloersoorten[],3,FALSE)*VLOOKUP($R96,Frequenties[],3,FALSE)*VLOOKUP($A96,Locaties[],3,FALSE),0)</f>
        <v>0</v>
      </c>
      <c r="U96" s="213">
        <f>Ruimtestaat[[#This Row],[Uitvoeringen werkdagen]]*Ruimtestaat[[#This Row],[Oppervlak (netto)]]</f>
        <v>9600</v>
      </c>
      <c r="V96" s="253">
        <f>IF(T96&gt;0,Ruimtestaat[[#This Row],[Prest. (m2 /jaar) werkdagen]]/Ruimtestaat[[#This Row],[Norm (m2/uur) werkdagen]],0)</f>
        <v>0</v>
      </c>
      <c r="W96" s="254">
        <f>Ruimtestaat[[#This Row],[uren / jaar werkdagen]]*Tariefsopbouw!$D$38</f>
        <v>0</v>
      </c>
      <c r="X96" s="33"/>
      <c r="Y96" s="33">
        <f>IF(Ruimtestaat[[#This Row],[Frequentie weekend]]&gt;0,VALUE(LEFT(X96,1))*Q96,0)</f>
        <v>0</v>
      </c>
      <c r="Z96" s="33">
        <f>IF($Y96&gt;0,VLOOKUP($J96,Ruimtegroepen[],3,FALSE)*VLOOKUP($L96,Vloersoorten[],3,FALSE)*VLOOKUP($X96,Frequenties[],3,FALSE)*VLOOKUP(#REF!,Locaties[],3,FALSE),0)</f>
        <v>0</v>
      </c>
      <c r="AA96" s="33"/>
      <c r="AB96" s="33"/>
      <c r="AC96" s="33">
        <f>Ruimtestaat[[#This Row],[uren / jaar weekend]]*Tariefsopbouw!$D$40</f>
        <v>0</v>
      </c>
      <c r="AD96" s="88">
        <f>Ruimtestaat[[#This Row],[Prest. (m2 /jaar) weekend]]+Ruimtestaat[[#This Row],[Prest. (m2 /jaar) werkdagen]]</f>
        <v>9600</v>
      </c>
      <c r="AE96" s="88">
        <f>Ruimtestaat[[#This Row],[uren / jaar weekend]]+Ruimtestaat[[#This Row],[uren / jaar werkdagen]]</f>
        <v>0</v>
      </c>
      <c r="AF96" s="89">
        <f>Ruimtestaat[[#This Row],[kosten / jaar weekend]]+Ruimtestaat[[#This Row],[kosten / jaar werkdagen]]</f>
        <v>0</v>
      </c>
    </row>
    <row r="97" spans="1:32" ht="15" customHeight="1">
      <c r="A97" s="129">
        <v>1</v>
      </c>
      <c r="B97" s="21" t="str">
        <f>VLOOKUP(Ruimtestaat[[#This Row],[Code]],Locaties[#All],2,FALSE)</f>
        <v>Novalis College hoofdgebouw</v>
      </c>
      <c r="C97" s="240" t="str">
        <f>VLOOKUP(Ruimtestaat[[#This Row],[Code]],Locaties[#All],4,FALSE)</f>
        <v>Sterrenlaan 16</v>
      </c>
      <c r="D97" s="240" t="str">
        <f>VLOOKUP(Ruimtestaat[[#This Row],[Code]],Locaties[#All],5,FALSE)</f>
        <v>5631 KA</v>
      </c>
      <c r="E97" s="240" t="str">
        <f>VLOOKUP(Ruimtestaat[[#This Row],[Code]],Locaties[#All],6,FALSE)</f>
        <v>Eindhoven</v>
      </c>
      <c r="F97" s="213" t="s">
        <v>613</v>
      </c>
      <c r="G97" s="200" t="s">
        <v>525</v>
      </c>
      <c r="H97" s="200" t="s">
        <v>599</v>
      </c>
      <c r="I97" s="241" t="s">
        <v>514</v>
      </c>
      <c r="J97" s="200">
        <v>16</v>
      </c>
      <c r="K97" s="256" t="str">
        <f>VLOOKUP(Ruimtestaat[[#This Row],[Ruimte code]],Ruimtegroepen[#All],2,FALSE)</f>
        <v>Lokaal</v>
      </c>
      <c r="L97" s="213" t="s">
        <v>110</v>
      </c>
      <c r="M97" s="268" t="s">
        <v>277</v>
      </c>
      <c r="N97" s="212">
        <v>48</v>
      </c>
      <c r="O97" s="212"/>
      <c r="P97" s="240" t="str">
        <f>VLOOKUP(Ruimtestaat[[#This Row],[Ruimte code]],Ruimtegroepen[#All],4,FALSE)</f>
        <v>L  (Lesruimte)</v>
      </c>
      <c r="Q97" s="213">
        <v>40</v>
      </c>
      <c r="R97" s="213" t="s">
        <v>2</v>
      </c>
      <c r="S97" s="213">
        <f>IF(Q97&gt;0,IF(RIGHT(Ruimtestaat[[#This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7" s="213">
        <f>IF(S97&gt;0,VLOOKUP($J97,Ruimtegroepen[],3,FALSE)*VLOOKUP($L97,Vloersoorten[],3,FALSE)*VLOOKUP($R97,Frequenties[],3,FALSE)*VLOOKUP($A97,Locaties[],3,FALSE),0)</f>
        <v>0</v>
      </c>
      <c r="U97" s="213">
        <f>Ruimtestaat[[#This Row],[Uitvoeringen werkdagen]]*Ruimtestaat[[#This Row],[Oppervlak (netto)]]</f>
        <v>9600</v>
      </c>
      <c r="V97" s="253">
        <f>IF(T97&gt;0,Ruimtestaat[[#This Row],[Prest. (m2 /jaar) werkdagen]]/Ruimtestaat[[#This Row],[Norm (m2/uur) werkdagen]],0)</f>
        <v>0</v>
      </c>
      <c r="W97" s="254">
        <f>Ruimtestaat[[#This Row],[uren / jaar werkdagen]]*Tariefsopbouw!$D$38</f>
        <v>0</v>
      </c>
      <c r="X97" s="33"/>
      <c r="Y97" s="33">
        <f>IF(Ruimtestaat[[#This Row],[Frequentie weekend]]&gt;0,VALUE(LEFT(X97,1))*Q97,0)</f>
        <v>0</v>
      </c>
      <c r="Z97" s="33">
        <f>IF($Y97&gt;0,VLOOKUP($J97,Ruimtegroepen[],3,FALSE)*VLOOKUP($L97,Vloersoorten[],3,FALSE)*VLOOKUP($X97,Frequenties[],3,FALSE)*VLOOKUP(#REF!,Locaties[],3,FALSE),0)</f>
        <v>0</v>
      </c>
      <c r="AA97" s="33"/>
      <c r="AB97" s="33"/>
      <c r="AC97" s="33">
        <f>Ruimtestaat[[#This Row],[uren / jaar weekend]]*Tariefsopbouw!$D$40</f>
        <v>0</v>
      </c>
      <c r="AD97" s="88">
        <f>Ruimtestaat[[#This Row],[Prest. (m2 /jaar) weekend]]+Ruimtestaat[[#This Row],[Prest. (m2 /jaar) werkdagen]]</f>
        <v>9600</v>
      </c>
      <c r="AE97" s="88">
        <f>Ruimtestaat[[#This Row],[uren / jaar weekend]]+Ruimtestaat[[#This Row],[uren / jaar werkdagen]]</f>
        <v>0</v>
      </c>
      <c r="AF97" s="89">
        <f>Ruimtestaat[[#This Row],[kosten / jaar weekend]]+Ruimtestaat[[#This Row],[kosten / jaar werkdagen]]</f>
        <v>0</v>
      </c>
    </row>
    <row r="98" spans="1:32" ht="15" customHeight="1">
      <c r="A98" s="129">
        <v>1</v>
      </c>
      <c r="B98" s="21" t="str">
        <f>VLOOKUP(Ruimtestaat[[#This Row],[Code]],Locaties[#All],2,FALSE)</f>
        <v>Novalis College hoofdgebouw</v>
      </c>
      <c r="C98" s="240" t="str">
        <f>VLOOKUP(Ruimtestaat[[#This Row],[Code]],Locaties[#All],4,FALSE)</f>
        <v>Sterrenlaan 16</v>
      </c>
      <c r="D98" s="240" t="str">
        <f>VLOOKUP(Ruimtestaat[[#This Row],[Code]],Locaties[#All],5,FALSE)</f>
        <v>5631 KA</v>
      </c>
      <c r="E98" s="240" t="str">
        <f>VLOOKUP(Ruimtestaat[[#This Row],[Code]],Locaties[#All],6,FALSE)</f>
        <v>Eindhoven</v>
      </c>
      <c r="F98" s="213" t="s">
        <v>613</v>
      </c>
      <c r="G98" s="200" t="s">
        <v>525</v>
      </c>
      <c r="H98" s="200" t="s">
        <v>600</v>
      </c>
      <c r="I98" s="241" t="s">
        <v>514</v>
      </c>
      <c r="J98" s="200">
        <v>16</v>
      </c>
      <c r="K98" s="256" t="str">
        <f>VLOOKUP(Ruimtestaat[[#This Row],[Ruimte code]],Ruimtegroepen[#All],2,FALSE)</f>
        <v>Lokaal</v>
      </c>
      <c r="L98" s="213" t="s">
        <v>110</v>
      </c>
      <c r="M98" s="268" t="s">
        <v>277</v>
      </c>
      <c r="N98" s="212">
        <v>48</v>
      </c>
      <c r="O98" s="212"/>
      <c r="P98" s="240" t="str">
        <f>VLOOKUP(Ruimtestaat[[#This Row],[Ruimte code]],Ruimtegroepen[#All],4,FALSE)</f>
        <v>L  (Lesruimte)</v>
      </c>
      <c r="Q98" s="213">
        <v>40</v>
      </c>
      <c r="R98" s="213" t="s">
        <v>2</v>
      </c>
      <c r="S98" s="213">
        <f>IF(Q98&gt;0,IF(RIGHT(Ruimtestaat[[#This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8" s="213">
        <f>IF(S98&gt;0,VLOOKUP($J98,Ruimtegroepen[],3,FALSE)*VLOOKUP($L98,Vloersoorten[],3,FALSE)*VLOOKUP($R98,Frequenties[],3,FALSE)*VLOOKUP($A98,Locaties[],3,FALSE),0)</f>
        <v>0</v>
      </c>
      <c r="U98" s="213">
        <f>Ruimtestaat[[#This Row],[Uitvoeringen werkdagen]]*Ruimtestaat[[#This Row],[Oppervlak (netto)]]</f>
        <v>9600</v>
      </c>
      <c r="V98" s="253">
        <f>IF(T98&gt;0,Ruimtestaat[[#This Row],[Prest. (m2 /jaar) werkdagen]]/Ruimtestaat[[#This Row],[Norm (m2/uur) werkdagen]],0)</f>
        <v>0</v>
      </c>
      <c r="W98" s="254">
        <f>Ruimtestaat[[#This Row],[uren / jaar werkdagen]]*Tariefsopbouw!$D$38</f>
        <v>0</v>
      </c>
      <c r="X98" s="33"/>
      <c r="Y98" s="33">
        <f>IF(Ruimtestaat[[#This Row],[Frequentie weekend]]&gt;0,VALUE(LEFT(X98,1))*Q98,0)</f>
        <v>0</v>
      </c>
      <c r="Z98" s="33">
        <f>IF($Y98&gt;0,VLOOKUP($J98,Ruimtegroepen[],3,FALSE)*VLOOKUP($L98,Vloersoorten[],3,FALSE)*VLOOKUP($X98,Frequenties[],3,FALSE)*VLOOKUP(#REF!,Locaties[],3,FALSE),0)</f>
        <v>0</v>
      </c>
      <c r="AA98" s="33"/>
      <c r="AB98" s="33"/>
      <c r="AC98" s="33">
        <f>Ruimtestaat[[#This Row],[uren / jaar weekend]]*Tariefsopbouw!$D$40</f>
        <v>0</v>
      </c>
      <c r="AD98" s="88">
        <f>Ruimtestaat[[#This Row],[Prest. (m2 /jaar) weekend]]+Ruimtestaat[[#This Row],[Prest. (m2 /jaar) werkdagen]]</f>
        <v>9600</v>
      </c>
      <c r="AE98" s="88">
        <f>Ruimtestaat[[#This Row],[uren / jaar weekend]]+Ruimtestaat[[#This Row],[uren / jaar werkdagen]]</f>
        <v>0</v>
      </c>
      <c r="AF98" s="89">
        <f>Ruimtestaat[[#This Row],[kosten / jaar weekend]]+Ruimtestaat[[#This Row],[kosten / jaar werkdagen]]</f>
        <v>0</v>
      </c>
    </row>
    <row r="99" spans="1:32" ht="15" customHeight="1">
      <c r="A99" s="129">
        <v>1</v>
      </c>
      <c r="B99" s="21" t="str">
        <f>VLOOKUP(Ruimtestaat[[#This Row],[Code]],Locaties[#All],2,FALSE)</f>
        <v>Novalis College hoofdgebouw</v>
      </c>
      <c r="C99" s="240" t="str">
        <f>VLOOKUP(Ruimtestaat[[#This Row],[Code]],Locaties[#All],4,FALSE)</f>
        <v>Sterrenlaan 16</v>
      </c>
      <c r="D99" s="240" t="str">
        <f>VLOOKUP(Ruimtestaat[[#This Row],[Code]],Locaties[#All],5,FALSE)</f>
        <v>5631 KA</v>
      </c>
      <c r="E99" s="240" t="str">
        <f>VLOOKUP(Ruimtestaat[[#This Row],[Code]],Locaties[#All],6,FALSE)</f>
        <v>Eindhoven</v>
      </c>
      <c r="F99" s="213" t="s">
        <v>613</v>
      </c>
      <c r="G99" s="200" t="s">
        <v>525</v>
      </c>
      <c r="H99" s="200" t="s">
        <v>601</v>
      </c>
      <c r="I99" s="241" t="s">
        <v>602</v>
      </c>
      <c r="J99" s="200">
        <v>11</v>
      </c>
      <c r="K99" s="256" t="str">
        <f>VLOOKUP(Ruimtestaat[[#This Row],[Ruimte code]],Ruimtegroepen[#All],2,FALSE)</f>
        <v>Handvaardigheidlokaal</v>
      </c>
      <c r="L99" s="213" t="s">
        <v>110</v>
      </c>
      <c r="M99" s="268" t="s">
        <v>277</v>
      </c>
      <c r="N99" s="212">
        <v>48</v>
      </c>
      <c r="O99" s="212"/>
      <c r="P99" s="240" t="str">
        <f>VLOOKUP(Ruimtestaat[[#This Row],[Ruimte code]],Ruimtegroepen[#All],4,FALSE)</f>
        <v>L  (Lesruimte)</v>
      </c>
      <c r="Q99" s="213">
        <v>40</v>
      </c>
      <c r="R99" s="213" t="s">
        <v>2</v>
      </c>
      <c r="S99" s="213">
        <f>IF(Q99&gt;0,IF(RIGHT(Ruimtestaat[[#This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99" s="213">
        <f>IF(S99&gt;0,VLOOKUP($J99,Ruimtegroepen[],3,FALSE)*VLOOKUP($L99,Vloersoorten[],3,FALSE)*VLOOKUP($R99,Frequenties[],3,FALSE)*VLOOKUP($A99,Locaties[],3,FALSE),0)</f>
        <v>0</v>
      </c>
      <c r="U99" s="213">
        <f>Ruimtestaat[[#This Row],[Uitvoeringen werkdagen]]*Ruimtestaat[[#This Row],[Oppervlak (netto)]]</f>
        <v>9600</v>
      </c>
      <c r="V99" s="253">
        <f>IF(T99&gt;0,Ruimtestaat[[#This Row],[Prest. (m2 /jaar) werkdagen]]/Ruimtestaat[[#This Row],[Norm (m2/uur) werkdagen]],0)</f>
        <v>0</v>
      </c>
      <c r="W99" s="254">
        <f>Ruimtestaat[[#This Row],[uren / jaar werkdagen]]*Tariefsopbouw!$D$38</f>
        <v>0</v>
      </c>
      <c r="X99" s="33"/>
      <c r="Y99" s="33">
        <f>IF(Ruimtestaat[[#This Row],[Frequentie weekend]]&gt;0,VALUE(LEFT(X99,1))*Q99,0)</f>
        <v>0</v>
      </c>
      <c r="Z99" s="33">
        <f>IF($Y99&gt;0,VLOOKUP($J99,Ruimtegroepen[],3,FALSE)*VLOOKUP($L99,Vloersoorten[],3,FALSE)*VLOOKUP($X99,Frequenties[],3,FALSE)*VLOOKUP(#REF!,Locaties[],3,FALSE),0)</f>
        <v>0</v>
      </c>
      <c r="AA99" s="33"/>
      <c r="AB99" s="33"/>
      <c r="AC99" s="33">
        <f>Ruimtestaat[[#This Row],[uren / jaar weekend]]*Tariefsopbouw!$D$40</f>
        <v>0</v>
      </c>
      <c r="AD99" s="88">
        <f>Ruimtestaat[[#This Row],[Prest. (m2 /jaar) weekend]]+Ruimtestaat[[#This Row],[Prest. (m2 /jaar) werkdagen]]</f>
        <v>9600</v>
      </c>
      <c r="AE99" s="88">
        <f>Ruimtestaat[[#This Row],[uren / jaar weekend]]+Ruimtestaat[[#This Row],[uren / jaar werkdagen]]</f>
        <v>0</v>
      </c>
      <c r="AF99" s="89">
        <f>Ruimtestaat[[#This Row],[kosten / jaar weekend]]+Ruimtestaat[[#This Row],[kosten / jaar werkdagen]]</f>
        <v>0</v>
      </c>
    </row>
    <row r="100" spans="1:32" ht="15" customHeight="1">
      <c r="A100" s="129">
        <v>1</v>
      </c>
      <c r="B100" s="21" t="str">
        <f>VLOOKUP(Ruimtestaat[[#This Row],[Code]],Locaties[#All],2,FALSE)</f>
        <v>Novalis College hoofdgebouw</v>
      </c>
      <c r="C100" s="240" t="str">
        <f>VLOOKUP(Ruimtestaat[[#This Row],[Code]],Locaties[#All],4,FALSE)</f>
        <v>Sterrenlaan 16</v>
      </c>
      <c r="D100" s="240" t="str">
        <f>VLOOKUP(Ruimtestaat[[#This Row],[Code]],Locaties[#All],5,FALSE)</f>
        <v>5631 KA</v>
      </c>
      <c r="E100" s="240" t="str">
        <f>VLOOKUP(Ruimtestaat[[#This Row],[Code]],Locaties[#All],6,FALSE)</f>
        <v>Eindhoven</v>
      </c>
      <c r="F100" s="213" t="s">
        <v>613</v>
      </c>
      <c r="G100" s="200" t="s">
        <v>525</v>
      </c>
      <c r="H100" s="200" t="s">
        <v>603</v>
      </c>
      <c r="I100" s="241" t="s">
        <v>604</v>
      </c>
      <c r="J100" s="200">
        <v>16</v>
      </c>
      <c r="K100" s="256" t="str">
        <f>VLOOKUP(Ruimtestaat[[#This Row],[Ruimte code]],Ruimtegroepen[#All],2,FALSE)</f>
        <v>Lokaal</v>
      </c>
      <c r="L100" s="213" t="s">
        <v>110</v>
      </c>
      <c r="M100" s="268" t="s">
        <v>277</v>
      </c>
      <c r="N100" s="212">
        <v>63</v>
      </c>
      <c r="O100" s="212"/>
      <c r="P100" s="240" t="str">
        <f>VLOOKUP(Ruimtestaat[[#This Row],[Ruimte code]],Ruimtegroepen[#All],4,FALSE)</f>
        <v>L  (Lesruimte)</v>
      </c>
      <c r="Q100" s="213">
        <v>40</v>
      </c>
      <c r="R100" s="213" t="s">
        <v>2</v>
      </c>
      <c r="S100" s="213">
        <f>IF(Q100&gt;0,IF(RIGHT(Ruimtestaat[[#This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0" s="213">
        <f>IF(S100&gt;0,VLOOKUP($J100,Ruimtegroepen[],3,FALSE)*VLOOKUP($L100,Vloersoorten[],3,FALSE)*VLOOKUP($R100,Frequenties[],3,FALSE)*VLOOKUP($A100,Locaties[],3,FALSE),0)</f>
        <v>0</v>
      </c>
      <c r="U100" s="213">
        <f>Ruimtestaat[[#This Row],[Uitvoeringen werkdagen]]*Ruimtestaat[[#This Row],[Oppervlak (netto)]]</f>
        <v>12600</v>
      </c>
      <c r="V100" s="253">
        <f>IF(T100&gt;0,Ruimtestaat[[#This Row],[Prest. (m2 /jaar) werkdagen]]/Ruimtestaat[[#This Row],[Norm (m2/uur) werkdagen]],0)</f>
        <v>0</v>
      </c>
      <c r="W100" s="254">
        <f>Ruimtestaat[[#This Row],[uren / jaar werkdagen]]*Tariefsopbouw!$D$38</f>
        <v>0</v>
      </c>
      <c r="X100" s="33"/>
      <c r="Y100" s="33">
        <f>IF(Ruimtestaat[[#This Row],[Frequentie weekend]]&gt;0,VALUE(LEFT(X100,1))*Q100,0)</f>
        <v>0</v>
      </c>
      <c r="Z100" s="33">
        <f>IF($Y100&gt;0,VLOOKUP($J100,Ruimtegroepen[],3,FALSE)*VLOOKUP($L100,Vloersoorten[],3,FALSE)*VLOOKUP($X100,Frequenties[],3,FALSE)*VLOOKUP(#REF!,Locaties[],3,FALSE),0)</f>
        <v>0</v>
      </c>
      <c r="AA100" s="33"/>
      <c r="AB100" s="33"/>
      <c r="AC100" s="33">
        <f>Ruimtestaat[[#This Row],[uren / jaar weekend]]*Tariefsopbouw!$D$40</f>
        <v>0</v>
      </c>
      <c r="AD100" s="88">
        <f>Ruimtestaat[[#This Row],[Prest. (m2 /jaar) weekend]]+Ruimtestaat[[#This Row],[Prest. (m2 /jaar) werkdagen]]</f>
        <v>12600</v>
      </c>
      <c r="AE100" s="88">
        <f>Ruimtestaat[[#This Row],[uren / jaar weekend]]+Ruimtestaat[[#This Row],[uren / jaar werkdagen]]</f>
        <v>0</v>
      </c>
      <c r="AF100" s="89">
        <f>Ruimtestaat[[#This Row],[kosten / jaar weekend]]+Ruimtestaat[[#This Row],[kosten / jaar werkdagen]]</f>
        <v>0</v>
      </c>
    </row>
    <row r="101" spans="1:32" ht="15" customHeight="1">
      <c r="A101" s="129">
        <v>1</v>
      </c>
      <c r="B101" s="21" t="str">
        <f>VLOOKUP(Ruimtestaat[[#This Row],[Code]],Locaties[#All],2,FALSE)</f>
        <v>Novalis College hoofdgebouw</v>
      </c>
      <c r="C101" s="240" t="str">
        <f>VLOOKUP(Ruimtestaat[[#This Row],[Code]],Locaties[#All],4,FALSE)</f>
        <v>Sterrenlaan 16</v>
      </c>
      <c r="D101" s="240" t="str">
        <f>VLOOKUP(Ruimtestaat[[#This Row],[Code]],Locaties[#All],5,FALSE)</f>
        <v>5631 KA</v>
      </c>
      <c r="E101" s="240" t="str">
        <f>VLOOKUP(Ruimtestaat[[#This Row],[Code]],Locaties[#All],6,FALSE)</f>
        <v>Eindhoven</v>
      </c>
      <c r="F101" s="213" t="s">
        <v>613</v>
      </c>
      <c r="G101" s="200" t="s">
        <v>525</v>
      </c>
      <c r="H101" s="200" t="s">
        <v>605</v>
      </c>
      <c r="I101" s="241" t="s">
        <v>602</v>
      </c>
      <c r="J101" s="200">
        <v>11</v>
      </c>
      <c r="K101" s="256" t="str">
        <f>VLOOKUP(Ruimtestaat[[#This Row],[Ruimte code]],Ruimtegroepen[#All],2,FALSE)</f>
        <v>Handvaardigheidlokaal</v>
      </c>
      <c r="L101" s="213" t="s">
        <v>110</v>
      </c>
      <c r="M101" s="268" t="s">
        <v>277</v>
      </c>
      <c r="N101" s="212">
        <v>48</v>
      </c>
      <c r="O101" s="212"/>
      <c r="P101" s="240" t="str">
        <f>VLOOKUP(Ruimtestaat[[#This Row],[Ruimte code]],Ruimtegroepen[#All],4,FALSE)</f>
        <v>L  (Lesruimte)</v>
      </c>
      <c r="Q101" s="213">
        <v>40</v>
      </c>
      <c r="R101" s="213" t="s">
        <v>2</v>
      </c>
      <c r="S101" s="213">
        <f>IF(Q101&gt;0,IF(RIGHT(Ruimtestaat[[#This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1" s="213">
        <f>IF(S101&gt;0,VLOOKUP($J101,Ruimtegroepen[],3,FALSE)*VLOOKUP($L101,Vloersoorten[],3,FALSE)*VLOOKUP($R101,Frequenties[],3,FALSE)*VLOOKUP($A101,Locaties[],3,FALSE),0)</f>
        <v>0</v>
      </c>
      <c r="U101" s="213">
        <f>Ruimtestaat[[#This Row],[Uitvoeringen werkdagen]]*Ruimtestaat[[#This Row],[Oppervlak (netto)]]</f>
        <v>9600</v>
      </c>
      <c r="V101" s="253">
        <f>IF(T101&gt;0,Ruimtestaat[[#This Row],[Prest. (m2 /jaar) werkdagen]]/Ruimtestaat[[#This Row],[Norm (m2/uur) werkdagen]],0)</f>
        <v>0</v>
      </c>
      <c r="W101" s="254">
        <f>Ruimtestaat[[#This Row],[uren / jaar werkdagen]]*Tariefsopbouw!$D$38</f>
        <v>0</v>
      </c>
      <c r="X101" s="33"/>
      <c r="Y101" s="33">
        <f>IF(Ruimtestaat[[#This Row],[Frequentie weekend]]&gt;0,VALUE(LEFT(X101,1))*Q101,0)</f>
        <v>0</v>
      </c>
      <c r="Z101" s="33">
        <f>IF($Y101&gt;0,VLOOKUP($J101,Ruimtegroepen[],3,FALSE)*VLOOKUP($L101,Vloersoorten[],3,FALSE)*VLOOKUP($X101,Frequenties[],3,FALSE)*VLOOKUP(#REF!,Locaties[],3,FALSE),0)</f>
        <v>0</v>
      </c>
      <c r="AA101" s="33"/>
      <c r="AB101" s="33"/>
      <c r="AC101" s="33">
        <f>Ruimtestaat[[#This Row],[uren / jaar weekend]]*Tariefsopbouw!$D$40</f>
        <v>0</v>
      </c>
      <c r="AD101" s="88">
        <f>Ruimtestaat[[#This Row],[Prest. (m2 /jaar) weekend]]+Ruimtestaat[[#This Row],[Prest. (m2 /jaar) werkdagen]]</f>
        <v>9600</v>
      </c>
      <c r="AE101" s="88">
        <f>Ruimtestaat[[#This Row],[uren / jaar weekend]]+Ruimtestaat[[#This Row],[uren / jaar werkdagen]]</f>
        <v>0</v>
      </c>
      <c r="AF101" s="89">
        <f>Ruimtestaat[[#This Row],[kosten / jaar weekend]]+Ruimtestaat[[#This Row],[kosten / jaar werkdagen]]</f>
        <v>0</v>
      </c>
    </row>
    <row r="102" spans="1:32" ht="15" customHeight="1">
      <c r="A102" s="129">
        <v>1</v>
      </c>
      <c r="B102" s="21" t="str">
        <f>VLOOKUP(Ruimtestaat[[#This Row],[Code]],Locaties[#All],2,FALSE)</f>
        <v>Novalis College hoofdgebouw</v>
      </c>
      <c r="C102" s="240" t="str">
        <f>VLOOKUP(Ruimtestaat[[#This Row],[Code]],Locaties[#All],4,FALSE)</f>
        <v>Sterrenlaan 16</v>
      </c>
      <c r="D102" s="240" t="str">
        <f>VLOOKUP(Ruimtestaat[[#This Row],[Code]],Locaties[#All],5,FALSE)</f>
        <v>5631 KA</v>
      </c>
      <c r="E102" s="240" t="str">
        <f>VLOOKUP(Ruimtestaat[[#This Row],[Code]],Locaties[#All],6,FALSE)</f>
        <v>Eindhoven</v>
      </c>
      <c r="F102" s="213" t="s">
        <v>613</v>
      </c>
      <c r="G102" s="200" t="s">
        <v>525</v>
      </c>
      <c r="H102" s="200" t="s">
        <v>606</v>
      </c>
      <c r="I102" s="241" t="s">
        <v>607</v>
      </c>
      <c r="J102" s="200">
        <v>16</v>
      </c>
      <c r="K102" s="256" t="str">
        <f>VLOOKUP(Ruimtestaat[[#This Row],[Ruimte code]],Ruimtegroepen[#All],2,FALSE)</f>
        <v>Lokaal</v>
      </c>
      <c r="L102" s="213" t="s">
        <v>110</v>
      </c>
      <c r="M102" s="268" t="s">
        <v>277</v>
      </c>
      <c r="N102" s="212">
        <v>87</v>
      </c>
      <c r="O102" s="212"/>
      <c r="P102" s="240" t="str">
        <f>VLOOKUP(Ruimtestaat[[#This Row],[Ruimte code]],Ruimtegroepen[#All],4,FALSE)</f>
        <v>L  (Lesruimte)</v>
      </c>
      <c r="Q102" s="213">
        <v>40</v>
      </c>
      <c r="R102" s="213" t="s">
        <v>2</v>
      </c>
      <c r="S102" s="213">
        <f>IF(Q102&gt;0,IF(RIGHT(Ruimtestaat[[#This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2" s="213">
        <f>IF(S102&gt;0,VLOOKUP($J102,Ruimtegroepen[],3,FALSE)*VLOOKUP($L102,Vloersoorten[],3,FALSE)*VLOOKUP($R102,Frequenties[],3,FALSE)*VLOOKUP($A102,Locaties[],3,FALSE),0)</f>
        <v>0</v>
      </c>
      <c r="U102" s="213">
        <f>Ruimtestaat[[#This Row],[Uitvoeringen werkdagen]]*Ruimtestaat[[#This Row],[Oppervlak (netto)]]</f>
        <v>17400</v>
      </c>
      <c r="V102" s="253">
        <f>IF(T102&gt;0,Ruimtestaat[[#This Row],[Prest. (m2 /jaar) werkdagen]]/Ruimtestaat[[#This Row],[Norm (m2/uur) werkdagen]],0)</f>
        <v>0</v>
      </c>
      <c r="W102" s="254">
        <f>Ruimtestaat[[#This Row],[uren / jaar werkdagen]]*Tariefsopbouw!$D$38</f>
        <v>0</v>
      </c>
      <c r="X102" s="33"/>
      <c r="Y102" s="33">
        <f>IF(Ruimtestaat[[#This Row],[Frequentie weekend]]&gt;0,VALUE(LEFT(X102,1))*Q102,0)</f>
        <v>0</v>
      </c>
      <c r="Z102" s="33">
        <f>IF($Y102&gt;0,VLOOKUP($J102,Ruimtegroepen[],3,FALSE)*VLOOKUP($L102,Vloersoorten[],3,FALSE)*VLOOKUP($X102,Frequenties[],3,FALSE)*VLOOKUP(#REF!,Locaties[],3,FALSE),0)</f>
        <v>0</v>
      </c>
      <c r="AA102" s="33"/>
      <c r="AB102" s="33"/>
      <c r="AC102" s="33">
        <f>Ruimtestaat[[#This Row],[uren / jaar weekend]]*Tariefsopbouw!$D$40</f>
        <v>0</v>
      </c>
      <c r="AD102" s="88">
        <f>Ruimtestaat[[#This Row],[Prest. (m2 /jaar) weekend]]+Ruimtestaat[[#This Row],[Prest. (m2 /jaar) werkdagen]]</f>
        <v>17400</v>
      </c>
      <c r="AE102" s="88">
        <f>Ruimtestaat[[#This Row],[uren / jaar weekend]]+Ruimtestaat[[#This Row],[uren / jaar werkdagen]]</f>
        <v>0</v>
      </c>
      <c r="AF102" s="89">
        <f>Ruimtestaat[[#This Row],[kosten / jaar weekend]]+Ruimtestaat[[#This Row],[kosten / jaar werkdagen]]</f>
        <v>0</v>
      </c>
    </row>
    <row r="103" spans="1:32" ht="15" customHeight="1">
      <c r="A103" s="129">
        <v>2</v>
      </c>
      <c r="B103" s="21" t="str">
        <f>VLOOKUP(Ruimtestaat[[#This Row],[Code]],Locaties[#All],2,FALSE)</f>
        <v>Novalis College nieuwbouw</v>
      </c>
      <c r="C103" s="240" t="str">
        <f>VLOOKUP(Ruimtestaat[[#This Row],[Code]],Locaties[#All],4,FALSE)</f>
        <v>Sterrenlaan 16</v>
      </c>
      <c r="D103" s="240" t="str">
        <f>VLOOKUP(Ruimtestaat[[#This Row],[Code]],Locaties[#All],5,FALSE)</f>
        <v>5631 KA</v>
      </c>
      <c r="E103" s="240" t="str">
        <f>VLOOKUP(Ruimtestaat[[#This Row],[Code]],Locaties[#All],6,FALSE)</f>
        <v>Eindhoven</v>
      </c>
      <c r="F103" s="241" t="s">
        <v>611</v>
      </c>
      <c r="G103" s="200" t="s">
        <v>849</v>
      </c>
      <c r="H103" s="200" t="s">
        <v>850</v>
      </c>
      <c r="I103" s="241" t="s">
        <v>851</v>
      </c>
      <c r="J103" s="200">
        <v>16</v>
      </c>
      <c r="K103" s="256" t="str">
        <f>VLOOKUP(Ruimtestaat[[#This Row],[Ruimte code]],Ruimtegroepen[#All],2,FALSE)</f>
        <v>Lokaal</v>
      </c>
      <c r="L103" s="213" t="s">
        <v>110</v>
      </c>
      <c r="M103" s="268" t="s">
        <v>277</v>
      </c>
      <c r="N103" s="212">
        <v>58</v>
      </c>
      <c r="O103" s="212"/>
      <c r="P103" s="240" t="str">
        <f>VLOOKUP(Ruimtestaat[[#This Row],[Ruimte code]],Ruimtegroepen[#All],4,FALSE)</f>
        <v>L  (Lesruimte)</v>
      </c>
      <c r="Q103" s="213">
        <v>40</v>
      </c>
      <c r="R103" s="213" t="s">
        <v>2</v>
      </c>
      <c r="S103" s="213">
        <f>IF(Q103&gt;0,IF(RIGHT(Ruimtestaat[[#This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3" s="213">
        <f>IF(S103&gt;0,VLOOKUP($J103,Ruimtegroepen[],3,FALSE)*VLOOKUP($L103,Vloersoorten[],3,FALSE)*VLOOKUP($R103,Frequenties[],3,FALSE)*VLOOKUP($A103,Locaties[],3,FALSE),0)</f>
        <v>0</v>
      </c>
      <c r="U103" s="213">
        <f>Ruimtestaat[[#This Row],[Uitvoeringen werkdagen]]*Ruimtestaat[[#This Row],[Oppervlak (netto)]]</f>
        <v>11600</v>
      </c>
      <c r="V103" s="253">
        <f>IF(T103&gt;0,Ruimtestaat[[#This Row],[Prest. (m2 /jaar) werkdagen]]/Ruimtestaat[[#This Row],[Norm (m2/uur) werkdagen]],0)</f>
        <v>0</v>
      </c>
      <c r="W103" s="254">
        <f>Ruimtestaat[[#This Row],[uren / jaar werkdagen]]*Tariefsopbouw!$D$38</f>
        <v>0</v>
      </c>
      <c r="X103" s="33"/>
      <c r="Y103" s="33">
        <f>IF(Ruimtestaat[[#This Row],[Frequentie weekend]]&gt;0,VALUE(LEFT(X103,1))*Q103,0)</f>
        <v>0</v>
      </c>
      <c r="Z103" s="33">
        <f>IF($Y103&gt;0,VLOOKUP($J103,Ruimtegroepen[],3,FALSE)*VLOOKUP($L103,Vloersoorten[],3,FALSE)*VLOOKUP($X103,Frequenties[],3,FALSE)*VLOOKUP(#REF!,Locaties[],3,FALSE),0)</f>
        <v>0</v>
      </c>
      <c r="AA103" s="33"/>
      <c r="AB103" s="33"/>
      <c r="AC103" s="33">
        <f>Ruimtestaat[[#This Row],[uren / jaar weekend]]*Tariefsopbouw!$D$40</f>
        <v>0</v>
      </c>
      <c r="AD103" s="88">
        <f>Ruimtestaat[[#This Row],[Prest. (m2 /jaar) weekend]]+Ruimtestaat[[#This Row],[Prest. (m2 /jaar) werkdagen]]</f>
        <v>11600</v>
      </c>
      <c r="AE103" s="88">
        <f>Ruimtestaat[[#This Row],[uren / jaar weekend]]+Ruimtestaat[[#This Row],[uren / jaar werkdagen]]</f>
        <v>0</v>
      </c>
      <c r="AF103" s="89">
        <f>Ruimtestaat[[#This Row],[kosten / jaar weekend]]+Ruimtestaat[[#This Row],[kosten / jaar werkdagen]]</f>
        <v>0</v>
      </c>
    </row>
    <row r="104" spans="1:32" ht="15" customHeight="1">
      <c r="A104" s="129">
        <v>2</v>
      </c>
      <c r="B104" s="21" t="str">
        <f>VLOOKUP(Ruimtestaat[[#This Row],[Code]],Locaties[#All],2,FALSE)</f>
        <v>Novalis College nieuwbouw</v>
      </c>
      <c r="C104" s="240" t="str">
        <f>VLOOKUP(Ruimtestaat[[#This Row],[Code]],Locaties[#All],4,FALSE)</f>
        <v>Sterrenlaan 16</v>
      </c>
      <c r="D104" s="240" t="str">
        <f>VLOOKUP(Ruimtestaat[[#This Row],[Code]],Locaties[#All],5,FALSE)</f>
        <v>5631 KA</v>
      </c>
      <c r="E104" s="240" t="str">
        <f>VLOOKUP(Ruimtestaat[[#This Row],[Code]],Locaties[#All],6,FALSE)</f>
        <v>Eindhoven</v>
      </c>
      <c r="F104" s="241" t="s">
        <v>611</v>
      </c>
      <c r="G104" s="200" t="s">
        <v>849</v>
      </c>
      <c r="H104" s="200" t="s">
        <v>852</v>
      </c>
      <c r="I104" s="241" t="s">
        <v>853</v>
      </c>
      <c r="J104" s="200">
        <v>16</v>
      </c>
      <c r="K104" s="256" t="str">
        <f>VLOOKUP(Ruimtestaat[[#This Row],[Ruimte code]],Ruimtegroepen[#All],2,FALSE)</f>
        <v>Lokaal</v>
      </c>
      <c r="L104" s="213" t="s">
        <v>110</v>
      </c>
      <c r="M104" s="268" t="s">
        <v>277</v>
      </c>
      <c r="N104" s="212">
        <v>51</v>
      </c>
      <c r="O104" s="212"/>
      <c r="P104" s="240" t="str">
        <f>VLOOKUP(Ruimtestaat[[#This Row],[Ruimte code]],Ruimtegroepen[#All],4,FALSE)</f>
        <v>L  (Lesruimte)</v>
      </c>
      <c r="Q104" s="213">
        <v>40</v>
      </c>
      <c r="R104" s="213" t="s">
        <v>2</v>
      </c>
      <c r="S104" s="213">
        <f>IF(Q104&gt;0,IF(RIGHT(Ruimtestaat[[#This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4" s="213">
        <f>IF(S104&gt;0,VLOOKUP($J104,Ruimtegroepen[],3,FALSE)*VLOOKUP($L104,Vloersoorten[],3,FALSE)*VLOOKUP($R104,Frequenties[],3,FALSE)*VLOOKUP($A104,Locaties[],3,FALSE),0)</f>
        <v>0</v>
      </c>
      <c r="U104" s="213">
        <f>Ruimtestaat[[#This Row],[Uitvoeringen werkdagen]]*Ruimtestaat[[#This Row],[Oppervlak (netto)]]</f>
        <v>10200</v>
      </c>
      <c r="V104" s="253">
        <f>IF(T104&gt;0,Ruimtestaat[[#This Row],[Prest. (m2 /jaar) werkdagen]]/Ruimtestaat[[#This Row],[Norm (m2/uur) werkdagen]],0)</f>
        <v>0</v>
      </c>
      <c r="W104" s="254">
        <f>Ruimtestaat[[#This Row],[uren / jaar werkdagen]]*Tariefsopbouw!$D$38</f>
        <v>0</v>
      </c>
      <c r="X104" s="33"/>
      <c r="Y104" s="33">
        <f>IF(Ruimtestaat[[#This Row],[Frequentie weekend]]&gt;0,VALUE(LEFT(X104,1))*Q104,0)</f>
        <v>0</v>
      </c>
      <c r="Z104" s="33">
        <f>IF($Y104&gt;0,VLOOKUP($J104,Ruimtegroepen[],3,FALSE)*VLOOKUP($L104,Vloersoorten[],3,FALSE)*VLOOKUP($X104,Frequenties[],3,FALSE)*VLOOKUP(#REF!,Locaties[],3,FALSE),0)</f>
        <v>0</v>
      </c>
      <c r="AA104" s="33"/>
      <c r="AB104" s="33"/>
      <c r="AC104" s="33">
        <f>Ruimtestaat[[#This Row],[uren / jaar weekend]]*Tariefsopbouw!$D$40</f>
        <v>0</v>
      </c>
      <c r="AD104" s="88">
        <f>Ruimtestaat[[#This Row],[Prest. (m2 /jaar) weekend]]+Ruimtestaat[[#This Row],[Prest. (m2 /jaar) werkdagen]]</f>
        <v>10200</v>
      </c>
      <c r="AE104" s="88">
        <f>Ruimtestaat[[#This Row],[uren / jaar weekend]]+Ruimtestaat[[#This Row],[uren / jaar werkdagen]]</f>
        <v>0</v>
      </c>
      <c r="AF104" s="89">
        <f>Ruimtestaat[[#This Row],[kosten / jaar weekend]]+Ruimtestaat[[#This Row],[kosten / jaar werkdagen]]</f>
        <v>0</v>
      </c>
    </row>
    <row r="105" spans="1:32" ht="15" customHeight="1">
      <c r="A105" s="129">
        <v>2</v>
      </c>
      <c r="B105" s="21" t="str">
        <f>VLOOKUP(Ruimtestaat[[#This Row],[Code]],Locaties[#All],2,FALSE)</f>
        <v>Novalis College nieuwbouw</v>
      </c>
      <c r="C105" s="240" t="str">
        <f>VLOOKUP(Ruimtestaat[[#This Row],[Code]],Locaties[#All],4,FALSE)</f>
        <v>Sterrenlaan 16</v>
      </c>
      <c r="D105" s="240" t="str">
        <f>VLOOKUP(Ruimtestaat[[#This Row],[Code]],Locaties[#All],5,FALSE)</f>
        <v>5631 KA</v>
      </c>
      <c r="E105" s="240" t="str">
        <f>VLOOKUP(Ruimtestaat[[#This Row],[Code]],Locaties[#All],6,FALSE)</f>
        <v>Eindhoven</v>
      </c>
      <c r="F105" s="241" t="s">
        <v>611</v>
      </c>
      <c r="G105" s="200" t="s">
        <v>849</v>
      </c>
      <c r="H105" s="200" t="s">
        <v>854</v>
      </c>
      <c r="I105" s="241" t="s">
        <v>487</v>
      </c>
      <c r="J105" s="200">
        <v>4</v>
      </c>
      <c r="K105" s="256" t="str">
        <f>VLOOKUP(Ruimtestaat[[#This Row],[Ruimte code]],Ruimtegroepen[#All],2,FALSE)</f>
        <v>Vergader/spreekkamers</v>
      </c>
      <c r="L105" s="213" t="s">
        <v>110</v>
      </c>
      <c r="M105" s="268" t="s">
        <v>277</v>
      </c>
      <c r="N105" s="212">
        <v>13</v>
      </c>
      <c r="O105" s="212"/>
      <c r="P105" s="240" t="str">
        <f>VLOOKUP(Ruimtestaat[[#This Row],[Ruimte code]],Ruimtegroepen[#All],4,FALSE)</f>
        <v>B  (Bureauruimte)</v>
      </c>
      <c r="Q105" s="213">
        <v>40</v>
      </c>
      <c r="R105" s="213" t="s">
        <v>18</v>
      </c>
      <c r="S105" s="213">
        <f>IF(Q105&gt;0,IF(RIGHT(Ruimtestaat[[#This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105" s="213">
        <f>IF(S105&gt;0,VLOOKUP($J105,Ruimtegroepen[],3,FALSE)*VLOOKUP($L105,Vloersoorten[],3,FALSE)*VLOOKUP($R105,Frequenties[],3,FALSE)*VLOOKUP($A105,Locaties[],3,FALSE),0)</f>
        <v>0</v>
      </c>
      <c r="U105" s="213">
        <f>Ruimtestaat[[#This Row],[Uitvoeringen werkdagen]]*Ruimtestaat[[#This Row],[Oppervlak (netto)]]</f>
        <v>1560</v>
      </c>
      <c r="V105" s="253">
        <f>IF(T105&gt;0,Ruimtestaat[[#This Row],[Prest. (m2 /jaar) werkdagen]]/Ruimtestaat[[#This Row],[Norm (m2/uur) werkdagen]],0)</f>
        <v>0</v>
      </c>
      <c r="W105" s="254">
        <f>Ruimtestaat[[#This Row],[uren / jaar werkdagen]]*Tariefsopbouw!$D$38</f>
        <v>0</v>
      </c>
      <c r="X105" s="33"/>
      <c r="Y105" s="33">
        <f>IF(Ruimtestaat[[#This Row],[Frequentie weekend]]&gt;0,VALUE(LEFT(X105,1))*Q105,0)</f>
        <v>0</v>
      </c>
      <c r="Z105" s="33">
        <f>IF($Y105&gt;0,VLOOKUP($J105,Ruimtegroepen[],3,FALSE)*VLOOKUP($L105,Vloersoorten[],3,FALSE)*VLOOKUP($X105,Frequenties[],3,FALSE)*VLOOKUP(#REF!,Locaties[],3,FALSE),0)</f>
        <v>0</v>
      </c>
      <c r="AA105" s="33"/>
      <c r="AB105" s="33"/>
      <c r="AC105" s="33">
        <f>Ruimtestaat[[#This Row],[uren / jaar weekend]]*Tariefsopbouw!$D$40</f>
        <v>0</v>
      </c>
      <c r="AD105" s="88">
        <f>Ruimtestaat[[#This Row],[Prest. (m2 /jaar) weekend]]+Ruimtestaat[[#This Row],[Prest. (m2 /jaar) werkdagen]]</f>
        <v>1560</v>
      </c>
      <c r="AE105" s="88">
        <f>Ruimtestaat[[#This Row],[uren / jaar weekend]]+Ruimtestaat[[#This Row],[uren / jaar werkdagen]]</f>
        <v>0</v>
      </c>
      <c r="AF105" s="89">
        <f>Ruimtestaat[[#This Row],[kosten / jaar weekend]]+Ruimtestaat[[#This Row],[kosten / jaar werkdagen]]</f>
        <v>0</v>
      </c>
    </row>
    <row r="106" spans="1:32" ht="15" customHeight="1">
      <c r="A106" s="129">
        <v>2</v>
      </c>
      <c r="B106" s="21" t="str">
        <f>VLOOKUP(Ruimtestaat[[#This Row],[Code]],Locaties[#All],2,FALSE)</f>
        <v>Novalis College nieuwbouw</v>
      </c>
      <c r="C106" s="240" t="str">
        <f>VLOOKUP(Ruimtestaat[[#This Row],[Code]],Locaties[#All],4,FALSE)</f>
        <v>Sterrenlaan 16</v>
      </c>
      <c r="D106" s="240" t="str">
        <f>VLOOKUP(Ruimtestaat[[#This Row],[Code]],Locaties[#All],5,FALSE)</f>
        <v>5631 KA</v>
      </c>
      <c r="E106" s="240" t="str">
        <f>VLOOKUP(Ruimtestaat[[#This Row],[Code]],Locaties[#All],6,FALSE)</f>
        <v>Eindhoven</v>
      </c>
      <c r="F106" s="241" t="s">
        <v>611</v>
      </c>
      <c r="G106" s="200" t="s">
        <v>849</v>
      </c>
      <c r="H106" s="200" t="s">
        <v>855</v>
      </c>
      <c r="I106" s="241" t="s">
        <v>856</v>
      </c>
      <c r="J106" s="200">
        <v>16</v>
      </c>
      <c r="K106" s="256" t="str">
        <f>VLOOKUP(Ruimtestaat[[#This Row],[Ruimte code]],Ruimtegroepen[#All],2,FALSE)</f>
        <v>Lokaal</v>
      </c>
      <c r="L106" s="213" t="s">
        <v>110</v>
      </c>
      <c r="M106" s="268" t="s">
        <v>277</v>
      </c>
      <c r="N106" s="212">
        <v>57</v>
      </c>
      <c r="O106" s="212"/>
      <c r="P106" s="240" t="str">
        <f>VLOOKUP(Ruimtestaat[[#This Row],[Ruimte code]],Ruimtegroepen[#All],4,FALSE)</f>
        <v>L  (Lesruimte)</v>
      </c>
      <c r="Q106" s="213">
        <v>40</v>
      </c>
      <c r="R106" s="213" t="s">
        <v>2</v>
      </c>
      <c r="S106" s="213">
        <f>IF(Q106&gt;0,IF(RIGHT(Ruimtestaat[[#This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6" s="213">
        <f>IF(S106&gt;0,VLOOKUP($J106,Ruimtegroepen[],3,FALSE)*VLOOKUP($L106,Vloersoorten[],3,FALSE)*VLOOKUP($R106,Frequenties[],3,FALSE)*VLOOKUP($A106,Locaties[],3,FALSE),0)</f>
        <v>0</v>
      </c>
      <c r="U106" s="213">
        <f>Ruimtestaat[[#This Row],[Uitvoeringen werkdagen]]*Ruimtestaat[[#This Row],[Oppervlak (netto)]]</f>
        <v>11400</v>
      </c>
      <c r="V106" s="253">
        <f>IF(T106&gt;0,Ruimtestaat[[#This Row],[Prest. (m2 /jaar) werkdagen]]/Ruimtestaat[[#This Row],[Norm (m2/uur) werkdagen]],0)</f>
        <v>0</v>
      </c>
      <c r="W106" s="254">
        <f>Ruimtestaat[[#This Row],[uren / jaar werkdagen]]*Tariefsopbouw!$D$38</f>
        <v>0</v>
      </c>
      <c r="X106" s="33"/>
      <c r="Y106" s="33">
        <f>IF(Ruimtestaat[[#This Row],[Frequentie weekend]]&gt;0,VALUE(LEFT(X106,1))*Q106,0)</f>
        <v>0</v>
      </c>
      <c r="Z106" s="33">
        <f>IF($Y106&gt;0,VLOOKUP($J106,Ruimtegroepen[],3,FALSE)*VLOOKUP($L106,Vloersoorten[],3,FALSE)*VLOOKUP($X106,Frequenties[],3,FALSE)*VLOOKUP(#REF!,Locaties[],3,FALSE),0)</f>
        <v>0</v>
      </c>
      <c r="AA106" s="33"/>
      <c r="AB106" s="33"/>
      <c r="AC106" s="33">
        <f>Ruimtestaat[[#This Row],[uren / jaar weekend]]*Tariefsopbouw!$D$40</f>
        <v>0</v>
      </c>
      <c r="AD106" s="88">
        <f>Ruimtestaat[[#This Row],[Prest. (m2 /jaar) weekend]]+Ruimtestaat[[#This Row],[Prest. (m2 /jaar) werkdagen]]</f>
        <v>11400</v>
      </c>
      <c r="AE106" s="88">
        <f>Ruimtestaat[[#This Row],[uren / jaar weekend]]+Ruimtestaat[[#This Row],[uren / jaar werkdagen]]</f>
        <v>0</v>
      </c>
      <c r="AF106" s="89">
        <f>Ruimtestaat[[#This Row],[kosten / jaar weekend]]+Ruimtestaat[[#This Row],[kosten / jaar werkdagen]]</f>
        <v>0</v>
      </c>
    </row>
    <row r="107" spans="1:32" ht="15" customHeight="1">
      <c r="A107" s="129">
        <v>2</v>
      </c>
      <c r="B107" s="21" t="str">
        <f>VLOOKUP(Ruimtestaat[[#This Row],[Code]],Locaties[#All],2,FALSE)</f>
        <v>Novalis College nieuwbouw</v>
      </c>
      <c r="C107" s="240" t="str">
        <f>VLOOKUP(Ruimtestaat[[#This Row],[Code]],Locaties[#All],4,FALSE)</f>
        <v>Sterrenlaan 16</v>
      </c>
      <c r="D107" s="240" t="str">
        <f>VLOOKUP(Ruimtestaat[[#This Row],[Code]],Locaties[#All],5,FALSE)</f>
        <v>5631 KA</v>
      </c>
      <c r="E107" s="240" t="str">
        <f>VLOOKUP(Ruimtestaat[[#This Row],[Code]],Locaties[#All],6,FALSE)</f>
        <v>Eindhoven</v>
      </c>
      <c r="F107" s="241" t="s">
        <v>611</v>
      </c>
      <c r="G107" s="200" t="s">
        <v>849</v>
      </c>
      <c r="H107" s="200" t="s">
        <v>857</v>
      </c>
      <c r="I107" s="241" t="s">
        <v>512</v>
      </c>
      <c r="J107" s="200">
        <v>10</v>
      </c>
      <c r="K107" s="256" t="str">
        <f>VLOOKUP(Ruimtestaat[[#This Row],[Ruimte code]],Ruimtegroepen[#All],2,FALSE)</f>
        <v>Trappenhuizen/lift</v>
      </c>
      <c r="L107" s="213" t="s">
        <v>111</v>
      </c>
      <c r="M107" s="268" t="s">
        <v>936</v>
      </c>
      <c r="N107" s="212">
        <v>10</v>
      </c>
      <c r="O107" s="212"/>
      <c r="P107" s="240" t="str">
        <f>VLOOKUP(Ruimtestaat[[#This Row],[Ruimte code]],Ruimtegroepen[#All],4,FALSE)</f>
        <v>V  (Verkeersruimte)</v>
      </c>
      <c r="Q107" s="213">
        <v>40</v>
      </c>
      <c r="R107" s="213" t="s">
        <v>2</v>
      </c>
      <c r="S107" s="213">
        <f>IF(Q107&gt;0,IF(RIGHT(Ruimtestaat[[#This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7" s="213">
        <f>IF(S107&gt;0,VLOOKUP($J107,Ruimtegroepen[],3,FALSE)*VLOOKUP($L107,Vloersoorten[],3,FALSE)*VLOOKUP($R107,Frequenties[],3,FALSE)*VLOOKUP($A107,Locaties[],3,FALSE),0)</f>
        <v>0</v>
      </c>
      <c r="U107" s="213">
        <f>Ruimtestaat[[#This Row],[Uitvoeringen werkdagen]]*Ruimtestaat[[#This Row],[Oppervlak (netto)]]</f>
        <v>2000</v>
      </c>
      <c r="V107" s="253">
        <f>IF(T107&gt;0,Ruimtestaat[[#This Row],[Prest. (m2 /jaar) werkdagen]]/Ruimtestaat[[#This Row],[Norm (m2/uur) werkdagen]],0)</f>
        <v>0</v>
      </c>
      <c r="W107" s="254">
        <f>Ruimtestaat[[#This Row],[uren / jaar werkdagen]]*Tariefsopbouw!$D$38</f>
        <v>0</v>
      </c>
      <c r="X107" s="33"/>
      <c r="Y107" s="33">
        <f>IF(Ruimtestaat[[#This Row],[Frequentie weekend]]&gt;0,VALUE(LEFT(X107,1))*Q107,0)</f>
        <v>0</v>
      </c>
      <c r="Z107" s="33">
        <f>IF($Y107&gt;0,VLOOKUP($J107,Ruimtegroepen[],3,FALSE)*VLOOKUP($L107,Vloersoorten[],3,FALSE)*VLOOKUP($X107,Frequenties[],3,FALSE)*VLOOKUP(#REF!,Locaties[],3,FALSE),0)</f>
        <v>0</v>
      </c>
      <c r="AA107" s="33"/>
      <c r="AB107" s="33"/>
      <c r="AC107" s="33">
        <f>Ruimtestaat[[#This Row],[uren / jaar weekend]]*Tariefsopbouw!$D$40</f>
        <v>0</v>
      </c>
      <c r="AD107" s="88">
        <f>Ruimtestaat[[#This Row],[Prest. (m2 /jaar) weekend]]+Ruimtestaat[[#This Row],[Prest. (m2 /jaar) werkdagen]]</f>
        <v>2000</v>
      </c>
      <c r="AE107" s="88">
        <f>Ruimtestaat[[#This Row],[uren / jaar weekend]]+Ruimtestaat[[#This Row],[uren / jaar werkdagen]]</f>
        <v>0</v>
      </c>
      <c r="AF107" s="89">
        <f>Ruimtestaat[[#This Row],[kosten / jaar weekend]]+Ruimtestaat[[#This Row],[kosten / jaar werkdagen]]</f>
        <v>0</v>
      </c>
    </row>
    <row r="108" spans="1:32" ht="15" customHeight="1">
      <c r="A108" s="129">
        <v>2</v>
      </c>
      <c r="B108" s="21" t="str">
        <f>VLOOKUP(Ruimtestaat[[#This Row],[Code]],Locaties[#All],2,FALSE)</f>
        <v>Novalis College nieuwbouw</v>
      </c>
      <c r="C108" s="240" t="str">
        <f>VLOOKUP(Ruimtestaat[[#This Row],[Code]],Locaties[#All],4,FALSE)</f>
        <v>Sterrenlaan 16</v>
      </c>
      <c r="D108" s="240" t="str">
        <f>VLOOKUP(Ruimtestaat[[#This Row],[Code]],Locaties[#All],5,FALSE)</f>
        <v>5631 KA</v>
      </c>
      <c r="E108" s="240" t="str">
        <f>VLOOKUP(Ruimtestaat[[#This Row],[Code]],Locaties[#All],6,FALSE)</f>
        <v>Eindhoven</v>
      </c>
      <c r="F108" s="241" t="s">
        <v>611</v>
      </c>
      <c r="G108" s="200" t="s">
        <v>849</v>
      </c>
      <c r="H108" s="200" t="s">
        <v>858</v>
      </c>
      <c r="I108" s="241" t="s">
        <v>859</v>
      </c>
      <c r="J108" s="200">
        <v>16</v>
      </c>
      <c r="K108" s="256" t="str">
        <f>VLOOKUP(Ruimtestaat[[#This Row],[Ruimte code]],Ruimtegroepen[#All],2,FALSE)</f>
        <v>Lokaal</v>
      </c>
      <c r="L108" s="213" t="s">
        <v>110</v>
      </c>
      <c r="M108" s="268" t="s">
        <v>277</v>
      </c>
      <c r="N108" s="212">
        <v>56</v>
      </c>
      <c r="O108" s="212"/>
      <c r="P108" s="240" t="str">
        <f>VLOOKUP(Ruimtestaat[[#This Row],[Ruimte code]],Ruimtegroepen[#All],4,FALSE)</f>
        <v>L  (Lesruimte)</v>
      </c>
      <c r="Q108" s="213">
        <v>40</v>
      </c>
      <c r="R108" s="213" t="s">
        <v>2</v>
      </c>
      <c r="S108" s="213">
        <f>IF(Q108&gt;0,IF(RIGHT(Ruimtestaat[[#This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8" s="213">
        <f>IF(S108&gt;0,VLOOKUP($J108,Ruimtegroepen[],3,FALSE)*VLOOKUP($L108,Vloersoorten[],3,FALSE)*VLOOKUP($R108,Frequenties[],3,FALSE)*VLOOKUP($A108,Locaties[],3,FALSE),0)</f>
        <v>0</v>
      </c>
      <c r="U108" s="213">
        <f>Ruimtestaat[[#This Row],[Uitvoeringen werkdagen]]*Ruimtestaat[[#This Row],[Oppervlak (netto)]]</f>
        <v>11200</v>
      </c>
      <c r="V108" s="253">
        <f>IF(T108&gt;0,Ruimtestaat[[#This Row],[Prest. (m2 /jaar) werkdagen]]/Ruimtestaat[[#This Row],[Norm (m2/uur) werkdagen]],0)</f>
        <v>0</v>
      </c>
      <c r="W108" s="254">
        <f>Ruimtestaat[[#This Row],[uren / jaar werkdagen]]*Tariefsopbouw!$D$38</f>
        <v>0</v>
      </c>
      <c r="X108" s="33"/>
      <c r="Y108" s="33">
        <f>IF(Ruimtestaat[[#This Row],[Frequentie weekend]]&gt;0,VALUE(LEFT(X108,1))*Q108,0)</f>
        <v>0</v>
      </c>
      <c r="Z108" s="33">
        <f>IF($Y108&gt;0,VLOOKUP($J108,Ruimtegroepen[],3,FALSE)*VLOOKUP($L108,Vloersoorten[],3,FALSE)*VLOOKUP($X108,Frequenties[],3,FALSE)*VLOOKUP(#REF!,Locaties[],3,FALSE),0)</f>
        <v>0</v>
      </c>
      <c r="AA108" s="33"/>
      <c r="AB108" s="33"/>
      <c r="AC108" s="33">
        <f>Ruimtestaat[[#This Row],[uren / jaar weekend]]*Tariefsopbouw!$D$40</f>
        <v>0</v>
      </c>
      <c r="AD108" s="88">
        <f>Ruimtestaat[[#This Row],[Prest. (m2 /jaar) weekend]]+Ruimtestaat[[#This Row],[Prest. (m2 /jaar) werkdagen]]</f>
        <v>11200</v>
      </c>
      <c r="AE108" s="88">
        <f>Ruimtestaat[[#This Row],[uren / jaar weekend]]+Ruimtestaat[[#This Row],[uren / jaar werkdagen]]</f>
        <v>0</v>
      </c>
      <c r="AF108" s="89">
        <f>Ruimtestaat[[#This Row],[kosten / jaar weekend]]+Ruimtestaat[[#This Row],[kosten / jaar werkdagen]]</f>
        <v>0</v>
      </c>
    </row>
    <row r="109" spans="1:32" ht="15" customHeight="1">
      <c r="A109" s="129">
        <v>2</v>
      </c>
      <c r="B109" s="21" t="str">
        <f>VLOOKUP(Ruimtestaat[[#This Row],[Code]],Locaties[#All],2,FALSE)</f>
        <v>Novalis College nieuwbouw</v>
      </c>
      <c r="C109" s="240" t="str">
        <f>VLOOKUP(Ruimtestaat[[#This Row],[Code]],Locaties[#All],4,FALSE)</f>
        <v>Sterrenlaan 16</v>
      </c>
      <c r="D109" s="240" t="str">
        <f>VLOOKUP(Ruimtestaat[[#This Row],[Code]],Locaties[#All],5,FALSE)</f>
        <v>5631 KA</v>
      </c>
      <c r="E109" s="240" t="str">
        <f>VLOOKUP(Ruimtestaat[[#This Row],[Code]],Locaties[#All],6,FALSE)</f>
        <v>Eindhoven</v>
      </c>
      <c r="F109" s="241" t="s">
        <v>611</v>
      </c>
      <c r="G109" s="200" t="s">
        <v>849</v>
      </c>
      <c r="H109" s="200" t="s">
        <v>860</v>
      </c>
      <c r="I109" s="241" t="s">
        <v>276</v>
      </c>
      <c r="J109" s="200">
        <v>10</v>
      </c>
      <c r="K109" s="256" t="str">
        <f>VLOOKUP(Ruimtestaat[[#This Row],[Ruimte code]],Ruimtegroepen[#All],2,FALSE)</f>
        <v>Trappenhuizen/lift</v>
      </c>
      <c r="L109" s="213" t="s">
        <v>110</v>
      </c>
      <c r="M109" s="268" t="s">
        <v>277</v>
      </c>
      <c r="N109" s="212">
        <v>3</v>
      </c>
      <c r="O109" s="212"/>
      <c r="P109" s="240" t="str">
        <f>VLOOKUP(Ruimtestaat[[#This Row],[Ruimte code]],Ruimtegroepen[#All],4,FALSE)</f>
        <v>V  (Verkeersruimte)</v>
      </c>
      <c r="Q109" s="213">
        <v>40</v>
      </c>
      <c r="R109" s="213" t="s">
        <v>2</v>
      </c>
      <c r="S109" s="213">
        <f>IF(Q109&gt;0,IF(RIGHT(Ruimtestaat[[#This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09" s="213">
        <f>IF(S109&gt;0,VLOOKUP($J109,Ruimtegroepen[],3,FALSE)*VLOOKUP($L109,Vloersoorten[],3,FALSE)*VLOOKUP($R109,Frequenties[],3,FALSE)*VLOOKUP($A109,Locaties[],3,FALSE),0)</f>
        <v>0</v>
      </c>
      <c r="U109" s="213">
        <f>Ruimtestaat[[#This Row],[Uitvoeringen werkdagen]]*Ruimtestaat[[#This Row],[Oppervlak (netto)]]</f>
        <v>600</v>
      </c>
      <c r="V109" s="253">
        <f>IF(T109&gt;0,Ruimtestaat[[#This Row],[Prest. (m2 /jaar) werkdagen]]/Ruimtestaat[[#This Row],[Norm (m2/uur) werkdagen]],0)</f>
        <v>0</v>
      </c>
      <c r="W109" s="254">
        <f>Ruimtestaat[[#This Row],[uren / jaar werkdagen]]*Tariefsopbouw!$D$38</f>
        <v>0</v>
      </c>
      <c r="X109" s="33"/>
      <c r="Y109" s="33">
        <f>IF(Ruimtestaat[[#This Row],[Frequentie weekend]]&gt;0,VALUE(LEFT(X109,1))*Q109,0)</f>
        <v>0</v>
      </c>
      <c r="Z109" s="33">
        <f>IF($Y109&gt;0,VLOOKUP($J109,Ruimtegroepen[],3,FALSE)*VLOOKUP($L109,Vloersoorten[],3,FALSE)*VLOOKUP($X109,Frequenties[],3,FALSE)*VLOOKUP(#REF!,Locaties[],3,FALSE),0)</f>
        <v>0</v>
      </c>
      <c r="AA109" s="33"/>
      <c r="AB109" s="33"/>
      <c r="AC109" s="33">
        <f>Ruimtestaat[[#This Row],[uren / jaar weekend]]*Tariefsopbouw!$D$40</f>
        <v>0</v>
      </c>
      <c r="AD109" s="88">
        <f>Ruimtestaat[[#This Row],[Prest. (m2 /jaar) weekend]]+Ruimtestaat[[#This Row],[Prest. (m2 /jaar) werkdagen]]</f>
        <v>600</v>
      </c>
      <c r="AE109" s="88">
        <f>Ruimtestaat[[#This Row],[uren / jaar weekend]]+Ruimtestaat[[#This Row],[uren / jaar werkdagen]]</f>
        <v>0</v>
      </c>
      <c r="AF109" s="89">
        <f>Ruimtestaat[[#This Row],[kosten / jaar weekend]]+Ruimtestaat[[#This Row],[kosten / jaar werkdagen]]</f>
        <v>0</v>
      </c>
    </row>
    <row r="110" spans="1:32" ht="15" customHeight="1">
      <c r="A110" s="129">
        <v>2</v>
      </c>
      <c r="B110" s="21" t="str">
        <f>VLOOKUP(Ruimtestaat[[#This Row],[Code]],Locaties[#All],2,FALSE)</f>
        <v>Novalis College nieuwbouw</v>
      </c>
      <c r="C110" s="240" t="str">
        <f>VLOOKUP(Ruimtestaat[[#This Row],[Code]],Locaties[#All],4,FALSE)</f>
        <v>Sterrenlaan 16</v>
      </c>
      <c r="D110" s="240" t="str">
        <f>VLOOKUP(Ruimtestaat[[#This Row],[Code]],Locaties[#All],5,FALSE)</f>
        <v>5631 KA</v>
      </c>
      <c r="E110" s="240" t="str">
        <f>VLOOKUP(Ruimtestaat[[#This Row],[Code]],Locaties[#All],6,FALSE)</f>
        <v>Eindhoven</v>
      </c>
      <c r="F110" s="241" t="s">
        <v>611</v>
      </c>
      <c r="G110" s="200" t="s">
        <v>849</v>
      </c>
      <c r="H110" s="200" t="s">
        <v>861</v>
      </c>
      <c r="I110" s="241" t="s">
        <v>862</v>
      </c>
      <c r="J110" s="200">
        <v>7</v>
      </c>
      <c r="K110" s="256" t="str">
        <f>VLOOKUP(Ruimtestaat[[#This Row],[Ruimte code]],Ruimtegroepen[#All],2,FALSE)</f>
        <v>Entree</v>
      </c>
      <c r="L110" s="213" t="s">
        <v>109</v>
      </c>
      <c r="M110" s="200" t="s">
        <v>549</v>
      </c>
      <c r="N110" s="212">
        <v>9</v>
      </c>
      <c r="O110" s="212"/>
      <c r="P110" s="240" t="str">
        <f>VLOOKUP(Ruimtestaat[[#This Row],[Ruimte code]],Ruimtegroepen[#All],4,FALSE)</f>
        <v>V  (Verkeersruimte)</v>
      </c>
      <c r="Q110" s="213">
        <v>40</v>
      </c>
      <c r="R110" s="213" t="s">
        <v>2</v>
      </c>
      <c r="S110" s="213">
        <f>IF(Q110&gt;0,IF(RIGHT(Ruimtestaat[[#This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0" s="213">
        <f>IF(S110&gt;0,VLOOKUP($J110,Ruimtegroepen[],3,FALSE)*VLOOKUP($L110,Vloersoorten[],3,FALSE)*VLOOKUP($R110,Frequenties[],3,FALSE)*VLOOKUP($A110,Locaties[],3,FALSE),0)</f>
        <v>0</v>
      </c>
      <c r="U110" s="213">
        <f>Ruimtestaat[[#This Row],[Uitvoeringen werkdagen]]*Ruimtestaat[[#This Row],[Oppervlak (netto)]]</f>
        <v>1800</v>
      </c>
      <c r="V110" s="253">
        <f>IF(T110&gt;0,Ruimtestaat[[#This Row],[Prest. (m2 /jaar) werkdagen]]/Ruimtestaat[[#This Row],[Norm (m2/uur) werkdagen]],0)</f>
        <v>0</v>
      </c>
      <c r="W110" s="254">
        <f>Ruimtestaat[[#This Row],[uren / jaar werkdagen]]*Tariefsopbouw!$D$38</f>
        <v>0</v>
      </c>
      <c r="X110" s="33"/>
      <c r="Y110" s="33">
        <f>IF(Ruimtestaat[[#This Row],[Frequentie weekend]]&gt;0,VALUE(LEFT(X110,1))*Q110,0)</f>
        <v>0</v>
      </c>
      <c r="Z110" s="33">
        <f>IF($Y110&gt;0,VLOOKUP($J110,Ruimtegroepen[],3,FALSE)*VLOOKUP($L110,Vloersoorten[],3,FALSE)*VLOOKUP($X110,Frequenties[],3,FALSE)*VLOOKUP(#REF!,Locaties[],3,FALSE),0)</f>
        <v>0</v>
      </c>
      <c r="AA110" s="33"/>
      <c r="AB110" s="33"/>
      <c r="AC110" s="33">
        <f>Ruimtestaat[[#This Row],[uren / jaar weekend]]*Tariefsopbouw!$D$40</f>
        <v>0</v>
      </c>
      <c r="AD110" s="88">
        <f>Ruimtestaat[[#This Row],[Prest. (m2 /jaar) weekend]]+Ruimtestaat[[#This Row],[Prest. (m2 /jaar) werkdagen]]</f>
        <v>1800</v>
      </c>
      <c r="AE110" s="88">
        <f>Ruimtestaat[[#This Row],[uren / jaar weekend]]+Ruimtestaat[[#This Row],[uren / jaar werkdagen]]</f>
        <v>0</v>
      </c>
      <c r="AF110" s="89">
        <f>Ruimtestaat[[#This Row],[kosten / jaar weekend]]+Ruimtestaat[[#This Row],[kosten / jaar werkdagen]]</f>
        <v>0</v>
      </c>
    </row>
    <row r="111" spans="1:32" ht="15" customHeight="1">
      <c r="A111" s="129">
        <v>2</v>
      </c>
      <c r="B111" s="21" t="str">
        <f>VLOOKUP(Ruimtestaat[[#This Row],[Code]],Locaties[#All],2,FALSE)</f>
        <v>Novalis College nieuwbouw</v>
      </c>
      <c r="C111" s="240" t="str">
        <f>VLOOKUP(Ruimtestaat[[#This Row],[Code]],Locaties[#All],4,FALSE)</f>
        <v>Sterrenlaan 16</v>
      </c>
      <c r="D111" s="240" t="str">
        <f>VLOOKUP(Ruimtestaat[[#This Row],[Code]],Locaties[#All],5,FALSE)</f>
        <v>5631 KA</v>
      </c>
      <c r="E111" s="240" t="str">
        <f>VLOOKUP(Ruimtestaat[[#This Row],[Code]],Locaties[#All],6,FALSE)</f>
        <v>Eindhoven</v>
      </c>
      <c r="F111" s="241" t="s">
        <v>611</v>
      </c>
      <c r="G111" s="200" t="s">
        <v>849</v>
      </c>
      <c r="H111" s="200" t="s">
        <v>863</v>
      </c>
      <c r="I111" s="241" t="s">
        <v>839</v>
      </c>
      <c r="J111" s="200">
        <v>5</v>
      </c>
      <c r="K111" s="256" t="str">
        <f>VLOOKUP(Ruimtestaat[[#This Row],[Ruimte code]],Ruimtegroepen[#All],2,FALSE)</f>
        <v>Sanitair</v>
      </c>
      <c r="L111" s="240" t="s">
        <v>111</v>
      </c>
      <c r="M111" s="268" t="s">
        <v>551</v>
      </c>
      <c r="N111" s="212">
        <v>6</v>
      </c>
      <c r="O111" s="212"/>
      <c r="P111" s="240" t="str">
        <f>VLOOKUP(Ruimtestaat[[#This Row],[Ruimte code]],Ruimtegroepen[#All],4,FALSE)</f>
        <v>S  (Sanitair)</v>
      </c>
      <c r="Q111" s="213">
        <v>42</v>
      </c>
      <c r="R111" s="213" t="s">
        <v>2</v>
      </c>
      <c r="S111" s="213">
        <f>IF(Q111&gt;0,IF(RIGHT(Ruimtestaat[[#This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111" s="213">
        <f>IF(S111&gt;0,VLOOKUP($J111,Ruimtegroepen[],3,FALSE)*VLOOKUP($L111,Vloersoorten[],3,FALSE)*VLOOKUP($R111,Frequenties[],3,FALSE)*VLOOKUP($A111,Locaties[],3,FALSE),0)</f>
        <v>0</v>
      </c>
      <c r="U111" s="213">
        <f>Ruimtestaat[[#This Row],[Uitvoeringen werkdagen]]*Ruimtestaat[[#This Row],[Oppervlak (netto)]]</f>
        <v>1260</v>
      </c>
      <c r="V111" s="253">
        <f>IF(T111&gt;0,Ruimtestaat[[#This Row],[Prest. (m2 /jaar) werkdagen]]/Ruimtestaat[[#This Row],[Norm (m2/uur) werkdagen]],0)</f>
        <v>0</v>
      </c>
      <c r="W111" s="254">
        <f>Ruimtestaat[[#This Row],[uren / jaar werkdagen]]*Tariefsopbouw!$D$38</f>
        <v>0</v>
      </c>
      <c r="X111" s="33"/>
      <c r="Y111" s="33">
        <f>IF(Ruimtestaat[[#This Row],[Frequentie weekend]]&gt;0,VALUE(LEFT(X111,1))*Q111,0)</f>
        <v>0</v>
      </c>
      <c r="Z111" s="33">
        <f>IF($Y111&gt;0,VLOOKUP($J111,Ruimtegroepen[],3,FALSE)*VLOOKUP($L111,Vloersoorten[],3,FALSE)*VLOOKUP($X111,Frequenties[],3,FALSE)*VLOOKUP(#REF!,Locaties[],3,FALSE),0)</f>
        <v>0</v>
      </c>
      <c r="AA111" s="33"/>
      <c r="AB111" s="33"/>
      <c r="AC111" s="33">
        <f>Ruimtestaat[[#This Row],[uren / jaar weekend]]*Tariefsopbouw!$D$40</f>
        <v>0</v>
      </c>
      <c r="AD111" s="88">
        <f>Ruimtestaat[[#This Row],[Prest. (m2 /jaar) weekend]]+Ruimtestaat[[#This Row],[Prest. (m2 /jaar) werkdagen]]</f>
        <v>1260</v>
      </c>
      <c r="AE111" s="88">
        <f>Ruimtestaat[[#This Row],[uren / jaar weekend]]+Ruimtestaat[[#This Row],[uren / jaar werkdagen]]</f>
        <v>0</v>
      </c>
      <c r="AF111" s="89">
        <f>Ruimtestaat[[#This Row],[kosten / jaar weekend]]+Ruimtestaat[[#This Row],[kosten / jaar werkdagen]]</f>
        <v>0</v>
      </c>
    </row>
    <row r="112" spans="1:32" ht="15" customHeight="1">
      <c r="A112" s="129">
        <v>2</v>
      </c>
      <c r="B112" s="21" t="str">
        <f>VLOOKUP(Ruimtestaat[[#This Row],[Code]],Locaties[#All],2,FALSE)</f>
        <v>Novalis College nieuwbouw</v>
      </c>
      <c r="C112" s="240" t="str">
        <f>VLOOKUP(Ruimtestaat[[#This Row],[Code]],Locaties[#All],4,FALSE)</f>
        <v>Sterrenlaan 16</v>
      </c>
      <c r="D112" s="240" t="str">
        <f>VLOOKUP(Ruimtestaat[[#This Row],[Code]],Locaties[#All],5,FALSE)</f>
        <v>5631 KA</v>
      </c>
      <c r="E112" s="240" t="str">
        <f>VLOOKUP(Ruimtestaat[[#This Row],[Code]],Locaties[#All],6,FALSE)</f>
        <v>Eindhoven</v>
      </c>
      <c r="F112" s="241" t="s">
        <v>611</v>
      </c>
      <c r="G112" s="200" t="s">
        <v>849</v>
      </c>
      <c r="H112" s="200" t="s">
        <v>864</v>
      </c>
      <c r="I112" s="241" t="s">
        <v>838</v>
      </c>
      <c r="J112" s="200">
        <v>5</v>
      </c>
      <c r="K112" s="256" t="str">
        <f>VLOOKUP(Ruimtestaat[[#This Row],[Ruimte code]],Ruimtegroepen[#All],2,FALSE)</f>
        <v>Sanitair</v>
      </c>
      <c r="L112" s="240" t="s">
        <v>111</v>
      </c>
      <c r="M112" s="268" t="s">
        <v>551</v>
      </c>
      <c r="N112" s="212">
        <v>7</v>
      </c>
      <c r="O112" s="212"/>
      <c r="P112" s="240" t="str">
        <f>VLOOKUP(Ruimtestaat[[#This Row],[Ruimte code]],Ruimtegroepen[#All],4,FALSE)</f>
        <v>S  (Sanitair)</v>
      </c>
      <c r="Q112" s="213">
        <v>42</v>
      </c>
      <c r="R112" s="213" t="s">
        <v>2</v>
      </c>
      <c r="S112" s="213">
        <f>IF(Q112&gt;0,IF(RIGHT(Ruimtestaat[[#This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112" s="213">
        <f>IF(S112&gt;0,VLOOKUP($J112,Ruimtegroepen[],3,FALSE)*VLOOKUP($L112,Vloersoorten[],3,FALSE)*VLOOKUP($R112,Frequenties[],3,FALSE)*VLOOKUP($A112,Locaties[],3,FALSE),0)</f>
        <v>0</v>
      </c>
      <c r="U112" s="213">
        <f>Ruimtestaat[[#This Row],[Uitvoeringen werkdagen]]*Ruimtestaat[[#This Row],[Oppervlak (netto)]]</f>
        <v>1470</v>
      </c>
      <c r="V112" s="253">
        <f>IF(T112&gt;0,Ruimtestaat[[#This Row],[Prest. (m2 /jaar) werkdagen]]/Ruimtestaat[[#This Row],[Norm (m2/uur) werkdagen]],0)</f>
        <v>0</v>
      </c>
      <c r="W112" s="254">
        <f>Ruimtestaat[[#This Row],[uren / jaar werkdagen]]*Tariefsopbouw!$D$38</f>
        <v>0</v>
      </c>
      <c r="X112" s="33"/>
      <c r="Y112" s="33">
        <f>IF(Ruimtestaat[[#This Row],[Frequentie weekend]]&gt;0,VALUE(LEFT(X112,1))*Q112,0)</f>
        <v>0</v>
      </c>
      <c r="Z112" s="33">
        <f>IF($Y112&gt;0,VLOOKUP($J112,Ruimtegroepen[],3,FALSE)*VLOOKUP($L112,Vloersoorten[],3,FALSE)*VLOOKUP($X112,Frequenties[],3,FALSE)*VLOOKUP(#REF!,Locaties[],3,FALSE),0)</f>
        <v>0</v>
      </c>
      <c r="AA112" s="33"/>
      <c r="AB112" s="33"/>
      <c r="AC112" s="33">
        <f>Ruimtestaat[[#This Row],[uren / jaar weekend]]*Tariefsopbouw!$D$40</f>
        <v>0</v>
      </c>
      <c r="AD112" s="88">
        <f>Ruimtestaat[[#This Row],[Prest. (m2 /jaar) weekend]]+Ruimtestaat[[#This Row],[Prest. (m2 /jaar) werkdagen]]</f>
        <v>1470</v>
      </c>
      <c r="AE112" s="88">
        <f>Ruimtestaat[[#This Row],[uren / jaar weekend]]+Ruimtestaat[[#This Row],[uren / jaar werkdagen]]</f>
        <v>0</v>
      </c>
      <c r="AF112" s="89">
        <f>Ruimtestaat[[#This Row],[kosten / jaar weekend]]+Ruimtestaat[[#This Row],[kosten / jaar werkdagen]]</f>
        <v>0</v>
      </c>
    </row>
    <row r="113" spans="1:32" ht="15" customHeight="1">
      <c r="A113" s="129">
        <v>2</v>
      </c>
      <c r="B113" s="21" t="str">
        <f>VLOOKUP(Ruimtestaat[[#This Row],[Code]],Locaties[#All],2,FALSE)</f>
        <v>Novalis College nieuwbouw</v>
      </c>
      <c r="C113" s="240" t="str">
        <f>VLOOKUP(Ruimtestaat[[#This Row],[Code]],Locaties[#All],4,FALSE)</f>
        <v>Sterrenlaan 16</v>
      </c>
      <c r="D113" s="240" t="str">
        <f>VLOOKUP(Ruimtestaat[[#This Row],[Code]],Locaties[#All],5,FALSE)</f>
        <v>5631 KA</v>
      </c>
      <c r="E113" s="240" t="str">
        <f>VLOOKUP(Ruimtestaat[[#This Row],[Code]],Locaties[#All],6,FALSE)</f>
        <v>Eindhoven</v>
      </c>
      <c r="F113" s="241" t="s">
        <v>611</v>
      </c>
      <c r="G113" s="200" t="s">
        <v>849</v>
      </c>
      <c r="H113" s="200" t="s">
        <v>865</v>
      </c>
      <c r="I113" s="241" t="s">
        <v>866</v>
      </c>
      <c r="J113" s="200">
        <v>5</v>
      </c>
      <c r="K113" s="256" t="str">
        <f>VLOOKUP(Ruimtestaat[[#This Row],[Ruimte code]],Ruimtegroepen[#All],2,FALSE)</f>
        <v>Sanitair</v>
      </c>
      <c r="L113" s="240" t="s">
        <v>111</v>
      </c>
      <c r="M113" s="268" t="s">
        <v>551</v>
      </c>
      <c r="N113" s="212">
        <v>4</v>
      </c>
      <c r="O113" s="212"/>
      <c r="P113" s="240" t="str">
        <f>VLOOKUP(Ruimtestaat[[#This Row],[Ruimte code]],Ruimtegroepen[#All],4,FALSE)</f>
        <v>S  (Sanitair)</v>
      </c>
      <c r="Q113" s="213">
        <v>42</v>
      </c>
      <c r="R113" s="213" t="s">
        <v>2</v>
      </c>
      <c r="S113" s="213">
        <f>IF(Q113&gt;0,IF(RIGHT(Ruimtestaat[[#This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113" s="213">
        <f>IF(S113&gt;0,VLOOKUP($J113,Ruimtegroepen[],3,FALSE)*VLOOKUP($L113,Vloersoorten[],3,FALSE)*VLOOKUP($R113,Frequenties[],3,FALSE)*VLOOKUP($A113,Locaties[],3,FALSE),0)</f>
        <v>0</v>
      </c>
      <c r="U113" s="213">
        <f>Ruimtestaat[[#This Row],[Uitvoeringen werkdagen]]*Ruimtestaat[[#This Row],[Oppervlak (netto)]]</f>
        <v>840</v>
      </c>
      <c r="V113" s="253">
        <f>IF(T113&gt;0,Ruimtestaat[[#This Row],[Prest. (m2 /jaar) werkdagen]]/Ruimtestaat[[#This Row],[Norm (m2/uur) werkdagen]],0)</f>
        <v>0</v>
      </c>
      <c r="W113" s="254">
        <f>Ruimtestaat[[#This Row],[uren / jaar werkdagen]]*Tariefsopbouw!$D$38</f>
        <v>0</v>
      </c>
      <c r="X113" s="33"/>
      <c r="Y113" s="33">
        <f>IF(Ruimtestaat[[#This Row],[Frequentie weekend]]&gt;0,VALUE(LEFT(X113,1))*Q113,0)</f>
        <v>0</v>
      </c>
      <c r="Z113" s="33">
        <f>IF($Y113&gt;0,VLOOKUP($J113,Ruimtegroepen[],3,FALSE)*VLOOKUP($L113,Vloersoorten[],3,FALSE)*VLOOKUP($X113,Frequenties[],3,FALSE)*VLOOKUP(#REF!,Locaties[],3,FALSE),0)</f>
        <v>0</v>
      </c>
      <c r="AA113" s="33"/>
      <c r="AB113" s="33"/>
      <c r="AC113" s="33">
        <f>Ruimtestaat[[#This Row],[uren / jaar weekend]]*Tariefsopbouw!$D$40</f>
        <v>0</v>
      </c>
      <c r="AD113" s="88">
        <f>Ruimtestaat[[#This Row],[Prest. (m2 /jaar) weekend]]+Ruimtestaat[[#This Row],[Prest. (m2 /jaar) werkdagen]]</f>
        <v>840</v>
      </c>
      <c r="AE113" s="88">
        <f>Ruimtestaat[[#This Row],[uren / jaar weekend]]+Ruimtestaat[[#This Row],[uren / jaar werkdagen]]</f>
        <v>0</v>
      </c>
      <c r="AF113" s="89">
        <f>Ruimtestaat[[#This Row],[kosten / jaar weekend]]+Ruimtestaat[[#This Row],[kosten / jaar werkdagen]]</f>
        <v>0</v>
      </c>
    </row>
    <row r="114" spans="1:32" ht="15" customHeight="1">
      <c r="A114" s="129">
        <v>2</v>
      </c>
      <c r="B114" s="21" t="str">
        <f>VLOOKUP(Ruimtestaat[[#This Row],[Code]],Locaties[#All],2,FALSE)</f>
        <v>Novalis College nieuwbouw</v>
      </c>
      <c r="C114" s="240" t="str">
        <f>VLOOKUP(Ruimtestaat[[#This Row],[Code]],Locaties[#All],4,FALSE)</f>
        <v>Sterrenlaan 16</v>
      </c>
      <c r="D114" s="240" t="str">
        <f>VLOOKUP(Ruimtestaat[[#This Row],[Code]],Locaties[#All],5,FALSE)</f>
        <v>5631 KA</v>
      </c>
      <c r="E114" s="240" t="str">
        <f>VLOOKUP(Ruimtestaat[[#This Row],[Code]],Locaties[#All],6,FALSE)</f>
        <v>Eindhoven</v>
      </c>
      <c r="F114" s="241" t="s">
        <v>611</v>
      </c>
      <c r="G114" s="200" t="s">
        <v>849</v>
      </c>
      <c r="H114" s="200" t="s">
        <v>867</v>
      </c>
      <c r="I114" s="241" t="s">
        <v>868</v>
      </c>
      <c r="J114" s="200">
        <v>2</v>
      </c>
      <c r="K114" s="256" t="str">
        <f>VLOOKUP(Ruimtestaat[[#This Row],[Ruimte code]],Ruimtegroepen[#All],2,FALSE)</f>
        <v>Kantoren</v>
      </c>
      <c r="L114" s="213" t="s">
        <v>110</v>
      </c>
      <c r="M114" s="268" t="s">
        <v>277</v>
      </c>
      <c r="N114" s="212">
        <v>15</v>
      </c>
      <c r="O114" s="212"/>
      <c r="P114" s="240" t="str">
        <f>VLOOKUP(Ruimtestaat[[#This Row],[Ruimte code]],Ruimtegroepen[#All],4,FALSE)</f>
        <v>B  (Bureauruimte)</v>
      </c>
      <c r="Q114" s="213">
        <v>40</v>
      </c>
      <c r="R114" s="213" t="s">
        <v>17</v>
      </c>
      <c r="S114" s="213">
        <f>IF(Q114&gt;0,IF(RIGHT(Ruimtestaat[[#This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14" s="213">
        <f>IF(S114&gt;0,VLOOKUP($J114,Ruimtegroepen[],3,FALSE)*VLOOKUP($L114,Vloersoorten[],3,FALSE)*VLOOKUP($R114,Frequenties[],3,FALSE)*VLOOKUP($A114,Locaties[],3,FALSE),0)</f>
        <v>0</v>
      </c>
      <c r="U114" s="213">
        <f>Ruimtestaat[[#This Row],[Uitvoeringen werkdagen]]*Ruimtestaat[[#This Row],[Oppervlak (netto)]]</f>
        <v>1200</v>
      </c>
      <c r="V114" s="253">
        <f>IF(T114&gt;0,Ruimtestaat[[#This Row],[Prest. (m2 /jaar) werkdagen]]/Ruimtestaat[[#This Row],[Norm (m2/uur) werkdagen]],0)</f>
        <v>0</v>
      </c>
      <c r="W114" s="254">
        <f>Ruimtestaat[[#This Row],[uren / jaar werkdagen]]*Tariefsopbouw!$D$38</f>
        <v>0</v>
      </c>
      <c r="X114" s="33"/>
      <c r="Y114" s="33">
        <f>IF(Ruimtestaat[[#This Row],[Frequentie weekend]]&gt;0,VALUE(LEFT(X114,1))*Q114,0)</f>
        <v>0</v>
      </c>
      <c r="Z114" s="33">
        <f>IF($Y114&gt;0,VLOOKUP($J114,Ruimtegroepen[],3,FALSE)*VLOOKUP($L114,Vloersoorten[],3,FALSE)*VLOOKUP($X114,Frequenties[],3,FALSE)*VLOOKUP(#REF!,Locaties[],3,FALSE),0)</f>
        <v>0</v>
      </c>
      <c r="AA114" s="33"/>
      <c r="AB114" s="33"/>
      <c r="AC114" s="33">
        <f>Ruimtestaat[[#This Row],[uren / jaar weekend]]*Tariefsopbouw!$D$40</f>
        <v>0</v>
      </c>
      <c r="AD114" s="88">
        <f>Ruimtestaat[[#This Row],[Prest. (m2 /jaar) weekend]]+Ruimtestaat[[#This Row],[Prest. (m2 /jaar) werkdagen]]</f>
        <v>1200</v>
      </c>
      <c r="AE114" s="88">
        <f>Ruimtestaat[[#This Row],[uren / jaar weekend]]+Ruimtestaat[[#This Row],[uren / jaar werkdagen]]</f>
        <v>0</v>
      </c>
      <c r="AF114" s="89">
        <f>Ruimtestaat[[#This Row],[kosten / jaar weekend]]+Ruimtestaat[[#This Row],[kosten / jaar werkdagen]]</f>
        <v>0</v>
      </c>
    </row>
    <row r="115" spans="1:32" ht="15" customHeight="1">
      <c r="A115" s="129">
        <v>2</v>
      </c>
      <c r="B115" s="21" t="str">
        <f>VLOOKUP(Ruimtestaat[[#This Row],[Code]],Locaties[#All],2,FALSE)</f>
        <v>Novalis College nieuwbouw</v>
      </c>
      <c r="C115" s="240" t="str">
        <f>VLOOKUP(Ruimtestaat[[#This Row],[Code]],Locaties[#All],4,FALSE)</f>
        <v>Sterrenlaan 16</v>
      </c>
      <c r="D115" s="240" t="str">
        <f>VLOOKUP(Ruimtestaat[[#This Row],[Code]],Locaties[#All],5,FALSE)</f>
        <v>5631 KA</v>
      </c>
      <c r="E115" s="240" t="str">
        <f>VLOOKUP(Ruimtestaat[[#This Row],[Code]],Locaties[#All],6,FALSE)</f>
        <v>Eindhoven</v>
      </c>
      <c r="F115" s="241" t="s">
        <v>611</v>
      </c>
      <c r="G115" s="200" t="s">
        <v>849</v>
      </c>
      <c r="H115" s="200" t="s">
        <v>869</v>
      </c>
      <c r="I115" s="241" t="s">
        <v>870</v>
      </c>
      <c r="J115" s="200">
        <v>16</v>
      </c>
      <c r="K115" s="256" t="str">
        <f>VLOOKUP(Ruimtestaat[[#This Row],[Ruimte code]],Ruimtegroepen[#All],2,FALSE)</f>
        <v>Lokaal</v>
      </c>
      <c r="L115" s="213" t="s">
        <v>110</v>
      </c>
      <c r="M115" s="268" t="s">
        <v>277</v>
      </c>
      <c r="N115" s="212">
        <v>43</v>
      </c>
      <c r="O115" s="212"/>
      <c r="P115" s="240" t="str">
        <f>VLOOKUP(Ruimtestaat[[#This Row],[Ruimte code]],Ruimtegroepen[#All],4,FALSE)</f>
        <v>L  (Lesruimte)</v>
      </c>
      <c r="Q115" s="213">
        <v>40</v>
      </c>
      <c r="R115" s="213" t="s">
        <v>2</v>
      </c>
      <c r="S115" s="213">
        <f>IF(Q115&gt;0,IF(RIGHT(Ruimtestaat[[#This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5" s="213">
        <f>IF(S115&gt;0,VLOOKUP($J115,Ruimtegroepen[],3,FALSE)*VLOOKUP($L115,Vloersoorten[],3,FALSE)*VLOOKUP($R115,Frequenties[],3,FALSE)*VLOOKUP($A115,Locaties[],3,FALSE),0)</f>
        <v>0</v>
      </c>
      <c r="U115" s="213">
        <f>Ruimtestaat[[#This Row],[Uitvoeringen werkdagen]]*Ruimtestaat[[#This Row],[Oppervlak (netto)]]</f>
        <v>8600</v>
      </c>
      <c r="V115" s="253">
        <f>IF(T115&gt;0,Ruimtestaat[[#This Row],[Prest. (m2 /jaar) werkdagen]]/Ruimtestaat[[#This Row],[Norm (m2/uur) werkdagen]],0)</f>
        <v>0</v>
      </c>
      <c r="W115" s="254">
        <f>Ruimtestaat[[#This Row],[uren / jaar werkdagen]]*Tariefsopbouw!$D$38</f>
        <v>0</v>
      </c>
      <c r="X115" s="33"/>
      <c r="Y115" s="33">
        <f>IF(Ruimtestaat[[#This Row],[Frequentie weekend]]&gt;0,VALUE(LEFT(X115,1))*Q115,0)</f>
        <v>0</v>
      </c>
      <c r="Z115" s="33">
        <f>IF($Y115&gt;0,VLOOKUP($J115,Ruimtegroepen[],3,FALSE)*VLOOKUP($L115,Vloersoorten[],3,FALSE)*VLOOKUP($X115,Frequenties[],3,FALSE)*VLOOKUP(#REF!,Locaties[],3,FALSE),0)</f>
        <v>0</v>
      </c>
      <c r="AA115" s="33"/>
      <c r="AB115" s="33"/>
      <c r="AC115" s="33">
        <f>Ruimtestaat[[#This Row],[uren / jaar weekend]]*Tariefsopbouw!$D$40</f>
        <v>0</v>
      </c>
      <c r="AD115" s="88">
        <f>Ruimtestaat[[#This Row],[Prest. (m2 /jaar) weekend]]+Ruimtestaat[[#This Row],[Prest. (m2 /jaar) werkdagen]]</f>
        <v>8600</v>
      </c>
      <c r="AE115" s="88">
        <f>Ruimtestaat[[#This Row],[uren / jaar weekend]]+Ruimtestaat[[#This Row],[uren / jaar werkdagen]]</f>
        <v>0</v>
      </c>
      <c r="AF115" s="89">
        <f>Ruimtestaat[[#This Row],[kosten / jaar weekend]]+Ruimtestaat[[#This Row],[kosten / jaar werkdagen]]</f>
        <v>0</v>
      </c>
    </row>
    <row r="116" spans="1:32" ht="15" customHeight="1">
      <c r="A116" s="129">
        <v>2</v>
      </c>
      <c r="B116" s="21" t="str">
        <f>VLOOKUP(Ruimtestaat[[#This Row],[Code]],Locaties[#All],2,FALSE)</f>
        <v>Novalis College nieuwbouw</v>
      </c>
      <c r="C116" s="240" t="str">
        <f>VLOOKUP(Ruimtestaat[[#This Row],[Code]],Locaties[#All],4,FALSE)</f>
        <v>Sterrenlaan 16</v>
      </c>
      <c r="D116" s="240" t="str">
        <f>VLOOKUP(Ruimtestaat[[#This Row],[Code]],Locaties[#All],5,FALSE)</f>
        <v>5631 KA</v>
      </c>
      <c r="E116" s="240" t="str">
        <f>VLOOKUP(Ruimtestaat[[#This Row],[Code]],Locaties[#All],6,FALSE)</f>
        <v>Eindhoven</v>
      </c>
      <c r="F116" s="241" t="s">
        <v>611</v>
      </c>
      <c r="G116" s="200" t="s">
        <v>849</v>
      </c>
      <c r="H116" s="200" t="s">
        <v>871</v>
      </c>
      <c r="I116" s="241" t="s">
        <v>872</v>
      </c>
      <c r="J116" s="200">
        <v>16</v>
      </c>
      <c r="K116" s="256" t="str">
        <f>VLOOKUP(Ruimtestaat[[#This Row],[Ruimte code]],Ruimtegroepen[#All],2,FALSE)</f>
        <v>Lokaal</v>
      </c>
      <c r="L116" s="213" t="s">
        <v>110</v>
      </c>
      <c r="M116" s="268" t="s">
        <v>277</v>
      </c>
      <c r="N116" s="212">
        <v>30</v>
      </c>
      <c r="O116" s="212"/>
      <c r="P116" s="240" t="str">
        <f>VLOOKUP(Ruimtestaat[[#This Row],[Ruimte code]],Ruimtegroepen[#All],4,FALSE)</f>
        <v>L  (Lesruimte)</v>
      </c>
      <c r="Q116" s="213">
        <v>40</v>
      </c>
      <c r="R116" s="213" t="s">
        <v>2</v>
      </c>
      <c r="S116" s="213">
        <f>IF(Q116&gt;0,IF(RIGHT(Ruimtestaat[[#This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6" s="213">
        <f>IF(S116&gt;0,VLOOKUP($J116,Ruimtegroepen[],3,FALSE)*VLOOKUP($L116,Vloersoorten[],3,FALSE)*VLOOKUP($R116,Frequenties[],3,FALSE)*VLOOKUP($A116,Locaties[],3,FALSE),0)</f>
        <v>0</v>
      </c>
      <c r="U116" s="213">
        <f>Ruimtestaat[[#This Row],[Uitvoeringen werkdagen]]*Ruimtestaat[[#This Row],[Oppervlak (netto)]]</f>
        <v>6000</v>
      </c>
      <c r="V116" s="253">
        <f>IF(T116&gt;0,Ruimtestaat[[#This Row],[Prest. (m2 /jaar) werkdagen]]/Ruimtestaat[[#This Row],[Norm (m2/uur) werkdagen]],0)</f>
        <v>0</v>
      </c>
      <c r="W116" s="254">
        <f>Ruimtestaat[[#This Row],[uren / jaar werkdagen]]*Tariefsopbouw!$D$38</f>
        <v>0</v>
      </c>
      <c r="X116" s="33"/>
      <c r="Y116" s="33">
        <f>IF(Ruimtestaat[[#This Row],[Frequentie weekend]]&gt;0,VALUE(LEFT(X116,1))*Q116,0)</f>
        <v>0</v>
      </c>
      <c r="Z116" s="33">
        <f>IF($Y116&gt;0,VLOOKUP($J116,Ruimtegroepen[],3,FALSE)*VLOOKUP($L116,Vloersoorten[],3,FALSE)*VLOOKUP($X116,Frequenties[],3,FALSE)*VLOOKUP(#REF!,Locaties[],3,FALSE),0)</f>
        <v>0</v>
      </c>
      <c r="AA116" s="33"/>
      <c r="AB116" s="33"/>
      <c r="AC116" s="33">
        <f>Ruimtestaat[[#This Row],[uren / jaar weekend]]*Tariefsopbouw!$D$40</f>
        <v>0</v>
      </c>
      <c r="AD116" s="88">
        <f>Ruimtestaat[[#This Row],[Prest. (m2 /jaar) weekend]]+Ruimtestaat[[#This Row],[Prest. (m2 /jaar) werkdagen]]</f>
        <v>6000</v>
      </c>
      <c r="AE116" s="88">
        <f>Ruimtestaat[[#This Row],[uren / jaar weekend]]+Ruimtestaat[[#This Row],[uren / jaar werkdagen]]</f>
        <v>0</v>
      </c>
      <c r="AF116" s="89">
        <f>Ruimtestaat[[#This Row],[kosten / jaar weekend]]+Ruimtestaat[[#This Row],[kosten / jaar werkdagen]]</f>
        <v>0</v>
      </c>
    </row>
    <row r="117" spans="1:32" ht="15" customHeight="1">
      <c r="A117" s="129">
        <v>2</v>
      </c>
      <c r="B117" s="21" t="str">
        <f>VLOOKUP(Ruimtestaat[[#This Row],[Code]],Locaties[#All],2,FALSE)</f>
        <v>Novalis College nieuwbouw</v>
      </c>
      <c r="C117" s="240" t="str">
        <f>VLOOKUP(Ruimtestaat[[#This Row],[Code]],Locaties[#All],4,FALSE)</f>
        <v>Sterrenlaan 16</v>
      </c>
      <c r="D117" s="240" t="str">
        <f>VLOOKUP(Ruimtestaat[[#This Row],[Code]],Locaties[#All],5,FALSE)</f>
        <v>5631 KA</v>
      </c>
      <c r="E117" s="240" t="str">
        <f>VLOOKUP(Ruimtestaat[[#This Row],[Code]],Locaties[#All],6,FALSE)</f>
        <v>Eindhoven</v>
      </c>
      <c r="F117" s="241" t="s">
        <v>611</v>
      </c>
      <c r="G117" s="200" t="s">
        <v>849</v>
      </c>
      <c r="H117" s="200" t="s">
        <v>873</v>
      </c>
      <c r="I117" s="241" t="s">
        <v>874</v>
      </c>
      <c r="J117" s="200">
        <v>16</v>
      </c>
      <c r="K117" s="256" t="str">
        <f>VLOOKUP(Ruimtestaat[[#This Row],[Ruimte code]],Ruimtegroepen[#All],2,FALSE)</f>
        <v>Lokaal</v>
      </c>
      <c r="L117" s="213" t="s">
        <v>110</v>
      </c>
      <c r="M117" s="268" t="s">
        <v>277</v>
      </c>
      <c r="N117" s="212">
        <v>32</v>
      </c>
      <c r="O117" s="212"/>
      <c r="P117" s="240" t="str">
        <f>VLOOKUP(Ruimtestaat[[#This Row],[Ruimte code]],Ruimtegroepen[#All],4,FALSE)</f>
        <v>L  (Lesruimte)</v>
      </c>
      <c r="Q117" s="213">
        <v>40</v>
      </c>
      <c r="R117" s="213" t="s">
        <v>2</v>
      </c>
      <c r="S117" s="213">
        <f>IF(Q117&gt;0,IF(RIGHT(Ruimtestaat[[#This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7" s="213">
        <f>IF(S117&gt;0,VLOOKUP($J117,Ruimtegroepen[],3,FALSE)*VLOOKUP($L117,Vloersoorten[],3,FALSE)*VLOOKUP($R117,Frequenties[],3,FALSE)*VLOOKUP($A117,Locaties[],3,FALSE),0)</f>
        <v>0</v>
      </c>
      <c r="U117" s="213">
        <f>Ruimtestaat[[#This Row],[Uitvoeringen werkdagen]]*Ruimtestaat[[#This Row],[Oppervlak (netto)]]</f>
        <v>6400</v>
      </c>
      <c r="V117" s="253">
        <f>IF(T117&gt;0,Ruimtestaat[[#This Row],[Prest. (m2 /jaar) werkdagen]]/Ruimtestaat[[#This Row],[Norm (m2/uur) werkdagen]],0)</f>
        <v>0</v>
      </c>
      <c r="W117" s="254">
        <f>Ruimtestaat[[#This Row],[uren / jaar werkdagen]]*Tariefsopbouw!$D$38</f>
        <v>0</v>
      </c>
      <c r="X117" s="33"/>
      <c r="Y117" s="33">
        <f>IF(Ruimtestaat[[#This Row],[Frequentie weekend]]&gt;0,VALUE(LEFT(X117,1))*Q117,0)</f>
        <v>0</v>
      </c>
      <c r="Z117" s="33">
        <f>IF($Y117&gt;0,VLOOKUP($J117,Ruimtegroepen[],3,FALSE)*VLOOKUP($L117,Vloersoorten[],3,FALSE)*VLOOKUP($X117,Frequenties[],3,FALSE)*VLOOKUP(#REF!,Locaties[],3,FALSE),0)</f>
        <v>0</v>
      </c>
      <c r="AA117" s="33"/>
      <c r="AB117" s="33"/>
      <c r="AC117" s="33">
        <f>Ruimtestaat[[#This Row],[uren / jaar weekend]]*Tariefsopbouw!$D$40</f>
        <v>0</v>
      </c>
      <c r="AD117" s="88">
        <f>Ruimtestaat[[#This Row],[Prest. (m2 /jaar) weekend]]+Ruimtestaat[[#This Row],[Prest. (m2 /jaar) werkdagen]]</f>
        <v>6400</v>
      </c>
      <c r="AE117" s="88">
        <f>Ruimtestaat[[#This Row],[uren / jaar weekend]]+Ruimtestaat[[#This Row],[uren / jaar werkdagen]]</f>
        <v>0</v>
      </c>
      <c r="AF117" s="89">
        <f>Ruimtestaat[[#This Row],[kosten / jaar weekend]]+Ruimtestaat[[#This Row],[kosten / jaar werkdagen]]</f>
        <v>0</v>
      </c>
    </row>
    <row r="118" spans="1:32" ht="15" customHeight="1">
      <c r="A118" s="129">
        <v>2</v>
      </c>
      <c r="B118" s="21" t="str">
        <f>VLOOKUP(Ruimtestaat[[#This Row],[Code]],Locaties[#All],2,FALSE)</f>
        <v>Novalis College nieuwbouw</v>
      </c>
      <c r="C118" s="240" t="str">
        <f>VLOOKUP(Ruimtestaat[[#This Row],[Code]],Locaties[#All],4,FALSE)</f>
        <v>Sterrenlaan 16</v>
      </c>
      <c r="D118" s="240" t="str">
        <f>VLOOKUP(Ruimtestaat[[#This Row],[Code]],Locaties[#All],5,FALSE)</f>
        <v>5631 KA</v>
      </c>
      <c r="E118" s="240" t="str">
        <f>VLOOKUP(Ruimtestaat[[#This Row],[Code]],Locaties[#All],6,FALSE)</f>
        <v>Eindhoven</v>
      </c>
      <c r="F118" s="241" t="s">
        <v>611</v>
      </c>
      <c r="G118" s="200" t="s">
        <v>849</v>
      </c>
      <c r="H118" s="200" t="s">
        <v>875</v>
      </c>
      <c r="I118" s="241" t="s">
        <v>876</v>
      </c>
      <c r="J118" s="213">
        <v>6</v>
      </c>
      <c r="K118" s="256" t="str">
        <f>VLOOKUP(Ruimtestaat[[#This Row],[Ruimte code]],Ruimtegroepen[#All],2,FALSE)</f>
        <v>Gangen/hallen</v>
      </c>
      <c r="L118" s="213" t="s">
        <v>110</v>
      </c>
      <c r="M118" s="268" t="s">
        <v>277</v>
      </c>
      <c r="N118" s="212">
        <v>67</v>
      </c>
      <c r="O118" s="212"/>
      <c r="P118" s="240" t="str">
        <f>VLOOKUP(Ruimtestaat[[#This Row],[Ruimte code]],Ruimtegroepen[#All],4,FALSE)</f>
        <v>V  (Verkeersruimte)</v>
      </c>
      <c r="Q118" s="213">
        <v>40</v>
      </c>
      <c r="R118" s="213" t="s">
        <v>2</v>
      </c>
      <c r="S118" s="213">
        <f>IF(Q118&gt;0,IF(RIGHT(Ruimtestaat[[#This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8" s="213">
        <f>IF(S118&gt;0,VLOOKUP($J118,Ruimtegroepen[],3,FALSE)*VLOOKUP($L118,Vloersoorten[],3,FALSE)*VLOOKUP($R118,Frequenties[],3,FALSE)*VLOOKUP($A118,Locaties[],3,FALSE),0)</f>
        <v>0</v>
      </c>
      <c r="U118" s="213">
        <f>Ruimtestaat[[#This Row],[Uitvoeringen werkdagen]]*Ruimtestaat[[#This Row],[Oppervlak (netto)]]</f>
        <v>13400</v>
      </c>
      <c r="V118" s="253">
        <f>IF(T118&gt;0,Ruimtestaat[[#This Row],[Prest. (m2 /jaar) werkdagen]]/Ruimtestaat[[#This Row],[Norm (m2/uur) werkdagen]],0)</f>
        <v>0</v>
      </c>
      <c r="W118" s="254">
        <f>Ruimtestaat[[#This Row],[uren / jaar werkdagen]]*Tariefsopbouw!$D$38</f>
        <v>0</v>
      </c>
      <c r="X118" s="33"/>
      <c r="Y118" s="33">
        <f>IF(Ruimtestaat[[#This Row],[Frequentie weekend]]&gt;0,VALUE(LEFT(X118,1))*Q118,0)</f>
        <v>0</v>
      </c>
      <c r="Z118" s="33">
        <f>IF($Y118&gt;0,VLOOKUP($J118,Ruimtegroepen[],3,FALSE)*VLOOKUP($L118,Vloersoorten[],3,FALSE)*VLOOKUP($X118,Frequenties[],3,FALSE)*VLOOKUP(#REF!,Locaties[],3,FALSE),0)</f>
        <v>0</v>
      </c>
      <c r="AA118" s="33"/>
      <c r="AB118" s="33"/>
      <c r="AC118" s="33">
        <f>Ruimtestaat[[#This Row],[uren / jaar weekend]]*Tariefsopbouw!$D$40</f>
        <v>0</v>
      </c>
      <c r="AD118" s="88">
        <f>Ruimtestaat[[#This Row],[Prest. (m2 /jaar) weekend]]+Ruimtestaat[[#This Row],[Prest. (m2 /jaar) werkdagen]]</f>
        <v>13400</v>
      </c>
      <c r="AE118" s="88">
        <f>Ruimtestaat[[#This Row],[uren / jaar weekend]]+Ruimtestaat[[#This Row],[uren / jaar werkdagen]]</f>
        <v>0</v>
      </c>
      <c r="AF118" s="89">
        <f>Ruimtestaat[[#This Row],[kosten / jaar weekend]]+Ruimtestaat[[#This Row],[kosten / jaar werkdagen]]</f>
        <v>0</v>
      </c>
    </row>
    <row r="119" spans="1:32" ht="15" customHeight="1">
      <c r="A119" s="129">
        <v>2</v>
      </c>
      <c r="B119" s="21" t="str">
        <f>VLOOKUP(Ruimtestaat[[#This Row],[Code]],Locaties[#All],2,FALSE)</f>
        <v>Novalis College nieuwbouw</v>
      </c>
      <c r="C119" s="240" t="str">
        <f>VLOOKUP(Ruimtestaat[[#This Row],[Code]],Locaties[#All],4,FALSE)</f>
        <v>Sterrenlaan 16</v>
      </c>
      <c r="D119" s="240" t="str">
        <f>VLOOKUP(Ruimtestaat[[#This Row],[Code]],Locaties[#All],5,FALSE)</f>
        <v>5631 KA</v>
      </c>
      <c r="E119" s="240" t="str">
        <f>VLOOKUP(Ruimtestaat[[#This Row],[Code]],Locaties[#All],6,FALSE)</f>
        <v>Eindhoven</v>
      </c>
      <c r="F119" s="241" t="s">
        <v>611</v>
      </c>
      <c r="G119" s="200" t="s">
        <v>849</v>
      </c>
      <c r="H119" s="200" t="s">
        <v>877</v>
      </c>
      <c r="I119" s="241" t="s">
        <v>878</v>
      </c>
      <c r="J119" s="200">
        <v>8</v>
      </c>
      <c r="K119" s="256" t="str">
        <f>VLOOKUP(Ruimtestaat[[#This Row],[Ruimte code]],Ruimtegroepen[#All],2,FALSE)</f>
        <v>Multifunctionele ruimte</v>
      </c>
      <c r="L119" s="213" t="s">
        <v>110</v>
      </c>
      <c r="M119" s="268" t="s">
        <v>277</v>
      </c>
      <c r="N119" s="212">
        <v>59</v>
      </c>
      <c r="O119" s="212"/>
      <c r="P119" s="240" t="str">
        <f>VLOOKUP(Ruimtestaat[[#This Row],[Ruimte code]],Ruimtegroepen[#All],4,FALSE)</f>
        <v>L  (Lesruimte)</v>
      </c>
      <c r="Q119" s="213">
        <v>40</v>
      </c>
      <c r="R119" s="213" t="s">
        <v>2</v>
      </c>
      <c r="S119" s="213">
        <f>IF(Q119&gt;0,IF(RIGHT(Ruimtestaat[[#This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19" s="213">
        <f>IF(S119&gt;0,VLOOKUP($J119,Ruimtegroepen[],3,FALSE)*VLOOKUP($L119,Vloersoorten[],3,FALSE)*VLOOKUP($R119,Frequenties[],3,FALSE)*VLOOKUP($A119,Locaties[],3,FALSE),0)</f>
        <v>0</v>
      </c>
      <c r="U119" s="213">
        <f>Ruimtestaat[[#This Row],[Uitvoeringen werkdagen]]*Ruimtestaat[[#This Row],[Oppervlak (netto)]]</f>
        <v>11800</v>
      </c>
      <c r="V119" s="253">
        <f>IF(T119&gt;0,Ruimtestaat[[#This Row],[Prest. (m2 /jaar) werkdagen]]/Ruimtestaat[[#This Row],[Norm (m2/uur) werkdagen]],0)</f>
        <v>0</v>
      </c>
      <c r="W119" s="254">
        <f>Ruimtestaat[[#This Row],[uren / jaar werkdagen]]*Tariefsopbouw!$D$38</f>
        <v>0</v>
      </c>
      <c r="X119" s="33"/>
      <c r="Y119" s="33">
        <f>IF(Ruimtestaat[[#This Row],[Frequentie weekend]]&gt;0,VALUE(LEFT(X119,1))*Q119,0)</f>
        <v>0</v>
      </c>
      <c r="Z119" s="33">
        <f>IF($Y119&gt;0,VLOOKUP($J119,Ruimtegroepen[],3,FALSE)*VLOOKUP($L119,Vloersoorten[],3,FALSE)*VLOOKUP($X119,Frequenties[],3,FALSE)*VLOOKUP(#REF!,Locaties[],3,FALSE),0)</f>
        <v>0</v>
      </c>
      <c r="AA119" s="33"/>
      <c r="AB119" s="33"/>
      <c r="AC119" s="33">
        <f>Ruimtestaat[[#This Row],[uren / jaar weekend]]*Tariefsopbouw!$D$40</f>
        <v>0</v>
      </c>
      <c r="AD119" s="88">
        <f>Ruimtestaat[[#This Row],[Prest. (m2 /jaar) weekend]]+Ruimtestaat[[#This Row],[Prest. (m2 /jaar) werkdagen]]</f>
        <v>11800</v>
      </c>
      <c r="AE119" s="88">
        <f>Ruimtestaat[[#This Row],[uren / jaar weekend]]+Ruimtestaat[[#This Row],[uren / jaar werkdagen]]</f>
        <v>0</v>
      </c>
      <c r="AF119" s="89">
        <f>Ruimtestaat[[#This Row],[kosten / jaar weekend]]+Ruimtestaat[[#This Row],[kosten / jaar werkdagen]]</f>
        <v>0</v>
      </c>
    </row>
    <row r="120" spans="1:32" ht="15" customHeight="1">
      <c r="A120" s="129">
        <v>2</v>
      </c>
      <c r="B120" s="21" t="str">
        <f>VLOOKUP(Ruimtestaat[[#This Row],[Code]],Locaties[#All],2,FALSE)</f>
        <v>Novalis College nieuwbouw</v>
      </c>
      <c r="C120" s="240" t="str">
        <f>VLOOKUP(Ruimtestaat[[#This Row],[Code]],Locaties[#All],4,FALSE)</f>
        <v>Sterrenlaan 16</v>
      </c>
      <c r="D120" s="240" t="str">
        <f>VLOOKUP(Ruimtestaat[[#This Row],[Code]],Locaties[#All],5,FALSE)</f>
        <v>5631 KA</v>
      </c>
      <c r="E120" s="240" t="str">
        <f>VLOOKUP(Ruimtestaat[[#This Row],[Code]],Locaties[#All],6,FALSE)</f>
        <v>Eindhoven</v>
      </c>
      <c r="F120" s="241" t="s">
        <v>611</v>
      </c>
      <c r="G120" s="200" t="s">
        <v>849</v>
      </c>
      <c r="H120" s="200" t="s">
        <v>879</v>
      </c>
      <c r="I120" s="241" t="s">
        <v>880</v>
      </c>
      <c r="J120" s="200">
        <v>2</v>
      </c>
      <c r="K120" s="256" t="str">
        <f>VLOOKUP(Ruimtestaat[[#This Row],[Ruimte code]],Ruimtegroepen[#All],2,FALSE)</f>
        <v>Kantoren</v>
      </c>
      <c r="L120" s="213" t="s">
        <v>110</v>
      </c>
      <c r="M120" s="268" t="s">
        <v>277</v>
      </c>
      <c r="N120" s="212">
        <v>14</v>
      </c>
      <c r="O120" s="212"/>
      <c r="P120" s="240" t="str">
        <f>VLOOKUP(Ruimtestaat[[#This Row],[Ruimte code]],Ruimtegroepen[#All],4,FALSE)</f>
        <v>B  (Bureauruimte)</v>
      </c>
      <c r="Q120" s="213">
        <v>40</v>
      </c>
      <c r="R120" s="213" t="s">
        <v>17</v>
      </c>
      <c r="S120" s="213">
        <f>IF(Q120&gt;0,IF(RIGHT(Ruimtestaat[[#This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20" s="213">
        <f>IF(S120&gt;0,VLOOKUP($J120,Ruimtegroepen[],3,FALSE)*VLOOKUP($L120,Vloersoorten[],3,FALSE)*VLOOKUP($R120,Frequenties[],3,FALSE)*VLOOKUP($A120,Locaties[],3,FALSE),0)</f>
        <v>0</v>
      </c>
      <c r="U120" s="213">
        <f>Ruimtestaat[[#This Row],[Uitvoeringen werkdagen]]*Ruimtestaat[[#This Row],[Oppervlak (netto)]]</f>
        <v>1120</v>
      </c>
      <c r="V120" s="253">
        <f>IF(T120&gt;0,Ruimtestaat[[#This Row],[Prest. (m2 /jaar) werkdagen]]/Ruimtestaat[[#This Row],[Norm (m2/uur) werkdagen]],0)</f>
        <v>0</v>
      </c>
      <c r="W120" s="254">
        <f>Ruimtestaat[[#This Row],[uren / jaar werkdagen]]*Tariefsopbouw!$D$38</f>
        <v>0</v>
      </c>
      <c r="X120" s="33"/>
      <c r="Y120" s="33">
        <f>IF(Ruimtestaat[[#This Row],[Frequentie weekend]]&gt;0,VALUE(LEFT(X120,1))*Q120,0)</f>
        <v>0</v>
      </c>
      <c r="Z120" s="33">
        <f>IF($Y120&gt;0,VLOOKUP($J120,Ruimtegroepen[],3,FALSE)*VLOOKUP($L120,Vloersoorten[],3,FALSE)*VLOOKUP($X120,Frequenties[],3,FALSE)*VLOOKUP(#REF!,Locaties[],3,FALSE),0)</f>
        <v>0</v>
      </c>
      <c r="AA120" s="33"/>
      <c r="AB120" s="33"/>
      <c r="AC120" s="33">
        <f>Ruimtestaat[[#This Row],[uren / jaar weekend]]*Tariefsopbouw!$D$40</f>
        <v>0</v>
      </c>
      <c r="AD120" s="88">
        <f>Ruimtestaat[[#This Row],[Prest. (m2 /jaar) weekend]]+Ruimtestaat[[#This Row],[Prest. (m2 /jaar) werkdagen]]</f>
        <v>1120</v>
      </c>
      <c r="AE120" s="88">
        <f>Ruimtestaat[[#This Row],[uren / jaar weekend]]+Ruimtestaat[[#This Row],[uren / jaar werkdagen]]</f>
        <v>0</v>
      </c>
      <c r="AF120" s="89">
        <f>Ruimtestaat[[#This Row],[kosten / jaar weekend]]+Ruimtestaat[[#This Row],[kosten / jaar werkdagen]]</f>
        <v>0</v>
      </c>
    </row>
    <row r="121" spans="1:32" ht="15" customHeight="1">
      <c r="A121" s="129">
        <v>2</v>
      </c>
      <c r="B121" s="21" t="str">
        <f>VLOOKUP(Ruimtestaat[[#This Row],[Code]],Locaties[#All],2,FALSE)</f>
        <v>Novalis College nieuwbouw</v>
      </c>
      <c r="C121" s="240" t="str">
        <f>VLOOKUP(Ruimtestaat[[#This Row],[Code]],Locaties[#All],4,FALSE)</f>
        <v>Sterrenlaan 16</v>
      </c>
      <c r="D121" s="240" t="str">
        <f>VLOOKUP(Ruimtestaat[[#This Row],[Code]],Locaties[#All],5,FALSE)</f>
        <v>5631 KA</v>
      </c>
      <c r="E121" s="240" t="str">
        <f>VLOOKUP(Ruimtestaat[[#This Row],[Code]],Locaties[#All],6,FALSE)</f>
        <v>Eindhoven</v>
      </c>
      <c r="F121" s="241" t="s">
        <v>611</v>
      </c>
      <c r="G121" s="200" t="s">
        <v>849</v>
      </c>
      <c r="H121" s="200" t="s">
        <v>881</v>
      </c>
      <c r="I121" s="241" t="s">
        <v>608</v>
      </c>
      <c r="J121" s="200">
        <v>21</v>
      </c>
      <c r="K121" s="256" t="str">
        <f>VLOOKUP(Ruimtestaat[[#This Row],[Ruimte code]],Ruimtegroepen[#All],2,FALSE)</f>
        <v>Niet in onderhoud</v>
      </c>
      <c r="L121" s="213"/>
      <c r="M121" s="268"/>
      <c r="N121" s="212"/>
      <c r="O121" s="212"/>
      <c r="P121" s="240" t="str">
        <f>VLOOKUP(Ruimtestaat[[#This Row],[Ruimte code]],Ruimtegroepen[#All],4,FALSE)</f>
        <v>Niet in onderhoud</v>
      </c>
      <c r="Q121" s="213"/>
      <c r="R121" s="213"/>
      <c r="S121" s="213">
        <f>IF(Q121&gt;0,IF(RIGHT(Ruimtestaat[[#This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21" s="213">
        <f>IF(S121&gt;0,VLOOKUP($J121,Ruimtegroepen[],3,FALSE)*VLOOKUP($L121,Vloersoorten[],3,FALSE)*VLOOKUP($R121,Frequenties[],3,FALSE)*VLOOKUP($A121,Locaties[],3,FALSE),0)</f>
        <v>0</v>
      </c>
      <c r="U121" s="213">
        <f>Ruimtestaat[[#This Row],[Uitvoeringen werkdagen]]*Ruimtestaat[[#This Row],[Oppervlak (netto)]]</f>
        <v>0</v>
      </c>
      <c r="V121" s="253">
        <f>IF(T121&gt;0,Ruimtestaat[[#This Row],[Prest. (m2 /jaar) werkdagen]]/Ruimtestaat[[#This Row],[Norm (m2/uur) werkdagen]],0)</f>
        <v>0</v>
      </c>
      <c r="W121" s="254">
        <f>Ruimtestaat[[#This Row],[uren / jaar werkdagen]]*Tariefsopbouw!$D$38</f>
        <v>0</v>
      </c>
      <c r="X121" s="33"/>
      <c r="Y121" s="33">
        <f>IF(Ruimtestaat[[#This Row],[Frequentie weekend]]&gt;0,VALUE(LEFT(X121,1))*Q121,0)</f>
        <v>0</v>
      </c>
      <c r="Z121" s="33">
        <f>IF($Y121&gt;0,VLOOKUP($J121,Ruimtegroepen[],3,FALSE)*VLOOKUP($L121,Vloersoorten[],3,FALSE)*VLOOKUP($X121,Frequenties[],3,FALSE)*VLOOKUP(#REF!,Locaties[],3,FALSE),0)</f>
        <v>0</v>
      </c>
      <c r="AA121" s="33"/>
      <c r="AB121" s="33"/>
      <c r="AC121" s="33">
        <f>Ruimtestaat[[#This Row],[uren / jaar weekend]]*Tariefsopbouw!$D$40</f>
        <v>0</v>
      </c>
      <c r="AD121" s="88">
        <f>Ruimtestaat[[#This Row],[Prest. (m2 /jaar) weekend]]+Ruimtestaat[[#This Row],[Prest. (m2 /jaar) werkdagen]]</f>
        <v>0</v>
      </c>
      <c r="AE121" s="88">
        <f>Ruimtestaat[[#This Row],[uren / jaar weekend]]+Ruimtestaat[[#This Row],[uren / jaar werkdagen]]</f>
        <v>0</v>
      </c>
      <c r="AF121" s="89">
        <f>Ruimtestaat[[#This Row],[kosten / jaar weekend]]+Ruimtestaat[[#This Row],[kosten / jaar werkdagen]]</f>
        <v>0</v>
      </c>
    </row>
    <row r="122" spans="1:32" ht="15" customHeight="1">
      <c r="A122" s="129">
        <v>2</v>
      </c>
      <c r="B122" s="21" t="str">
        <f>VLOOKUP(Ruimtestaat[[#This Row],[Code]],Locaties[#All],2,FALSE)</f>
        <v>Novalis College nieuwbouw</v>
      </c>
      <c r="C122" s="240" t="str">
        <f>VLOOKUP(Ruimtestaat[[#This Row],[Code]],Locaties[#All],4,FALSE)</f>
        <v>Sterrenlaan 16</v>
      </c>
      <c r="D122" s="240" t="str">
        <f>VLOOKUP(Ruimtestaat[[#This Row],[Code]],Locaties[#All],5,FALSE)</f>
        <v>5631 KA</v>
      </c>
      <c r="E122" s="240" t="str">
        <f>VLOOKUP(Ruimtestaat[[#This Row],[Code]],Locaties[#All],6,FALSE)</f>
        <v>Eindhoven</v>
      </c>
      <c r="F122" s="241" t="s">
        <v>611</v>
      </c>
      <c r="G122" s="200" t="s">
        <v>849</v>
      </c>
      <c r="H122" s="200" t="s">
        <v>882</v>
      </c>
      <c r="I122" s="241" t="s">
        <v>487</v>
      </c>
      <c r="J122" s="240">
        <v>4</v>
      </c>
      <c r="K122" s="256" t="str">
        <f>VLOOKUP(Ruimtestaat[[#This Row],[Ruimte code]],Ruimtegroepen[#All],2,FALSE)</f>
        <v>Vergader/spreekkamers</v>
      </c>
      <c r="L122" s="213" t="s">
        <v>110</v>
      </c>
      <c r="M122" s="268" t="s">
        <v>277</v>
      </c>
      <c r="N122" s="212">
        <v>13</v>
      </c>
      <c r="O122" s="212"/>
      <c r="P122" s="240" t="str">
        <f>VLOOKUP(Ruimtestaat[[#This Row],[Ruimte code]],Ruimtegroepen[#All],4,FALSE)</f>
        <v>B  (Bureauruimte)</v>
      </c>
      <c r="Q122" s="213">
        <v>40</v>
      </c>
      <c r="R122" s="213" t="s">
        <v>18</v>
      </c>
      <c r="S122" s="213">
        <f>IF(Q122&gt;0,IF(RIGHT(Ruimtestaat[[#This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122" s="213">
        <f>IF(S122&gt;0,VLOOKUP($J122,Ruimtegroepen[],3,FALSE)*VLOOKUP($L122,Vloersoorten[],3,FALSE)*VLOOKUP($R122,Frequenties[],3,FALSE)*VLOOKUP($A122,Locaties[],3,FALSE),0)</f>
        <v>0</v>
      </c>
      <c r="U122" s="213">
        <f>Ruimtestaat[[#This Row],[Uitvoeringen werkdagen]]*Ruimtestaat[[#This Row],[Oppervlak (netto)]]</f>
        <v>1560</v>
      </c>
      <c r="V122" s="253">
        <f>IF(T122&gt;0,Ruimtestaat[[#This Row],[Prest. (m2 /jaar) werkdagen]]/Ruimtestaat[[#This Row],[Norm (m2/uur) werkdagen]],0)</f>
        <v>0</v>
      </c>
      <c r="W122" s="254">
        <f>Ruimtestaat[[#This Row],[uren / jaar werkdagen]]*Tariefsopbouw!$D$38</f>
        <v>0</v>
      </c>
      <c r="X122" s="33"/>
      <c r="Y122" s="33">
        <f>IF(Ruimtestaat[[#This Row],[Frequentie weekend]]&gt;0,VALUE(LEFT(X122,1))*Q122,0)</f>
        <v>0</v>
      </c>
      <c r="Z122" s="33">
        <f>IF($Y122&gt;0,VLOOKUP($J122,Ruimtegroepen[],3,FALSE)*VLOOKUP($L122,Vloersoorten[],3,FALSE)*VLOOKUP($X122,Frequenties[],3,FALSE)*VLOOKUP(#REF!,Locaties[],3,FALSE),0)</f>
        <v>0</v>
      </c>
      <c r="AA122" s="33"/>
      <c r="AB122" s="33"/>
      <c r="AC122" s="33">
        <f>Ruimtestaat[[#This Row],[uren / jaar weekend]]*Tariefsopbouw!$D$40</f>
        <v>0</v>
      </c>
      <c r="AD122" s="88">
        <f>Ruimtestaat[[#This Row],[Prest. (m2 /jaar) weekend]]+Ruimtestaat[[#This Row],[Prest. (m2 /jaar) werkdagen]]</f>
        <v>1560</v>
      </c>
      <c r="AE122" s="88">
        <f>Ruimtestaat[[#This Row],[uren / jaar weekend]]+Ruimtestaat[[#This Row],[uren / jaar werkdagen]]</f>
        <v>0</v>
      </c>
      <c r="AF122" s="89">
        <f>Ruimtestaat[[#This Row],[kosten / jaar weekend]]+Ruimtestaat[[#This Row],[kosten / jaar werkdagen]]</f>
        <v>0</v>
      </c>
    </row>
    <row r="123" spans="1:32" ht="15" customHeight="1">
      <c r="A123" s="129">
        <v>2</v>
      </c>
      <c r="B123" s="21" t="str">
        <f>VLOOKUP(Ruimtestaat[[#This Row],[Code]],Locaties[#All],2,FALSE)</f>
        <v>Novalis College nieuwbouw</v>
      </c>
      <c r="C123" s="240" t="str">
        <f>VLOOKUP(Ruimtestaat[[#This Row],[Code]],Locaties[#All],4,FALSE)</f>
        <v>Sterrenlaan 16</v>
      </c>
      <c r="D123" s="240" t="str">
        <f>VLOOKUP(Ruimtestaat[[#This Row],[Code]],Locaties[#All],5,FALSE)</f>
        <v>5631 KA</v>
      </c>
      <c r="E123" s="240" t="str">
        <f>VLOOKUP(Ruimtestaat[[#This Row],[Code]],Locaties[#All],6,FALSE)</f>
        <v>Eindhoven</v>
      </c>
      <c r="F123" s="241" t="s">
        <v>611</v>
      </c>
      <c r="G123" s="200" t="s">
        <v>883</v>
      </c>
      <c r="H123" s="200" t="s">
        <v>884</v>
      </c>
      <c r="I123" s="241" t="s">
        <v>885</v>
      </c>
      <c r="J123" s="200">
        <v>16</v>
      </c>
      <c r="K123" s="256" t="str">
        <f>VLOOKUP(Ruimtestaat[[#This Row],[Ruimte code]],Ruimtegroepen[#All],2,FALSE)</f>
        <v>Lokaal</v>
      </c>
      <c r="L123" s="213" t="s">
        <v>110</v>
      </c>
      <c r="M123" s="268" t="s">
        <v>277</v>
      </c>
      <c r="N123" s="212">
        <v>47</v>
      </c>
      <c r="O123" s="212"/>
      <c r="P123" s="240" t="str">
        <f>VLOOKUP(Ruimtestaat[[#This Row],[Ruimte code]],Ruimtegroepen[#All],4,FALSE)</f>
        <v>L  (Lesruimte)</v>
      </c>
      <c r="Q123" s="213">
        <v>40</v>
      </c>
      <c r="R123" s="213" t="s">
        <v>2</v>
      </c>
      <c r="S123" s="213">
        <f>IF(Q123&gt;0,IF(RIGHT(Ruimtestaat[[#This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3" s="213">
        <f>IF(S123&gt;0,VLOOKUP($J123,Ruimtegroepen[],3,FALSE)*VLOOKUP($L123,Vloersoorten[],3,FALSE)*VLOOKUP($R123,Frequenties[],3,FALSE)*VLOOKUP($A123,Locaties[],3,FALSE),0)</f>
        <v>0</v>
      </c>
      <c r="U123" s="213">
        <f>Ruimtestaat[[#This Row],[Uitvoeringen werkdagen]]*Ruimtestaat[[#This Row],[Oppervlak (netto)]]</f>
        <v>9400</v>
      </c>
      <c r="V123" s="253">
        <f>IF(T123&gt;0,Ruimtestaat[[#This Row],[Prest. (m2 /jaar) werkdagen]]/Ruimtestaat[[#This Row],[Norm (m2/uur) werkdagen]],0)</f>
        <v>0</v>
      </c>
      <c r="W123" s="254">
        <f>Ruimtestaat[[#This Row],[uren / jaar werkdagen]]*Tariefsopbouw!$D$38</f>
        <v>0</v>
      </c>
      <c r="X123" s="33"/>
      <c r="Y123" s="33">
        <f>IF(Ruimtestaat[[#This Row],[Frequentie weekend]]&gt;0,VALUE(LEFT(X123,1))*Q123,0)</f>
        <v>0</v>
      </c>
      <c r="Z123" s="33">
        <f>IF($Y123&gt;0,VLOOKUP($J123,Ruimtegroepen[],3,FALSE)*VLOOKUP($L123,Vloersoorten[],3,FALSE)*VLOOKUP($X123,Frequenties[],3,FALSE)*VLOOKUP(#REF!,Locaties[],3,FALSE),0)</f>
        <v>0</v>
      </c>
      <c r="AA123" s="33"/>
      <c r="AB123" s="33"/>
      <c r="AC123" s="33">
        <f>Ruimtestaat[[#This Row],[uren / jaar weekend]]*Tariefsopbouw!$D$40</f>
        <v>0</v>
      </c>
      <c r="AD123" s="88">
        <f>Ruimtestaat[[#This Row],[Prest. (m2 /jaar) weekend]]+Ruimtestaat[[#This Row],[Prest. (m2 /jaar) werkdagen]]</f>
        <v>9400</v>
      </c>
      <c r="AE123" s="88">
        <f>Ruimtestaat[[#This Row],[uren / jaar weekend]]+Ruimtestaat[[#This Row],[uren / jaar werkdagen]]</f>
        <v>0</v>
      </c>
      <c r="AF123" s="89">
        <f>Ruimtestaat[[#This Row],[kosten / jaar weekend]]+Ruimtestaat[[#This Row],[kosten / jaar werkdagen]]</f>
        <v>0</v>
      </c>
    </row>
    <row r="124" spans="1:32" ht="15" customHeight="1">
      <c r="A124" s="129">
        <v>2</v>
      </c>
      <c r="B124" s="21" t="str">
        <f>VLOOKUP(Ruimtestaat[[#This Row],[Code]],Locaties[#All],2,FALSE)</f>
        <v>Novalis College nieuwbouw</v>
      </c>
      <c r="C124" s="240" t="str">
        <f>VLOOKUP(Ruimtestaat[[#This Row],[Code]],Locaties[#All],4,FALSE)</f>
        <v>Sterrenlaan 16</v>
      </c>
      <c r="D124" s="240" t="str">
        <f>VLOOKUP(Ruimtestaat[[#This Row],[Code]],Locaties[#All],5,FALSE)</f>
        <v>5631 KA</v>
      </c>
      <c r="E124" s="240" t="str">
        <f>VLOOKUP(Ruimtestaat[[#This Row],[Code]],Locaties[#All],6,FALSE)</f>
        <v>Eindhoven</v>
      </c>
      <c r="F124" s="241" t="s">
        <v>611</v>
      </c>
      <c r="G124" s="200" t="s">
        <v>883</v>
      </c>
      <c r="H124" s="200" t="s">
        <v>886</v>
      </c>
      <c r="I124" s="241" t="s">
        <v>887</v>
      </c>
      <c r="J124" s="200">
        <v>16</v>
      </c>
      <c r="K124" s="256" t="str">
        <f>VLOOKUP(Ruimtestaat[[#This Row],[Ruimte code]],Ruimtegroepen[#All],2,FALSE)</f>
        <v>Lokaal</v>
      </c>
      <c r="L124" s="213" t="s">
        <v>110</v>
      </c>
      <c r="M124" s="268" t="s">
        <v>277</v>
      </c>
      <c r="N124" s="212">
        <v>32</v>
      </c>
      <c r="O124" s="212"/>
      <c r="P124" s="240" t="str">
        <f>VLOOKUP(Ruimtestaat[[#This Row],[Ruimte code]],Ruimtegroepen[#All],4,FALSE)</f>
        <v>L  (Lesruimte)</v>
      </c>
      <c r="Q124" s="213">
        <v>40</v>
      </c>
      <c r="R124" s="213" t="s">
        <v>2</v>
      </c>
      <c r="S124" s="213">
        <f>IF(Q124&gt;0,IF(RIGHT(Ruimtestaat[[#This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4" s="213">
        <f>IF(S124&gt;0,VLOOKUP($J124,Ruimtegroepen[],3,FALSE)*VLOOKUP($L124,Vloersoorten[],3,FALSE)*VLOOKUP($R124,Frequenties[],3,FALSE)*VLOOKUP($A124,Locaties[],3,FALSE),0)</f>
        <v>0</v>
      </c>
      <c r="U124" s="213">
        <f>Ruimtestaat[[#This Row],[Uitvoeringen werkdagen]]*Ruimtestaat[[#This Row],[Oppervlak (netto)]]</f>
        <v>6400</v>
      </c>
      <c r="V124" s="253">
        <f>IF(T124&gt;0,Ruimtestaat[[#This Row],[Prest. (m2 /jaar) werkdagen]]/Ruimtestaat[[#This Row],[Norm (m2/uur) werkdagen]],0)</f>
        <v>0</v>
      </c>
      <c r="W124" s="254">
        <f>Ruimtestaat[[#This Row],[uren / jaar werkdagen]]*Tariefsopbouw!$D$38</f>
        <v>0</v>
      </c>
      <c r="X124" s="33"/>
      <c r="Y124" s="33">
        <f>IF(Ruimtestaat[[#This Row],[Frequentie weekend]]&gt;0,VALUE(LEFT(X124,1))*Q124,0)</f>
        <v>0</v>
      </c>
      <c r="Z124" s="33">
        <f>IF($Y124&gt;0,VLOOKUP($J124,Ruimtegroepen[],3,FALSE)*VLOOKUP($L124,Vloersoorten[],3,FALSE)*VLOOKUP($X124,Frequenties[],3,FALSE)*VLOOKUP(#REF!,Locaties[],3,FALSE),0)</f>
        <v>0</v>
      </c>
      <c r="AA124" s="33"/>
      <c r="AB124" s="33"/>
      <c r="AC124" s="33">
        <f>Ruimtestaat[[#This Row],[uren / jaar weekend]]*Tariefsopbouw!$D$40</f>
        <v>0</v>
      </c>
      <c r="AD124" s="88">
        <f>Ruimtestaat[[#This Row],[Prest. (m2 /jaar) weekend]]+Ruimtestaat[[#This Row],[Prest. (m2 /jaar) werkdagen]]</f>
        <v>6400</v>
      </c>
      <c r="AE124" s="88">
        <f>Ruimtestaat[[#This Row],[uren / jaar weekend]]+Ruimtestaat[[#This Row],[uren / jaar werkdagen]]</f>
        <v>0</v>
      </c>
      <c r="AF124" s="89">
        <f>Ruimtestaat[[#This Row],[kosten / jaar weekend]]+Ruimtestaat[[#This Row],[kosten / jaar werkdagen]]</f>
        <v>0</v>
      </c>
    </row>
    <row r="125" spans="1:32" ht="15" customHeight="1">
      <c r="A125" s="129">
        <v>2</v>
      </c>
      <c r="B125" s="21" t="str">
        <f>VLOOKUP(Ruimtestaat[[#This Row],[Code]],Locaties[#All],2,FALSE)</f>
        <v>Novalis College nieuwbouw</v>
      </c>
      <c r="C125" s="240" t="str">
        <f>VLOOKUP(Ruimtestaat[[#This Row],[Code]],Locaties[#All],4,FALSE)</f>
        <v>Sterrenlaan 16</v>
      </c>
      <c r="D125" s="240" t="str">
        <f>VLOOKUP(Ruimtestaat[[#This Row],[Code]],Locaties[#All],5,FALSE)</f>
        <v>5631 KA</v>
      </c>
      <c r="E125" s="240" t="str">
        <f>VLOOKUP(Ruimtestaat[[#This Row],[Code]],Locaties[#All],6,FALSE)</f>
        <v>Eindhoven</v>
      </c>
      <c r="F125" s="241" t="s">
        <v>611</v>
      </c>
      <c r="G125" s="200" t="s">
        <v>883</v>
      </c>
      <c r="H125" s="200" t="s">
        <v>888</v>
      </c>
      <c r="I125" s="241" t="s">
        <v>889</v>
      </c>
      <c r="J125" s="200">
        <v>16</v>
      </c>
      <c r="K125" s="256" t="str">
        <f>VLOOKUP(Ruimtestaat[[#This Row],[Ruimte code]],Ruimtegroepen[#All],2,FALSE)</f>
        <v>Lokaal</v>
      </c>
      <c r="L125" s="213" t="s">
        <v>110</v>
      </c>
      <c r="M125" s="268" t="s">
        <v>277</v>
      </c>
      <c r="N125" s="212">
        <v>32</v>
      </c>
      <c r="O125" s="212"/>
      <c r="P125" s="240" t="str">
        <f>VLOOKUP(Ruimtestaat[[#This Row],[Ruimte code]],Ruimtegroepen[#All],4,FALSE)</f>
        <v>L  (Lesruimte)</v>
      </c>
      <c r="Q125" s="213">
        <v>40</v>
      </c>
      <c r="R125" s="213" t="s">
        <v>2</v>
      </c>
      <c r="S125" s="213">
        <f>IF(Q125&gt;0,IF(RIGHT(Ruimtestaat[[#This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5" s="213">
        <f>IF(S125&gt;0,VLOOKUP($J125,Ruimtegroepen[],3,FALSE)*VLOOKUP($L125,Vloersoorten[],3,FALSE)*VLOOKUP($R125,Frequenties[],3,FALSE)*VLOOKUP($A125,Locaties[],3,FALSE),0)</f>
        <v>0</v>
      </c>
      <c r="U125" s="213">
        <f>Ruimtestaat[[#This Row],[Uitvoeringen werkdagen]]*Ruimtestaat[[#This Row],[Oppervlak (netto)]]</f>
        <v>6400</v>
      </c>
      <c r="V125" s="253">
        <f>IF(T125&gt;0,Ruimtestaat[[#This Row],[Prest. (m2 /jaar) werkdagen]]/Ruimtestaat[[#This Row],[Norm (m2/uur) werkdagen]],0)</f>
        <v>0</v>
      </c>
      <c r="W125" s="254">
        <f>Ruimtestaat[[#This Row],[uren / jaar werkdagen]]*Tariefsopbouw!$D$38</f>
        <v>0</v>
      </c>
      <c r="X125" s="33"/>
      <c r="Y125" s="33">
        <f>IF(Ruimtestaat[[#This Row],[Frequentie weekend]]&gt;0,VALUE(LEFT(X125,1))*Q125,0)</f>
        <v>0</v>
      </c>
      <c r="Z125" s="33">
        <f>IF($Y125&gt;0,VLOOKUP($J125,Ruimtegroepen[],3,FALSE)*VLOOKUP($L125,Vloersoorten[],3,FALSE)*VLOOKUP($X125,Frequenties[],3,FALSE)*VLOOKUP(#REF!,Locaties[],3,FALSE),0)</f>
        <v>0</v>
      </c>
      <c r="AA125" s="33"/>
      <c r="AB125" s="33"/>
      <c r="AC125" s="33">
        <f>Ruimtestaat[[#This Row],[uren / jaar weekend]]*Tariefsopbouw!$D$40</f>
        <v>0</v>
      </c>
      <c r="AD125" s="88">
        <f>Ruimtestaat[[#This Row],[Prest. (m2 /jaar) weekend]]+Ruimtestaat[[#This Row],[Prest. (m2 /jaar) werkdagen]]</f>
        <v>6400</v>
      </c>
      <c r="AE125" s="88">
        <f>Ruimtestaat[[#This Row],[uren / jaar weekend]]+Ruimtestaat[[#This Row],[uren / jaar werkdagen]]</f>
        <v>0</v>
      </c>
      <c r="AF125" s="89">
        <f>Ruimtestaat[[#This Row],[kosten / jaar weekend]]+Ruimtestaat[[#This Row],[kosten / jaar werkdagen]]</f>
        <v>0</v>
      </c>
    </row>
    <row r="126" spans="1:32" ht="15" customHeight="1">
      <c r="A126" s="129">
        <v>2</v>
      </c>
      <c r="B126" s="21" t="str">
        <f>VLOOKUP(Ruimtestaat[[#This Row],[Code]],Locaties[#All],2,FALSE)</f>
        <v>Novalis College nieuwbouw</v>
      </c>
      <c r="C126" s="240" t="str">
        <f>VLOOKUP(Ruimtestaat[[#This Row],[Code]],Locaties[#All],4,FALSE)</f>
        <v>Sterrenlaan 16</v>
      </c>
      <c r="D126" s="240" t="str">
        <f>VLOOKUP(Ruimtestaat[[#This Row],[Code]],Locaties[#All],5,FALSE)</f>
        <v>5631 KA</v>
      </c>
      <c r="E126" s="240" t="str">
        <f>VLOOKUP(Ruimtestaat[[#This Row],[Code]],Locaties[#All],6,FALSE)</f>
        <v>Eindhoven</v>
      </c>
      <c r="F126" s="241" t="s">
        <v>611</v>
      </c>
      <c r="G126" s="200" t="s">
        <v>883</v>
      </c>
      <c r="H126" s="200" t="s">
        <v>890</v>
      </c>
      <c r="I126" s="241" t="s">
        <v>891</v>
      </c>
      <c r="J126" s="200">
        <v>16</v>
      </c>
      <c r="K126" s="256" t="str">
        <f>VLOOKUP(Ruimtestaat[[#This Row],[Ruimte code]],Ruimtegroepen[#All],2,FALSE)</f>
        <v>Lokaal</v>
      </c>
      <c r="L126" s="213" t="s">
        <v>110</v>
      </c>
      <c r="M126" s="268" t="s">
        <v>277</v>
      </c>
      <c r="N126" s="212">
        <v>52</v>
      </c>
      <c r="O126" s="212"/>
      <c r="P126" s="240" t="str">
        <f>VLOOKUP(Ruimtestaat[[#This Row],[Ruimte code]],Ruimtegroepen[#All],4,FALSE)</f>
        <v>L  (Lesruimte)</v>
      </c>
      <c r="Q126" s="213">
        <v>40</v>
      </c>
      <c r="R126" s="213" t="s">
        <v>2</v>
      </c>
      <c r="S126" s="213">
        <f>IF(Q126&gt;0,IF(RIGHT(Ruimtestaat[[#This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6" s="213">
        <f>IF(S126&gt;0,VLOOKUP($J126,Ruimtegroepen[],3,FALSE)*VLOOKUP($L126,Vloersoorten[],3,FALSE)*VLOOKUP($R126,Frequenties[],3,FALSE)*VLOOKUP($A126,Locaties[],3,FALSE),0)</f>
        <v>0</v>
      </c>
      <c r="U126" s="213">
        <f>Ruimtestaat[[#This Row],[Uitvoeringen werkdagen]]*Ruimtestaat[[#This Row],[Oppervlak (netto)]]</f>
        <v>10400</v>
      </c>
      <c r="V126" s="253">
        <f>IF(T126&gt;0,Ruimtestaat[[#This Row],[Prest. (m2 /jaar) werkdagen]]/Ruimtestaat[[#This Row],[Norm (m2/uur) werkdagen]],0)</f>
        <v>0</v>
      </c>
      <c r="W126" s="254">
        <f>Ruimtestaat[[#This Row],[uren / jaar werkdagen]]*Tariefsopbouw!$D$38</f>
        <v>0</v>
      </c>
      <c r="X126" s="33"/>
      <c r="Y126" s="33">
        <f>IF(Ruimtestaat[[#This Row],[Frequentie weekend]]&gt;0,VALUE(LEFT(X126,1))*Q126,0)</f>
        <v>0</v>
      </c>
      <c r="Z126" s="33">
        <f>IF($Y126&gt;0,VLOOKUP($J126,Ruimtegroepen[],3,FALSE)*VLOOKUP($L126,Vloersoorten[],3,FALSE)*VLOOKUP($X126,Frequenties[],3,FALSE)*VLOOKUP(#REF!,Locaties[],3,FALSE),0)</f>
        <v>0</v>
      </c>
      <c r="AA126" s="33"/>
      <c r="AB126" s="33"/>
      <c r="AC126" s="33">
        <f>Ruimtestaat[[#This Row],[uren / jaar weekend]]*Tariefsopbouw!$D$40</f>
        <v>0</v>
      </c>
      <c r="AD126" s="88">
        <f>Ruimtestaat[[#This Row],[Prest. (m2 /jaar) weekend]]+Ruimtestaat[[#This Row],[Prest. (m2 /jaar) werkdagen]]</f>
        <v>10400</v>
      </c>
      <c r="AE126" s="88">
        <f>Ruimtestaat[[#This Row],[uren / jaar weekend]]+Ruimtestaat[[#This Row],[uren / jaar werkdagen]]</f>
        <v>0</v>
      </c>
      <c r="AF126" s="89">
        <f>Ruimtestaat[[#This Row],[kosten / jaar weekend]]+Ruimtestaat[[#This Row],[kosten / jaar werkdagen]]</f>
        <v>0</v>
      </c>
    </row>
    <row r="127" spans="1:32" ht="15" customHeight="1">
      <c r="A127" s="129">
        <v>2</v>
      </c>
      <c r="B127" s="21" t="str">
        <f>VLOOKUP(Ruimtestaat[[#This Row],[Code]],Locaties[#All],2,FALSE)</f>
        <v>Novalis College nieuwbouw</v>
      </c>
      <c r="C127" s="240" t="str">
        <f>VLOOKUP(Ruimtestaat[[#This Row],[Code]],Locaties[#All],4,FALSE)</f>
        <v>Sterrenlaan 16</v>
      </c>
      <c r="D127" s="240" t="str">
        <f>VLOOKUP(Ruimtestaat[[#This Row],[Code]],Locaties[#All],5,FALSE)</f>
        <v>5631 KA</v>
      </c>
      <c r="E127" s="240" t="str">
        <f>VLOOKUP(Ruimtestaat[[#This Row],[Code]],Locaties[#All],6,FALSE)</f>
        <v>Eindhoven</v>
      </c>
      <c r="F127" s="241" t="s">
        <v>611</v>
      </c>
      <c r="G127" s="200" t="s">
        <v>883</v>
      </c>
      <c r="H127" s="200" t="s">
        <v>892</v>
      </c>
      <c r="I127" s="241" t="s">
        <v>893</v>
      </c>
      <c r="J127" s="200">
        <v>16</v>
      </c>
      <c r="K127" s="256" t="str">
        <f>VLOOKUP(Ruimtestaat[[#This Row],[Ruimte code]],Ruimtegroepen[#All],2,FALSE)</f>
        <v>Lokaal</v>
      </c>
      <c r="L127" s="213" t="s">
        <v>110</v>
      </c>
      <c r="M127" s="268" t="s">
        <v>277</v>
      </c>
      <c r="N127" s="212">
        <v>57</v>
      </c>
      <c r="O127" s="212"/>
      <c r="P127" s="240" t="str">
        <f>VLOOKUP(Ruimtestaat[[#This Row],[Ruimte code]],Ruimtegroepen[#All],4,FALSE)</f>
        <v>L  (Lesruimte)</v>
      </c>
      <c r="Q127" s="213">
        <v>40</v>
      </c>
      <c r="R127" s="213" t="s">
        <v>2</v>
      </c>
      <c r="S127" s="213">
        <f>IF(Q127&gt;0,IF(RIGHT(Ruimtestaat[[#This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7" s="213">
        <f>IF(S127&gt;0,VLOOKUP($J127,Ruimtegroepen[],3,FALSE)*VLOOKUP($L127,Vloersoorten[],3,FALSE)*VLOOKUP($R127,Frequenties[],3,FALSE)*VLOOKUP($A127,Locaties[],3,FALSE),0)</f>
        <v>0</v>
      </c>
      <c r="U127" s="213">
        <f>Ruimtestaat[[#This Row],[Uitvoeringen werkdagen]]*Ruimtestaat[[#This Row],[Oppervlak (netto)]]</f>
        <v>11400</v>
      </c>
      <c r="V127" s="253">
        <f>IF(T127&gt;0,Ruimtestaat[[#This Row],[Prest. (m2 /jaar) werkdagen]]/Ruimtestaat[[#This Row],[Norm (m2/uur) werkdagen]],0)</f>
        <v>0</v>
      </c>
      <c r="W127" s="254">
        <f>Ruimtestaat[[#This Row],[uren / jaar werkdagen]]*Tariefsopbouw!$D$38</f>
        <v>0</v>
      </c>
      <c r="X127" s="33"/>
      <c r="Y127" s="33">
        <f>IF(Ruimtestaat[[#This Row],[Frequentie weekend]]&gt;0,VALUE(LEFT(X127,1))*Q127,0)</f>
        <v>0</v>
      </c>
      <c r="Z127" s="33">
        <f>IF($Y127&gt;0,VLOOKUP($J127,Ruimtegroepen[],3,FALSE)*VLOOKUP($L127,Vloersoorten[],3,FALSE)*VLOOKUP($X127,Frequenties[],3,FALSE)*VLOOKUP(#REF!,Locaties[],3,FALSE),0)</f>
        <v>0</v>
      </c>
      <c r="AA127" s="33"/>
      <c r="AB127" s="33"/>
      <c r="AC127" s="33">
        <f>Ruimtestaat[[#This Row],[uren / jaar weekend]]*Tariefsopbouw!$D$40</f>
        <v>0</v>
      </c>
      <c r="AD127" s="88">
        <f>Ruimtestaat[[#This Row],[Prest. (m2 /jaar) weekend]]+Ruimtestaat[[#This Row],[Prest. (m2 /jaar) werkdagen]]</f>
        <v>11400</v>
      </c>
      <c r="AE127" s="88">
        <f>Ruimtestaat[[#This Row],[uren / jaar weekend]]+Ruimtestaat[[#This Row],[uren / jaar werkdagen]]</f>
        <v>0</v>
      </c>
      <c r="AF127" s="89">
        <f>Ruimtestaat[[#This Row],[kosten / jaar weekend]]+Ruimtestaat[[#This Row],[kosten / jaar werkdagen]]</f>
        <v>0</v>
      </c>
    </row>
    <row r="128" spans="1:32" ht="15" customHeight="1">
      <c r="A128" s="129">
        <v>2</v>
      </c>
      <c r="B128" s="21" t="str">
        <f>VLOOKUP(Ruimtestaat[[#This Row],[Code]],Locaties[#All],2,FALSE)</f>
        <v>Novalis College nieuwbouw</v>
      </c>
      <c r="C128" s="240" t="str">
        <f>VLOOKUP(Ruimtestaat[[#This Row],[Code]],Locaties[#All],4,FALSE)</f>
        <v>Sterrenlaan 16</v>
      </c>
      <c r="D128" s="240" t="str">
        <f>VLOOKUP(Ruimtestaat[[#This Row],[Code]],Locaties[#All],5,FALSE)</f>
        <v>5631 KA</v>
      </c>
      <c r="E128" s="240" t="str">
        <f>VLOOKUP(Ruimtestaat[[#This Row],[Code]],Locaties[#All],6,FALSE)</f>
        <v>Eindhoven</v>
      </c>
      <c r="F128" s="241" t="s">
        <v>611</v>
      </c>
      <c r="G128" s="200" t="s">
        <v>883</v>
      </c>
      <c r="H128" s="200" t="s">
        <v>894</v>
      </c>
      <c r="I128" s="241" t="s">
        <v>816</v>
      </c>
      <c r="J128" s="200">
        <v>10</v>
      </c>
      <c r="K128" s="256" t="str">
        <f>VLOOKUP(Ruimtestaat[[#This Row],[Ruimte code]],Ruimtegroepen[#All],2,FALSE)</f>
        <v>Trappenhuizen/lift</v>
      </c>
      <c r="L128" s="213" t="s">
        <v>111</v>
      </c>
      <c r="M128" s="268" t="s">
        <v>936</v>
      </c>
      <c r="N128" s="212">
        <v>9</v>
      </c>
      <c r="O128" s="212"/>
      <c r="P128" s="240" t="str">
        <f>VLOOKUP(Ruimtestaat[[#This Row],[Ruimte code]],Ruimtegroepen[#All],4,FALSE)</f>
        <v>V  (Verkeersruimte)</v>
      </c>
      <c r="Q128" s="213">
        <v>40</v>
      </c>
      <c r="R128" s="213" t="s">
        <v>2</v>
      </c>
      <c r="S128" s="213">
        <f>IF(Q128&gt;0,IF(RIGHT(Ruimtestaat[[#This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28" s="213">
        <f>IF(S128&gt;0,VLOOKUP($J128,Ruimtegroepen[],3,FALSE)*VLOOKUP($L128,Vloersoorten[],3,FALSE)*VLOOKUP($R128,Frequenties[],3,FALSE)*VLOOKUP($A128,Locaties[],3,FALSE),0)</f>
        <v>0</v>
      </c>
      <c r="U128" s="213">
        <f>Ruimtestaat[[#This Row],[Uitvoeringen werkdagen]]*Ruimtestaat[[#This Row],[Oppervlak (netto)]]</f>
        <v>1800</v>
      </c>
      <c r="V128" s="253">
        <f>IF(T128&gt;0,Ruimtestaat[[#This Row],[Prest. (m2 /jaar) werkdagen]]/Ruimtestaat[[#This Row],[Norm (m2/uur) werkdagen]],0)</f>
        <v>0</v>
      </c>
      <c r="W128" s="254">
        <f>Ruimtestaat[[#This Row],[uren / jaar werkdagen]]*Tariefsopbouw!$D$38</f>
        <v>0</v>
      </c>
      <c r="X128" s="33"/>
      <c r="Y128" s="33">
        <f>IF(Ruimtestaat[[#This Row],[Frequentie weekend]]&gt;0,VALUE(LEFT(X128,1))*Q128,0)</f>
        <v>0</v>
      </c>
      <c r="Z128" s="33">
        <f>IF($Y128&gt;0,VLOOKUP($J128,Ruimtegroepen[],3,FALSE)*VLOOKUP($L128,Vloersoorten[],3,FALSE)*VLOOKUP($X128,Frequenties[],3,FALSE)*VLOOKUP(#REF!,Locaties[],3,FALSE),0)</f>
        <v>0</v>
      </c>
      <c r="AA128" s="33"/>
      <c r="AB128" s="33"/>
      <c r="AC128" s="33">
        <f>Ruimtestaat[[#This Row],[uren / jaar weekend]]*Tariefsopbouw!$D$40</f>
        <v>0</v>
      </c>
      <c r="AD128" s="88">
        <f>Ruimtestaat[[#This Row],[Prest. (m2 /jaar) weekend]]+Ruimtestaat[[#This Row],[Prest. (m2 /jaar) werkdagen]]</f>
        <v>1800</v>
      </c>
      <c r="AE128" s="88">
        <f>Ruimtestaat[[#This Row],[uren / jaar weekend]]+Ruimtestaat[[#This Row],[uren / jaar werkdagen]]</f>
        <v>0</v>
      </c>
      <c r="AF128" s="89">
        <f>Ruimtestaat[[#This Row],[kosten / jaar weekend]]+Ruimtestaat[[#This Row],[kosten / jaar werkdagen]]</f>
        <v>0</v>
      </c>
    </row>
    <row r="129" spans="1:32" ht="15" customHeight="1">
      <c r="A129" s="129">
        <v>2</v>
      </c>
      <c r="B129" s="21" t="str">
        <f>VLOOKUP(Ruimtestaat[[#This Row],[Code]],Locaties[#All],2,FALSE)</f>
        <v>Novalis College nieuwbouw</v>
      </c>
      <c r="C129" s="240" t="str">
        <f>VLOOKUP(Ruimtestaat[[#This Row],[Code]],Locaties[#All],4,FALSE)</f>
        <v>Sterrenlaan 16</v>
      </c>
      <c r="D129" s="240" t="str">
        <f>VLOOKUP(Ruimtestaat[[#This Row],[Code]],Locaties[#All],5,FALSE)</f>
        <v>5631 KA</v>
      </c>
      <c r="E129" s="240" t="str">
        <f>VLOOKUP(Ruimtestaat[[#This Row],[Code]],Locaties[#All],6,FALSE)</f>
        <v>Eindhoven</v>
      </c>
      <c r="F129" s="241" t="s">
        <v>611</v>
      </c>
      <c r="G129" s="200" t="s">
        <v>883</v>
      </c>
      <c r="H129" s="200" t="s">
        <v>895</v>
      </c>
      <c r="I129" s="241" t="s">
        <v>487</v>
      </c>
      <c r="J129" s="200">
        <v>4</v>
      </c>
      <c r="K129" s="256" t="str">
        <f>VLOOKUP(Ruimtestaat[[#This Row],[Ruimte code]],Ruimtegroepen[#All],2,FALSE)</f>
        <v>Vergader/spreekkamers</v>
      </c>
      <c r="L129" s="213" t="s">
        <v>110</v>
      </c>
      <c r="M129" s="268" t="s">
        <v>277</v>
      </c>
      <c r="N129" s="212">
        <v>9</v>
      </c>
      <c r="O129" s="212"/>
      <c r="P129" s="240" t="str">
        <f>VLOOKUP(Ruimtestaat[[#This Row],[Ruimte code]],Ruimtegroepen[#All],4,FALSE)</f>
        <v>B  (Bureauruimte)</v>
      </c>
      <c r="Q129" s="213">
        <v>40</v>
      </c>
      <c r="R129" s="213" t="s">
        <v>18</v>
      </c>
      <c r="S129" s="213">
        <f>IF(Q129&gt;0,IF(RIGHT(Ruimtestaat[[#This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129" s="213">
        <f>IF(S129&gt;0,VLOOKUP($J129,Ruimtegroepen[],3,FALSE)*VLOOKUP($L129,Vloersoorten[],3,FALSE)*VLOOKUP($R129,Frequenties[],3,FALSE)*VLOOKUP($A129,Locaties[],3,FALSE),0)</f>
        <v>0</v>
      </c>
      <c r="U129" s="213">
        <f>Ruimtestaat[[#This Row],[Uitvoeringen werkdagen]]*Ruimtestaat[[#This Row],[Oppervlak (netto)]]</f>
        <v>1080</v>
      </c>
      <c r="V129" s="253">
        <f>IF(T129&gt;0,Ruimtestaat[[#This Row],[Prest. (m2 /jaar) werkdagen]]/Ruimtestaat[[#This Row],[Norm (m2/uur) werkdagen]],0)</f>
        <v>0</v>
      </c>
      <c r="W129" s="254">
        <f>Ruimtestaat[[#This Row],[uren / jaar werkdagen]]*Tariefsopbouw!$D$38</f>
        <v>0</v>
      </c>
      <c r="X129" s="33"/>
      <c r="Y129" s="33">
        <f>IF(Ruimtestaat[[#This Row],[Frequentie weekend]]&gt;0,VALUE(LEFT(X129,1))*Q129,0)</f>
        <v>0</v>
      </c>
      <c r="Z129" s="33">
        <f>IF($Y129&gt;0,VLOOKUP($J129,Ruimtegroepen[],3,FALSE)*VLOOKUP($L129,Vloersoorten[],3,FALSE)*VLOOKUP($X129,Frequenties[],3,FALSE)*VLOOKUP(#REF!,Locaties[],3,FALSE),0)</f>
        <v>0</v>
      </c>
      <c r="AA129" s="33"/>
      <c r="AB129" s="33"/>
      <c r="AC129" s="33">
        <f>Ruimtestaat[[#This Row],[uren / jaar weekend]]*Tariefsopbouw!$D$40</f>
        <v>0</v>
      </c>
      <c r="AD129" s="88">
        <f>Ruimtestaat[[#This Row],[Prest. (m2 /jaar) weekend]]+Ruimtestaat[[#This Row],[Prest. (m2 /jaar) werkdagen]]</f>
        <v>1080</v>
      </c>
      <c r="AE129" s="88">
        <f>Ruimtestaat[[#This Row],[uren / jaar weekend]]+Ruimtestaat[[#This Row],[uren / jaar werkdagen]]</f>
        <v>0</v>
      </c>
      <c r="AF129" s="89">
        <f>Ruimtestaat[[#This Row],[kosten / jaar weekend]]+Ruimtestaat[[#This Row],[kosten / jaar werkdagen]]</f>
        <v>0</v>
      </c>
    </row>
    <row r="130" spans="1:32" ht="15" customHeight="1">
      <c r="A130" s="129">
        <v>2</v>
      </c>
      <c r="B130" s="21" t="str">
        <f>VLOOKUP(Ruimtestaat[[#This Row],[Code]],Locaties[#All],2,FALSE)</f>
        <v>Novalis College nieuwbouw</v>
      </c>
      <c r="C130" s="240" t="str">
        <f>VLOOKUP(Ruimtestaat[[#This Row],[Code]],Locaties[#All],4,FALSE)</f>
        <v>Sterrenlaan 16</v>
      </c>
      <c r="D130" s="240" t="str">
        <f>VLOOKUP(Ruimtestaat[[#This Row],[Code]],Locaties[#All],5,FALSE)</f>
        <v>5631 KA</v>
      </c>
      <c r="E130" s="240" t="str">
        <f>VLOOKUP(Ruimtestaat[[#This Row],[Code]],Locaties[#All],6,FALSE)</f>
        <v>Eindhoven</v>
      </c>
      <c r="F130" s="241" t="s">
        <v>611</v>
      </c>
      <c r="G130" s="200" t="s">
        <v>883</v>
      </c>
      <c r="H130" s="200" t="s">
        <v>896</v>
      </c>
      <c r="I130" s="241" t="s">
        <v>509</v>
      </c>
      <c r="J130" s="200">
        <v>5</v>
      </c>
      <c r="K130" s="256" t="str">
        <f>VLOOKUP(Ruimtestaat[[#This Row],[Ruimte code]],Ruimtegroepen[#All],2,FALSE)</f>
        <v>Sanitair</v>
      </c>
      <c r="L130" s="240" t="s">
        <v>111</v>
      </c>
      <c r="M130" s="268" t="s">
        <v>551</v>
      </c>
      <c r="N130" s="212">
        <v>7</v>
      </c>
      <c r="O130" s="212"/>
      <c r="P130" s="240" t="str">
        <f>VLOOKUP(Ruimtestaat[[#This Row],[Ruimte code]],Ruimtegroepen[#All],4,FALSE)</f>
        <v>S  (Sanitair)</v>
      </c>
      <c r="Q130" s="213">
        <v>42</v>
      </c>
      <c r="R130" s="213" t="s">
        <v>2</v>
      </c>
      <c r="S130" s="213">
        <f>IF(Q130&gt;0,IF(RIGHT(Ruimtestaat[[#This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130" s="213">
        <f>IF(S130&gt;0,VLOOKUP($J130,Ruimtegroepen[],3,FALSE)*VLOOKUP($L130,Vloersoorten[],3,FALSE)*VLOOKUP($R130,Frequenties[],3,FALSE)*VLOOKUP($A130,Locaties[],3,FALSE),0)</f>
        <v>0</v>
      </c>
      <c r="U130" s="213">
        <f>Ruimtestaat[[#This Row],[Uitvoeringen werkdagen]]*Ruimtestaat[[#This Row],[Oppervlak (netto)]]</f>
        <v>1470</v>
      </c>
      <c r="V130" s="253">
        <f>IF(T130&gt;0,Ruimtestaat[[#This Row],[Prest. (m2 /jaar) werkdagen]]/Ruimtestaat[[#This Row],[Norm (m2/uur) werkdagen]],0)</f>
        <v>0</v>
      </c>
      <c r="W130" s="254">
        <f>Ruimtestaat[[#This Row],[uren / jaar werkdagen]]*Tariefsopbouw!$D$38</f>
        <v>0</v>
      </c>
      <c r="X130" s="33"/>
      <c r="Y130" s="33">
        <f>IF(Ruimtestaat[[#This Row],[Frequentie weekend]]&gt;0,VALUE(LEFT(X130,1))*Q130,0)</f>
        <v>0</v>
      </c>
      <c r="Z130" s="33">
        <f>IF($Y130&gt;0,VLOOKUP($J130,Ruimtegroepen[],3,FALSE)*VLOOKUP($L130,Vloersoorten[],3,FALSE)*VLOOKUP($X130,Frequenties[],3,FALSE)*VLOOKUP(#REF!,Locaties[],3,FALSE),0)</f>
        <v>0</v>
      </c>
      <c r="AA130" s="33"/>
      <c r="AB130" s="33"/>
      <c r="AC130" s="33">
        <f>Ruimtestaat[[#This Row],[uren / jaar weekend]]*Tariefsopbouw!$D$40</f>
        <v>0</v>
      </c>
      <c r="AD130" s="88">
        <f>Ruimtestaat[[#This Row],[Prest. (m2 /jaar) weekend]]+Ruimtestaat[[#This Row],[Prest. (m2 /jaar) werkdagen]]</f>
        <v>1470</v>
      </c>
      <c r="AE130" s="88">
        <f>Ruimtestaat[[#This Row],[uren / jaar weekend]]+Ruimtestaat[[#This Row],[uren / jaar werkdagen]]</f>
        <v>0</v>
      </c>
      <c r="AF130" s="89">
        <f>Ruimtestaat[[#This Row],[kosten / jaar weekend]]+Ruimtestaat[[#This Row],[kosten / jaar werkdagen]]</f>
        <v>0</v>
      </c>
    </row>
    <row r="131" spans="1:32" ht="15" customHeight="1">
      <c r="A131" s="129">
        <v>2</v>
      </c>
      <c r="B131" s="21" t="str">
        <f>VLOOKUP(Ruimtestaat[[#This Row],[Code]],Locaties[#All],2,FALSE)</f>
        <v>Novalis College nieuwbouw</v>
      </c>
      <c r="C131" s="240" t="str">
        <f>VLOOKUP(Ruimtestaat[[#This Row],[Code]],Locaties[#All],4,FALSE)</f>
        <v>Sterrenlaan 16</v>
      </c>
      <c r="D131" s="240" t="str">
        <f>VLOOKUP(Ruimtestaat[[#This Row],[Code]],Locaties[#All],5,FALSE)</f>
        <v>5631 KA</v>
      </c>
      <c r="E131" s="240" t="str">
        <f>VLOOKUP(Ruimtestaat[[#This Row],[Code]],Locaties[#All],6,FALSE)</f>
        <v>Eindhoven</v>
      </c>
      <c r="F131" s="241" t="s">
        <v>611</v>
      </c>
      <c r="G131" s="200" t="s">
        <v>883</v>
      </c>
      <c r="H131" s="200" t="s">
        <v>897</v>
      </c>
      <c r="I131" s="241" t="s">
        <v>898</v>
      </c>
      <c r="J131" s="200">
        <v>5</v>
      </c>
      <c r="K131" s="256" t="str">
        <f>VLOOKUP(Ruimtestaat[[#This Row],[Ruimte code]],Ruimtegroepen[#All],2,FALSE)</f>
        <v>Sanitair</v>
      </c>
      <c r="L131" s="240" t="s">
        <v>111</v>
      </c>
      <c r="M131" s="268" t="s">
        <v>610</v>
      </c>
      <c r="N131" s="212">
        <v>6</v>
      </c>
      <c r="O131" s="212"/>
      <c r="P131" s="240" t="str">
        <f>VLOOKUP(Ruimtestaat[[#This Row],[Ruimte code]],Ruimtegroepen[#All],4,FALSE)</f>
        <v>S  (Sanitair)</v>
      </c>
      <c r="Q131" s="213">
        <v>42</v>
      </c>
      <c r="R131" s="213" t="s">
        <v>2</v>
      </c>
      <c r="S131" s="213">
        <f>IF(Q131&gt;0,IF(RIGHT(Ruimtestaat[[#This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T131" s="213">
        <f>IF(S131&gt;0,VLOOKUP($J131,Ruimtegroepen[],3,FALSE)*VLOOKUP($L131,Vloersoorten[],3,FALSE)*VLOOKUP($R131,Frequenties[],3,FALSE)*VLOOKUP($A131,Locaties[],3,FALSE),0)</f>
        <v>0</v>
      </c>
      <c r="U131" s="213">
        <f>Ruimtestaat[[#This Row],[Uitvoeringen werkdagen]]*Ruimtestaat[[#This Row],[Oppervlak (netto)]]</f>
        <v>1260</v>
      </c>
      <c r="V131" s="253">
        <f>IF(T131&gt;0,Ruimtestaat[[#This Row],[Prest. (m2 /jaar) werkdagen]]/Ruimtestaat[[#This Row],[Norm (m2/uur) werkdagen]],0)</f>
        <v>0</v>
      </c>
      <c r="W131" s="254">
        <f>Ruimtestaat[[#This Row],[uren / jaar werkdagen]]*Tariefsopbouw!$D$38</f>
        <v>0</v>
      </c>
      <c r="X131" s="33"/>
      <c r="Y131" s="33">
        <f>IF(Ruimtestaat[[#This Row],[Frequentie weekend]]&gt;0,VALUE(LEFT(X131,1))*Q131,0)</f>
        <v>0</v>
      </c>
      <c r="Z131" s="33">
        <f>IF($Y131&gt;0,VLOOKUP($J131,Ruimtegroepen[],3,FALSE)*VLOOKUP($L131,Vloersoorten[],3,FALSE)*VLOOKUP($X131,Frequenties[],3,FALSE)*VLOOKUP(#REF!,Locaties[],3,FALSE),0)</f>
        <v>0</v>
      </c>
      <c r="AA131" s="33"/>
      <c r="AB131" s="33"/>
      <c r="AC131" s="33">
        <f>Ruimtestaat[[#This Row],[uren / jaar weekend]]*Tariefsopbouw!$D$40</f>
        <v>0</v>
      </c>
      <c r="AD131" s="88">
        <f>Ruimtestaat[[#This Row],[Prest. (m2 /jaar) weekend]]+Ruimtestaat[[#This Row],[Prest. (m2 /jaar) werkdagen]]</f>
        <v>1260</v>
      </c>
      <c r="AE131" s="88">
        <f>Ruimtestaat[[#This Row],[uren / jaar weekend]]+Ruimtestaat[[#This Row],[uren / jaar werkdagen]]</f>
        <v>0</v>
      </c>
      <c r="AF131" s="89">
        <f>Ruimtestaat[[#This Row],[kosten / jaar weekend]]+Ruimtestaat[[#This Row],[kosten / jaar werkdagen]]</f>
        <v>0</v>
      </c>
    </row>
    <row r="132" spans="1:32" ht="15" customHeight="1">
      <c r="A132" s="129">
        <v>2</v>
      </c>
      <c r="B132" s="21" t="str">
        <f>VLOOKUP(Ruimtestaat[[#This Row],[Code]],Locaties[#All],2,FALSE)</f>
        <v>Novalis College nieuwbouw</v>
      </c>
      <c r="C132" s="240" t="str">
        <f>VLOOKUP(Ruimtestaat[[#This Row],[Code]],Locaties[#All],4,FALSE)</f>
        <v>Sterrenlaan 16</v>
      </c>
      <c r="D132" s="240" t="str">
        <f>VLOOKUP(Ruimtestaat[[#This Row],[Code]],Locaties[#All],5,FALSE)</f>
        <v>5631 KA</v>
      </c>
      <c r="E132" s="240" t="str">
        <f>VLOOKUP(Ruimtestaat[[#This Row],[Code]],Locaties[#All],6,FALSE)</f>
        <v>Eindhoven</v>
      </c>
      <c r="F132" s="241" t="s">
        <v>611</v>
      </c>
      <c r="G132" s="200" t="s">
        <v>883</v>
      </c>
      <c r="H132" s="200" t="s">
        <v>899</v>
      </c>
      <c r="I132" s="241" t="s">
        <v>900</v>
      </c>
      <c r="J132" s="200">
        <v>16</v>
      </c>
      <c r="K132" s="256" t="str">
        <f>VLOOKUP(Ruimtestaat[[#This Row],[Ruimte code]],Ruimtegroepen[#All],2,FALSE)</f>
        <v>Lokaal</v>
      </c>
      <c r="L132" s="213" t="s">
        <v>110</v>
      </c>
      <c r="M132" s="268" t="s">
        <v>277</v>
      </c>
      <c r="N132" s="212">
        <v>52</v>
      </c>
      <c r="O132" s="212"/>
      <c r="P132" s="240" t="str">
        <f>VLOOKUP(Ruimtestaat[[#This Row],[Ruimte code]],Ruimtegroepen[#All],4,FALSE)</f>
        <v>L  (Lesruimte)</v>
      </c>
      <c r="Q132" s="213">
        <v>40</v>
      </c>
      <c r="R132" s="213" t="s">
        <v>2</v>
      </c>
      <c r="S132" s="213">
        <f>IF(Q132&gt;0,IF(RIGHT(Ruimtestaat[[#This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32" s="213">
        <f>IF(S132&gt;0,VLOOKUP($J132,Ruimtegroepen[],3,FALSE)*VLOOKUP($L132,Vloersoorten[],3,FALSE)*VLOOKUP($R132,Frequenties[],3,FALSE)*VLOOKUP($A132,Locaties[],3,FALSE),0)</f>
        <v>0</v>
      </c>
      <c r="U132" s="213">
        <f>Ruimtestaat[[#This Row],[Uitvoeringen werkdagen]]*Ruimtestaat[[#This Row],[Oppervlak (netto)]]</f>
        <v>10400</v>
      </c>
      <c r="V132" s="253">
        <f>IF(T132&gt;0,Ruimtestaat[[#This Row],[Prest. (m2 /jaar) werkdagen]]/Ruimtestaat[[#This Row],[Norm (m2/uur) werkdagen]],0)</f>
        <v>0</v>
      </c>
      <c r="W132" s="254">
        <f>Ruimtestaat[[#This Row],[uren / jaar werkdagen]]*Tariefsopbouw!$D$38</f>
        <v>0</v>
      </c>
      <c r="X132" s="33"/>
      <c r="Y132" s="33">
        <f>IF(Ruimtestaat[[#This Row],[Frequentie weekend]]&gt;0,VALUE(LEFT(X132,1))*Q132,0)</f>
        <v>0</v>
      </c>
      <c r="Z132" s="33">
        <f>IF($Y132&gt;0,VLOOKUP($J132,Ruimtegroepen[],3,FALSE)*VLOOKUP($L132,Vloersoorten[],3,FALSE)*VLOOKUP($X132,Frequenties[],3,FALSE)*VLOOKUP(#REF!,Locaties[],3,FALSE),0)</f>
        <v>0</v>
      </c>
      <c r="AA132" s="33"/>
      <c r="AB132" s="33"/>
      <c r="AC132" s="33">
        <f>Ruimtestaat[[#This Row],[uren / jaar weekend]]*Tariefsopbouw!$D$40</f>
        <v>0</v>
      </c>
      <c r="AD132" s="88">
        <f>Ruimtestaat[[#This Row],[Prest. (m2 /jaar) weekend]]+Ruimtestaat[[#This Row],[Prest. (m2 /jaar) werkdagen]]</f>
        <v>10400</v>
      </c>
      <c r="AE132" s="88">
        <f>Ruimtestaat[[#This Row],[uren / jaar weekend]]+Ruimtestaat[[#This Row],[uren / jaar werkdagen]]</f>
        <v>0</v>
      </c>
      <c r="AF132" s="89">
        <f>Ruimtestaat[[#This Row],[kosten / jaar weekend]]+Ruimtestaat[[#This Row],[kosten / jaar werkdagen]]</f>
        <v>0</v>
      </c>
    </row>
    <row r="133" spans="1:32" ht="15" customHeight="1">
      <c r="A133" s="129">
        <v>2</v>
      </c>
      <c r="B133" s="21" t="str">
        <f>VLOOKUP(Ruimtestaat[[#This Row],[Code]],Locaties[#All],2,FALSE)</f>
        <v>Novalis College nieuwbouw</v>
      </c>
      <c r="C133" s="240" t="str">
        <f>VLOOKUP(Ruimtestaat[[#This Row],[Code]],Locaties[#All],4,FALSE)</f>
        <v>Sterrenlaan 16</v>
      </c>
      <c r="D133" s="240" t="str">
        <f>VLOOKUP(Ruimtestaat[[#This Row],[Code]],Locaties[#All],5,FALSE)</f>
        <v>5631 KA</v>
      </c>
      <c r="E133" s="240" t="str">
        <f>VLOOKUP(Ruimtestaat[[#This Row],[Code]],Locaties[#All],6,FALSE)</f>
        <v>Eindhoven</v>
      </c>
      <c r="F133" s="241" t="s">
        <v>611</v>
      </c>
      <c r="G133" s="200" t="s">
        <v>883</v>
      </c>
      <c r="H133" s="200" t="s">
        <v>901</v>
      </c>
      <c r="I133" s="241" t="s">
        <v>902</v>
      </c>
      <c r="J133" s="200">
        <v>16</v>
      </c>
      <c r="K133" s="256" t="str">
        <f>VLOOKUP(Ruimtestaat[[#This Row],[Ruimte code]],Ruimtegroepen[#All],2,FALSE)</f>
        <v>Lokaal</v>
      </c>
      <c r="L133" s="213" t="s">
        <v>110</v>
      </c>
      <c r="M133" s="268" t="s">
        <v>277</v>
      </c>
      <c r="N133" s="212">
        <v>53</v>
      </c>
      <c r="O133" s="212"/>
      <c r="P133" s="240" t="str">
        <f>VLOOKUP(Ruimtestaat[[#This Row],[Ruimte code]],Ruimtegroepen[#All],4,FALSE)</f>
        <v>L  (Lesruimte)</v>
      </c>
      <c r="Q133" s="213">
        <v>40</v>
      </c>
      <c r="R133" s="213" t="s">
        <v>2</v>
      </c>
      <c r="S133" s="213">
        <f>IF(Q133&gt;0,IF(RIGHT(Ruimtestaat[[#This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33" s="213">
        <f>IF(S133&gt;0,VLOOKUP($J133,Ruimtegroepen[],3,FALSE)*VLOOKUP($L133,Vloersoorten[],3,FALSE)*VLOOKUP($R133,Frequenties[],3,FALSE)*VLOOKUP($A133,Locaties[],3,FALSE),0)</f>
        <v>0</v>
      </c>
      <c r="U133" s="213">
        <f>Ruimtestaat[[#This Row],[Uitvoeringen werkdagen]]*Ruimtestaat[[#This Row],[Oppervlak (netto)]]</f>
        <v>10600</v>
      </c>
      <c r="V133" s="253">
        <f>IF(T133&gt;0,Ruimtestaat[[#This Row],[Prest. (m2 /jaar) werkdagen]]/Ruimtestaat[[#This Row],[Norm (m2/uur) werkdagen]],0)</f>
        <v>0</v>
      </c>
      <c r="W133" s="254">
        <f>Ruimtestaat[[#This Row],[uren / jaar werkdagen]]*Tariefsopbouw!$D$38</f>
        <v>0</v>
      </c>
      <c r="X133" s="33"/>
      <c r="Y133" s="33">
        <f>IF(Ruimtestaat[[#This Row],[Frequentie weekend]]&gt;0,VALUE(LEFT(X133,1))*Q133,0)</f>
        <v>0</v>
      </c>
      <c r="Z133" s="33">
        <f>IF($Y133&gt;0,VLOOKUP($J133,Ruimtegroepen[],3,FALSE)*VLOOKUP($L133,Vloersoorten[],3,FALSE)*VLOOKUP($X133,Frequenties[],3,FALSE)*VLOOKUP(#REF!,Locaties[],3,FALSE),0)</f>
        <v>0</v>
      </c>
      <c r="AA133" s="33"/>
      <c r="AB133" s="33"/>
      <c r="AC133" s="33">
        <f>Ruimtestaat[[#This Row],[uren / jaar weekend]]*Tariefsopbouw!$D$40</f>
        <v>0</v>
      </c>
      <c r="AD133" s="88">
        <f>Ruimtestaat[[#This Row],[Prest. (m2 /jaar) weekend]]+Ruimtestaat[[#This Row],[Prest. (m2 /jaar) werkdagen]]</f>
        <v>10600</v>
      </c>
      <c r="AE133" s="88">
        <f>Ruimtestaat[[#This Row],[uren / jaar weekend]]+Ruimtestaat[[#This Row],[uren / jaar werkdagen]]</f>
        <v>0</v>
      </c>
      <c r="AF133" s="89">
        <f>Ruimtestaat[[#This Row],[kosten / jaar weekend]]+Ruimtestaat[[#This Row],[kosten / jaar werkdagen]]</f>
        <v>0</v>
      </c>
    </row>
    <row r="134" spans="1:32" ht="15" customHeight="1">
      <c r="A134" s="129">
        <v>2</v>
      </c>
      <c r="B134" s="21" t="str">
        <f>VLOOKUP(Ruimtestaat[[#This Row],[Code]],Locaties[#All],2,FALSE)</f>
        <v>Novalis College nieuwbouw</v>
      </c>
      <c r="C134" s="240" t="str">
        <f>VLOOKUP(Ruimtestaat[[#This Row],[Code]],Locaties[#All],4,FALSE)</f>
        <v>Sterrenlaan 16</v>
      </c>
      <c r="D134" s="240" t="str">
        <f>VLOOKUP(Ruimtestaat[[#This Row],[Code]],Locaties[#All],5,FALSE)</f>
        <v>5631 KA</v>
      </c>
      <c r="E134" s="240" t="str">
        <f>VLOOKUP(Ruimtestaat[[#This Row],[Code]],Locaties[#All],6,FALSE)</f>
        <v>Eindhoven</v>
      </c>
      <c r="F134" s="241" t="s">
        <v>611</v>
      </c>
      <c r="G134" s="200" t="s">
        <v>883</v>
      </c>
      <c r="H134" s="200" t="s">
        <v>903</v>
      </c>
      <c r="I134" s="241" t="s">
        <v>609</v>
      </c>
      <c r="J134" s="200">
        <v>8</v>
      </c>
      <c r="K134" s="256" t="str">
        <f>VLOOKUP(Ruimtestaat[[#This Row],[Ruimte code]],Ruimtegroepen[#All],2,FALSE)</f>
        <v>Multifunctionele ruimte</v>
      </c>
      <c r="L134" s="213" t="s">
        <v>110</v>
      </c>
      <c r="M134" s="268" t="s">
        <v>277</v>
      </c>
      <c r="N134" s="212">
        <v>94</v>
      </c>
      <c r="O134" s="212"/>
      <c r="P134" s="240" t="str">
        <f>VLOOKUP(Ruimtestaat[[#This Row],[Ruimte code]],Ruimtegroepen[#All],4,FALSE)</f>
        <v>L  (Lesruimte)</v>
      </c>
      <c r="Q134" s="213">
        <v>40</v>
      </c>
      <c r="R134" s="213" t="s">
        <v>2</v>
      </c>
      <c r="S134" s="213">
        <f>IF(Q134&gt;0,IF(RIGHT(Ruimtestaat[[#This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34" s="213">
        <f>IF(S134&gt;0,VLOOKUP($J134,Ruimtegroepen[],3,FALSE)*VLOOKUP($L134,Vloersoorten[],3,FALSE)*VLOOKUP($R134,Frequenties[],3,FALSE)*VLOOKUP($A134,Locaties[],3,FALSE),0)</f>
        <v>0</v>
      </c>
      <c r="U134" s="213">
        <f>Ruimtestaat[[#This Row],[Uitvoeringen werkdagen]]*Ruimtestaat[[#This Row],[Oppervlak (netto)]]</f>
        <v>18800</v>
      </c>
      <c r="V134" s="253">
        <f>IF(T134&gt;0,Ruimtestaat[[#This Row],[Prest. (m2 /jaar) werkdagen]]/Ruimtestaat[[#This Row],[Norm (m2/uur) werkdagen]],0)</f>
        <v>0</v>
      </c>
      <c r="W134" s="254">
        <f>Ruimtestaat[[#This Row],[uren / jaar werkdagen]]*Tariefsopbouw!$D$38</f>
        <v>0</v>
      </c>
      <c r="X134" s="33"/>
      <c r="Y134" s="33">
        <f>IF(Ruimtestaat[[#This Row],[Frequentie weekend]]&gt;0,VALUE(LEFT(X134,1))*Q134,0)</f>
        <v>0</v>
      </c>
      <c r="Z134" s="33">
        <f>IF($Y134&gt;0,VLOOKUP($J134,Ruimtegroepen[],3,FALSE)*VLOOKUP($L134,Vloersoorten[],3,FALSE)*VLOOKUP($X134,Frequenties[],3,FALSE)*VLOOKUP(#REF!,Locaties[],3,FALSE),0)</f>
        <v>0</v>
      </c>
      <c r="AA134" s="33"/>
      <c r="AB134" s="33"/>
      <c r="AC134" s="33">
        <f>Ruimtestaat[[#This Row],[uren / jaar weekend]]*Tariefsopbouw!$D$40</f>
        <v>0</v>
      </c>
      <c r="AD134" s="88">
        <f>Ruimtestaat[[#This Row],[Prest. (m2 /jaar) weekend]]+Ruimtestaat[[#This Row],[Prest. (m2 /jaar) werkdagen]]</f>
        <v>18800</v>
      </c>
      <c r="AE134" s="88">
        <f>Ruimtestaat[[#This Row],[uren / jaar weekend]]+Ruimtestaat[[#This Row],[uren / jaar werkdagen]]</f>
        <v>0</v>
      </c>
      <c r="AF134" s="89">
        <f>Ruimtestaat[[#This Row],[kosten / jaar weekend]]+Ruimtestaat[[#This Row],[kosten / jaar werkdagen]]</f>
        <v>0</v>
      </c>
    </row>
    <row r="135" spans="1:32" ht="15" customHeight="1">
      <c r="A135" s="129">
        <v>2</v>
      </c>
      <c r="B135" s="21" t="str">
        <f>VLOOKUP(Ruimtestaat[[#This Row],[Code]],Locaties[#All],2,FALSE)</f>
        <v>Novalis College nieuwbouw</v>
      </c>
      <c r="C135" s="240" t="str">
        <f>VLOOKUP(Ruimtestaat[[#This Row],[Code]],Locaties[#All],4,FALSE)</f>
        <v>Sterrenlaan 16</v>
      </c>
      <c r="D135" s="240" t="str">
        <f>VLOOKUP(Ruimtestaat[[#This Row],[Code]],Locaties[#All],5,FALSE)</f>
        <v>5631 KA</v>
      </c>
      <c r="E135" s="240" t="str">
        <f>VLOOKUP(Ruimtestaat[[#This Row],[Code]],Locaties[#All],6,FALSE)</f>
        <v>Eindhoven</v>
      </c>
      <c r="F135" s="241" t="s">
        <v>611</v>
      </c>
      <c r="G135" s="200" t="s">
        <v>883</v>
      </c>
      <c r="H135" s="200" t="s">
        <v>904</v>
      </c>
      <c r="I135" s="241" t="s">
        <v>876</v>
      </c>
      <c r="J135" s="213">
        <v>6</v>
      </c>
      <c r="K135" s="256" t="str">
        <f>VLOOKUP(Ruimtestaat[[#This Row],[Ruimte code]],Ruimtegroepen[#All],2,FALSE)</f>
        <v>Gangen/hallen</v>
      </c>
      <c r="L135" s="213" t="s">
        <v>110</v>
      </c>
      <c r="M135" s="268" t="s">
        <v>277</v>
      </c>
      <c r="N135" s="212">
        <v>67</v>
      </c>
      <c r="O135" s="212"/>
      <c r="P135" s="240" t="str">
        <f>VLOOKUP(Ruimtestaat[[#This Row],[Ruimte code]],Ruimtegroepen[#All],4,FALSE)</f>
        <v>V  (Verkeersruimte)</v>
      </c>
      <c r="Q135" s="213">
        <v>40</v>
      </c>
      <c r="R135" s="213" t="s">
        <v>2</v>
      </c>
      <c r="S135" s="213">
        <f>IF(Q135&gt;0,IF(RIGHT(Ruimtestaat[[#This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35" s="213">
        <f>IF(S135&gt;0,VLOOKUP($J135,Ruimtegroepen[],3,FALSE)*VLOOKUP($L135,Vloersoorten[],3,FALSE)*VLOOKUP($R135,Frequenties[],3,FALSE)*VLOOKUP($A135,Locaties[],3,FALSE),0)</f>
        <v>0</v>
      </c>
      <c r="U135" s="213">
        <f>Ruimtestaat[[#This Row],[Uitvoeringen werkdagen]]*Ruimtestaat[[#This Row],[Oppervlak (netto)]]</f>
        <v>13400</v>
      </c>
      <c r="V135" s="253">
        <f>IF(T135&gt;0,Ruimtestaat[[#This Row],[Prest. (m2 /jaar) werkdagen]]/Ruimtestaat[[#This Row],[Norm (m2/uur) werkdagen]],0)</f>
        <v>0</v>
      </c>
      <c r="W135" s="254">
        <f>Ruimtestaat[[#This Row],[uren / jaar werkdagen]]*Tariefsopbouw!$D$38</f>
        <v>0</v>
      </c>
      <c r="X135" s="33"/>
      <c r="Y135" s="33">
        <f>IF(Ruimtestaat[[#This Row],[Frequentie weekend]]&gt;0,VALUE(LEFT(X135,1))*Q135,0)</f>
        <v>0</v>
      </c>
      <c r="Z135" s="33">
        <f>IF($Y135&gt;0,VLOOKUP($J135,Ruimtegroepen[],3,FALSE)*VLOOKUP($L135,Vloersoorten[],3,FALSE)*VLOOKUP($X135,Frequenties[],3,FALSE)*VLOOKUP(#REF!,Locaties[],3,FALSE),0)</f>
        <v>0</v>
      </c>
      <c r="AA135" s="33"/>
      <c r="AB135" s="33"/>
      <c r="AC135" s="33">
        <f>Ruimtestaat[[#This Row],[uren / jaar weekend]]*Tariefsopbouw!$D$40</f>
        <v>0</v>
      </c>
      <c r="AD135" s="88">
        <f>Ruimtestaat[[#This Row],[Prest. (m2 /jaar) weekend]]+Ruimtestaat[[#This Row],[Prest. (m2 /jaar) werkdagen]]</f>
        <v>13400</v>
      </c>
      <c r="AE135" s="88">
        <f>Ruimtestaat[[#This Row],[uren / jaar weekend]]+Ruimtestaat[[#This Row],[uren / jaar werkdagen]]</f>
        <v>0</v>
      </c>
      <c r="AF135" s="89">
        <f>Ruimtestaat[[#This Row],[kosten / jaar weekend]]+Ruimtestaat[[#This Row],[kosten / jaar werkdagen]]</f>
        <v>0</v>
      </c>
    </row>
    <row r="136" spans="1:32" ht="15" customHeight="1">
      <c r="A136" s="129">
        <v>2</v>
      </c>
      <c r="B136" s="21" t="str">
        <f>VLOOKUP(Ruimtestaat[[#This Row],[Code]],Locaties[#All],2,FALSE)</f>
        <v>Novalis College nieuwbouw</v>
      </c>
      <c r="C136" s="240" t="str">
        <f>VLOOKUP(Ruimtestaat[[#This Row],[Code]],Locaties[#All],4,FALSE)</f>
        <v>Sterrenlaan 16</v>
      </c>
      <c r="D136" s="240" t="str">
        <f>VLOOKUP(Ruimtestaat[[#This Row],[Code]],Locaties[#All],5,FALSE)</f>
        <v>5631 KA</v>
      </c>
      <c r="E136" s="240" t="str">
        <f>VLOOKUP(Ruimtestaat[[#This Row],[Code]],Locaties[#All],6,FALSE)</f>
        <v>Eindhoven</v>
      </c>
      <c r="F136" s="241" t="s">
        <v>611</v>
      </c>
      <c r="G136" s="200" t="s">
        <v>883</v>
      </c>
      <c r="H136" s="200" t="s">
        <v>905</v>
      </c>
      <c r="I136" s="241" t="s">
        <v>678</v>
      </c>
      <c r="J136" s="240">
        <v>21</v>
      </c>
      <c r="K136" s="256" t="str">
        <f>VLOOKUP(Ruimtestaat[[#This Row],[Ruimte code]],Ruimtegroepen[#All],2,FALSE)</f>
        <v>Niet in onderhoud</v>
      </c>
      <c r="L136" s="213" t="s">
        <v>110</v>
      </c>
      <c r="M136" s="268" t="s">
        <v>277</v>
      </c>
      <c r="N136" s="212"/>
      <c r="O136" s="212">
        <v>8</v>
      </c>
      <c r="P136" s="240" t="str">
        <f>VLOOKUP(Ruimtestaat[[#This Row],[Ruimte code]],Ruimtegroepen[#All],4,FALSE)</f>
        <v>Niet in onderhoud</v>
      </c>
      <c r="Q136" s="213"/>
      <c r="R136" s="213"/>
      <c r="S136" s="213">
        <f>IF(Q136&gt;0,IF(RIGHT(Ruimtestaat[[#This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36" s="213">
        <f>IF(S136&gt;0,VLOOKUP($J136,Ruimtegroepen[],3,FALSE)*VLOOKUP($L136,Vloersoorten[],3,FALSE)*VLOOKUP($R136,Frequenties[],3,FALSE)*VLOOKUP($A136,Locaties[],3,FALSE),0)</f>
        <v>0</v>
      </c>
      <c r="U136" s="213">
        <f>Ruimtestaat[[#This Row],[Uitvoeringen werkdagen]]*Ruimtestaat[[#This Row],[Oppervlak (netto)]]</f>
        <v>0</v>
      </c>
      <c r="V136" s="253">
        <f>IF(T136&gt;0,Ruimtestaat[[#This Row],[Prest. (m2 /jaar) werkdagen]]/Ruimtestaat[[#This Row],[Norm (m2/uur) werkdagen]],0)</f>
        <v>0</v>
      </c>
      <c r="W136" s="254">
        <f>Ruimtestaat[[#This Row],[uren / jaar werkdagen]]*Tariefsopbouw!$D$38</f>
        <v>0</v>
      </c>
      <c r="X136" s="33"/>
      <c r="Y136" s="33">
        <f>IF(Ruimtestaat[[#This Row],[Frequentie weekend]]&gt;0,VALUE(LEFT(X136,1))*Q136,0)</f>
        <v>0</v>
      </c>
      <c r="Z136" s="33">
        <f>IF($Y136&gt;0,VLOOKUP($J136,Ruimtegroepen[],3,FALSE)*VLOOKUP($L136,Vloersoorten[],3,FALSE)*VLOOKUP($X136,Frequenties[],3,FALSE)*VLOOKUP(#REF!,Locaties[],3,FALSE),0)</f>
        <v>0</v>
      </c>
      <c r="AA136" s="33"/>
      <c r="AB136" s="33"/>
      <c r="AC136" s="33">
        <f>Ruimtestaat[[#This Row],[uren / jaar weekend]]*Tariefsopbouw!$D$40</f>
        <v>0</v>
      </c>
      <c r="AD136" s="88">
        <f>Ruimtestaat[[#This Row],[Prest. (m2 /jaar) weekend]]+Ruimtestaat[[#This Row],[Prest. (m2 /jaar) werkdagen]]</f>
        <v>0</v>
      </c>
      <c r="AE136" s="88">
        <f>Ruimtestaat[[#This Row],[uren / jaar weekend]]+Ruimtestaat[[#This Row],[uren / jaar werkdagen]]</f>
        <v>0</v>
      </c>
      <c r="AF136" s="89">
        <f>Ruimtestaat[[#This Row],[kosten / jaar weekend]]+Ruimtestaat[[#This Row],[kosten / jaar werkdagen]]</f>
        <v>0</v>
      </c>
    </row>
    <row r="137" spans="1:32" ht="15" customHeight="1">
      <c r="A137" s="129">
        <v>2</v>
      </c>
      <c r="B137" s="21" t="str">
        <f>VLOOKUP(Ruimtestaat[[#This Row],[Code]],Locaties[#All],2,FALSE)</f>
        <v>Novalis College nieuwbouw</v>
      </c>
      <c r="C137" s="240" t="str">
        <f>VLOOKUP(Ruimtestaat[[#This Row],[Code]],Locaties[#All],4,FALSE)</f>
        <v>Sterrenlaan 16</v>
      </c>
      <c r="D137" s="240" t="str">
        <f>VLOOKUP(Ruimtestaat[[#This Row],[Code]],Locaties[#All],5,FALSE)</f>
        <v>5631 KA</v>
      </c>
      <c r="E137" s="240" t="str">
        <f>VLOOKUP(Ruimtestaat[[#This Row],[Code]],Locaties[#All],6,FALSE)</f>
        <v>Eindhoven</v>
      </c>
      <c r="F137" s="241" t="s">
        <v>611</v>
      </c>
      <c r="G137" s="200" t="s">
        <v>883</v>
      </c>
      <c r="H137" s="200" t="s">
        <v>906</v>
      </c>
      <c r="I137" s="241" t="s">
        <v>907</v>
      </c>
      <c r="J137" s="240">
        <v>21</v>
      </c>
      <c r="K137" s="256" t="str">
        <f>VLOOKUP(Ruimtestaat[[#This Row],[Ruimte code]],Ruimtegroepen[#All],2,FALSE)</f>
        <v>Niet in onderhoud</v>
      </c>
      <c r="L137" s="213" t="s">
        <v>110</v>
      </c>
      <c r="M137" s="268" t="s">
        <v>277</v>
      </c>
      <c r="N137" s="212"/>
      <c r="O137" s="212">
        <v>15</v>
      </c>
      <c r="P137" s="240" t="str">
        <f>VLOOKUP(Ruimtestaat[[#This Row],[Ruimte code]],Ruimtegroepen[#All],4,FALSE)</f>
        <v>Niet in onderhoud</v>
      </c>
      <c r="Q137" s="213"/>
      <c r="R137" s="213"/>
      <c r="S137" s="213">
        <f>IF(Q137&gt;0,IF(RIGHT(Ruimtestaat[[#This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37" s="213">
        <f>IF(S137&gt;0,VLOOKUP($J137,Ruimtegroepen[],3,FALSE)*VLOOKUP($L137,Vloersoorten[],3,FALSE)*VLOOKUP($R137,Frequenties[],3,FALSE)*VLOOKUP($A137,Locaties[],3,FALSE),0)</f>
        <v>0</v>
      </c>
      <c r="U137" s="213">
        <f>Ruimtestaat[[#This Row],[Uitvoeringen werkdagen]]*Ruimtestaat[[#This Row],[Oppervlak (netto)]]</f>
        <v>0</v>
      </c>
      <c r="V137" s="253">
        <f>IF(T137&gt;0,Ruimtestaat[[#This Row],[Prest. (m2 /jaar) werkdagen]]/Ruimtestaat[[#This Row],[Norm (m2/uur) werkdagen]],0)</f>
        <v>0</v>
      </c>
      <c r="W137" s="254">
        <f>Ruimtestaat[[#This Row],[uren / jaar werkdagen]]*Tariefsopbouw!$D$38</f>
        <v>0</v>
      </c>
      <c r="X137" s="33"/>
      <c r="Y137" s="33">
        <f>IF(Ruimtestaat[[#This Row],[Frequentie weekend]]&gt;0,VALUE(LEFT(X137,1))*Q137,0)</f>
        <v>0</v>
      </c>
      <c r="Z137" s="33">
        <f>IF($Y137&gt;0,VLOOKUP($J137,Ruimtegroepen[],3,FALSE)*VLOOKUP($L137,Vloersoorten[],3,FALSE)*VLOOKUP($X137,Frequenties[],3,FALSE)*VLOOKUP(#REF!,Locaties[],3,FALSE),0)</f>
        <v>0</v>
      </c>
      <c r="AA137" s="33"/>
      <c r="AB137" s="33"/>
      <c r="AC137" s="33">
        <f>Ruimtestaat[[#This Row],[uren / jaar weekend]]*Tariefsopbouw!$D$40</f>
        <v>0</v>
      </c>
      <c r="AD137" s="88">
        <f>Ruimtestaat[[#This Row],[Prest. (m2 /jaar) weekend]]+Ruimtestaat[[#This Row],[Prest. (m2 /jaar) werkdagen]]</f>
        <v>0</v>
      </c>
      <c r="AE137" s="88">
        <f>Ruimtestaat[[#This Row],[uren / jaar weekend]]+Ruimtestaat[[#This Row],[uren / jaar werkdagen]]</f>
        <v>0</v>
      </c>
      <c r="AF137" s="89">
        <f>Ruimtestaat[[#This Row],[kosten / jaar weekend]]+Ruimtestaat[[#This Row],[kosten / jaar werkdagen]]</f>
        <v>0</v>
      </c>
    </row>
    <row r="138" spans="1:32" ht="15" customHeight="1">
      <c r="A138" s="213">
        <v>3</v>
      </c>
      <c r="B138" s="200" t="str">
        <f>VLOOKUP(Ruimtestaat[[#This Row],[Code]],Locaties[#All],2,FALSE)</f>
        <v>Karel de Grote College</v>
      </c>
      <c r="C138" s="240" t="str">
        <f>VLOOKUP(Ruimtestaat[[#This Row],[Code]],Locaties[#All],4,FALSE)</f>
        <v>Wilhelminasingel 15</v>
      </c>
      <c r="D138" s="240" t="str">
        <f>VLOOKUP(Ruimtestaat[[#This Row],[Code]],Locaties[#All],5,FALSE)</f>
        <v>6524 AJ</v>
      </c>
      <c r="E138" s="240" t="str">
        <f>VLOOKUP(Ruimtestaat[[#This Row],[Code]],Locaties[#All],6,FALSE)</f>
        <v>Nijmegen</v>
      </c>
      <c r="F138" s="241" t="s">
        <v>845</v>
      </c>
      <c r="G138" s="200">
        <v>-1</v>
      </c>
      <c r="H138" s="200" t="s">
        <v>618</v>
      </c>
      <c r="I138" s="241" t="s">
        <v>631</v>
      </c>
      <c r="J138" s="240">
        <v>21</v>
      </c>
      <c r="K138" s="256" t="str">
        <f>VLOOKUP(Ruimtestaat[[#This Row],[Ruimte code]],Ruimtegroepen[#All],2,FALSE)</f>
        <v>Niet in onderhoud</v>
      </c>
      <c r="L138" s="240" t="s">
        <v>111</v>
      </c>
      <c r="M138" s="268" t="s">
        <v>643</v>
      </c>
      <c r="N138" s="269"/>
      <c r="O138" s="212">
        <v>147</v>
      </c>
      <c r="P138" s="240" t="str">
        <f>VLOOKUP(Ruimtestaat[[#This Row],[Ruimte code]],Ruimtegroepen[#All],4,FALSE)</f>
        <v>Niet in onderhoud</v>
      </c>
      <c r="Q138" s="213"/>
      <c r="R138" s="213"/>
      <c r="S138" s="213">
        <f>IF(Q138&gt;0,IF(RIGHT(Ruimtestaat[[#This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38" s="213">
        <f>IF(S138&gt;0,VLOOKUP($J138,Ruimtegroepen[],3,FALSE)*VLOOKUP($L138,Vloersoorten[],3,FALSE)*VLOOKUP($R138,Frequenties[],3,FALSE)*VLOOKUP($A138,Locaties[],3,FALSE),0)</f>
        <v>0</v>
      </c>
      <c r="U138" s="213">
        <f>Ruimtestaat[[#This Row],[Uitvoeringen werkdagen]]*Ruimtestaat[[#This Row],[Oppervlak (netto)]]</f>
        <v>0</v>
      </c>
      <c r="V138" s="253">
        <f>IF(T138&gt;0,Ruimtestaat[[#This Row],[Prest. (m2 /jaar) werkdagen]]/Ruimtestaat[[#This Row],[Norm (m2/uur) werkdagen]],0)</f>
        <v>0</v>
      </c>
      <c r="W138" s="254">
        <f>Ruimtestaat[[#This Row],[uren / jaar werkdagen]]*Tariefsopbouw!$D$38</f>
        <v>0</v>
      </c>
      <c r="X138" s="33"/>
      <c r="Y138" s="33">
        <f>IF(Ruimtestaat[[#This Row],[Frequentie weekend]]&gt;0,VALUE(LEFT(X138,1))*Q138,0)</f>
        <v>0</v>
      </c>
      <c r="Z138" s="33">
        <f>IF($Y138&gt;0,VLOOKUP($J138,Ruimtegroepen[],3,FALSE)*VLOOKUP($L138,Vloersoorten[],3,FALSE)*VLOOKUP($X138,Frequenties[],3,FALSE)*VLOOKUP(#REF!,Locaties[],3,FALSE),0)</f>
        <v>0</v>
      </c>
      <c r="AA138" s="33"/>
      <c r="AB138" s="33"/>
      <c r="AC138" s="33">
        <f>Ruimtestaat[[#This Row],[uren / jaar weekend]]*Tariefsopbouw!$D$40</f>
        <v>0</v>
      </c>
      <c r="AD138" s="88">
        <f>Ruimtestaat[[#This Row],[Prest. (m2 /jaar) weekend]]+Ruimtestaat[[#This Row],[Prest. (m2 /jaar) werkdagen]]</f>
        <v>0</v>
      </c>
      <c r="AE138" s="88">
        <f>Ruimtestaat[[#This Row],[uren / jaar weekend]]+Ruimtestaat[[#This Row],[uren / jaar werkdagen]]</f>
        <v>0</v>
      </c>
      <c r="AF138" s="89">
        <f>Ruimtestaat[[#This Row],[kosten / jaar weekend]]+Ruimtestaat[[#This Row],[kosten / jaar werkdagen]]</f>
        <v>0</v>
      </c>
    </row>
    <row r="139" spans="1:32" ht="15" customHeight="1">
      <c r="A139" s="213">
        <v>3</v>
      </c>
      <c r="B139" s="200" t="str">
        <f>VLOOKUP(Ruimtestaat[[#This Row],[Code]],Locaties[#All],2,FALSE)</f>
        <v>Karel de Grote College</v>
      </c>
      <c r="C139" s="240" t="str">
        <f>VLOOKUP(Ruimtestaat[[#This Row],[Code]],Locaties[#All],4,FALSE)</f>
        <v>Wilhelminasingel 15</v>
      </c>
      <c r="D139" s="240" t="str">
        <f>VLOOKUP(Ruimtestaat[[#This Row],[Code]],Locaties[#All],5,FALSE)</f>
        <v>6524 AJ</v>
      </c>
      <c r="E139" s="240" t="str">
        <f>VLOOKUP(Ruimtestaat[[#This Row],[Code]],Locaties[#All],6,FALSE)</f>
        <v>Nijmegen</v>
      </c>
      <c r="F139" s="241" t="s">
        <v>845</v>
      </c>
      <c r="G139" s="200">
        <v>-1</v>
      </c>
      <c r="H139" s="200" t="s">
        <v>619</v>
      </c>
      <c r="I139" s="241" t="s">
        <v>632</v>
      </c>
      <c r="J139" s="240">
        <v>21</v>
      </c>
      <c r="K139" s="256" t="str">
        <f>VLOOKUP(Ruimtestaat[[#This Row],[Ruimte code]],Ruimtegroepen[#All],2,FALSE)</f>
        <v>Niet in onderhoud</v>
      </c>
      <c r="L139" s="240" t="s">
        <v>111</v>
      </c>
      <c r="M139" s="268" t="s">
        <v>643</v>
      </c>
      <c r="N139" s="269"/>
      <c r="O139" s="212">
        <v>19</v>
      </c>
      <c r="P139" s="240" t="str">
        <f>VLOOKUP(Ruimtestaat[[#This Row],[Ruimte code]],Ruimtegroepen[#All],4,FALSE)</f>
        <v>Niet in onderhoud</v>
      </c>
      <c r="Q139" s="213"/>
      <c r="R139" s="213"/>
      <c r="S139" s="213">
        <f>IF(Q139&gt;0,IF(RIGHT(Ruimtestaat[[#This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39" s="213">
        <f>IF(S139&gt;0,VLOOKUP($J139,Ruimtegroepen[],3,FALSE)*VLOOKUP($L139,Vloersoorten[],3,FALSE)*VLOOKUP($R139,Frequenties[],3,FALSE)*VLOOKUP($A139,Locaties[],3,FALSE),0)</f>
        <v>0</v>
      </c>
      <c r="U139" s="213">
        <f>Ruimtestaat[[#This Row],[Uitvoeringen werkdagen]]*Ruimtestaat[[#This Row],[Oppervlak (netto)]]</f>
        <v>0</v>
      </c>
      <c r="V139" s="253">
        <f>IF(T139&gt;0,Ruimtestaat[[#This Row],[Prest. (m2 /jaar) werkdagen]]/Ruimtestaat[[#This Row],[Norm (m2/uur) werkdagen]],0)</f>
        <v>0</v>
      </c>
      <c r="W139" s="254">
        <f>Ruimtestaat[[#This Row],[uren / jaar werkdagen]]*Tariefsopbouw!$D$38</f>
        <v>0</v>
      </c>
      <c r="X139" s="33"/>
      <c r="Y139" s="33">
        <f>IF(Ruimtestaat[[#This Row],[Frequentie weekend]]&gt;0,VALUE(LEFT(X139,1))*Q139,0)</f>
        <v>0</v>
      </c>
      <c r="Z139" s="33">
        <f>IF($Y139&gt;0,VLOOKUP($J139,Ruimtegroepen[],3,FALSE)*VLOOKUP($L139,Vloersoorten[],3,FALSE)*VLOOKUP($X139,Frequenties[],3,FALSE)*VLOOKUP(#REF!,Locaties[],3,FALSE),0)</f>
        <v>0</v>
      </c>
      <c r="AA139" s="33"/>
      <c r="AB139" s="33"/>
      <c r="AC139" s="33">
        <f>Ruimtestaat[[#This Row],[uren / jaar weekend]]*Tariefsopbouw!$D$40</f>
        <v>0</v>
      </c>
      <c r="AD139" s="88">
        <f>Ruimtestaat[[#This Row],[Prest. (m2 /jaar) weekend]]+Ruimtestaat[[#This Row],[Prest. (m2 /jaar) werkdagen]]</f>
        <v>0</v>
      </c>
      <c r="AE139" s="88">
        <f>Ruimtestaat[[#This Row],[uren / jaar weekend]]+Ruimtestaat[[#This Row],[uren / jaar werkdagen]]</f>
        <v>0</v>
      </c>
      <c r="AF139" s="89">
        <f>Ruimtestaat[[#This Row],[kosten / jaar weekend]]+Ruimtestaat[[#This Row],[kosten / jaar werkdagen]]</f>
        <v>0</v>
      </c>
    </row>
    <row r="140" spans="1:32" ht="15" customHeight="1">
      <c r="A140" s="213">
        <v>3</v>
      </c>
      <c r="B140" s="200" t="str">
        <f>VLOOKUP(Ruimtestaat[[#This Row],[Code]],Locaties[#All],2,FALSE)</f>
        <v>Karel de Grote College</v>
      </c>
      <c r="C140" s="240" t="str">
        <f>VLOOKUP(Ruimtestaat[[#This Row],[Code]],Locaties[#All],4,FALSE)</f>
        <v>Wilhelminasingel 15</v>
      </c>
      <c r="D140" s="240" t="str">
        <f>VLOOKUP(Ruimtestaat[[#This Row],[Code]],Locaties[#All],5,FALSE)</f>
        <v>6524 AJ</v>
      </c>
      <c r="E140" s="240" t="str">
        <f>VLOOKUP(Ruimtestaat[[#This Row],[Code]],Locaties[#All],6,FALSE)</f>
        <v>Nijmegen</v>
      </c>
      <c r="F140" s="241" t="s">
        <v>845</v>
      </c>
      <c r="G140" s="200">
        <v>-1</v>
      </c>
      <c r="H140" s="200" t="s">
        <v>620</v>
      </c>
      <c r="I140" s="241" t="s">
        <v>632</v>
      </c>
      <c r="J140" s="240">
        <v>21</v>
      </c>
      <c r="K140" s="256" t="str">
        <f>VLOOKUP(Ruimtestaat[[#This Row],[Ruimte code]],Ruimtegroepen[#All],2,FALSE)</f>
        <v>Niet in onderhoud</v>
      </c>
      <c r="L140" s="240" t="s">
        <v>111</v>
      </c>
      <c r="M140" s="268" t="s">
        <v>643</v>
      </c>
      <c r="N140" s="269"/>
      <c r="O140" s="212">
        <v>12</v>
      </c>
      <c r="P140" s="240" t="str">
        <f>VLOOKUP(Ruimtestaat[[#This Row],[Ruimte code]],Ruimtegroepen[#All],4,FALSE)</f>
        <v>Niet in onderhoud</v>
      </c>
      <c r="Q140" s="213"/>
      <c r="R140" s="213"/>
      <c r="S140" s="213">
        <f>IF(Q140&gt;0,IF(RIGHT(Ruimtestaat[[#This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0" s="213">
        <f>IF(S140&gt;0,VLOOKUP($J140,Ruimtegroepen[],3,FALSE)*VLOOKUP($L140,Vloersoorten[],3,FALSE)*VLOOKUP($R140,Frequenties[],3,FALSE)*VLOOKUP($A140,Locaties[],3,FALSE),0)</f>
        <v>0</v>
      </c>
      <c r="U140" s="213">
        <f>Ruimtestaat[[#This Row],[Uitvoeringen werkdagen]]*Ruimtestaat[[#This Row],[Oppervlak (netto)]]</f>
        <v>0</v>
      </c>
      <c r="V140" s="253">
        <f>IF(T140&gt;0,Ruimtestaat[[#This Row],[Prest. (m2 /jaar) werkdagen]]/Ruimtestaat[[#This Row],[Norm (m2/uur) werkdagen]],0)</f>
        <v>0</v>
      </c>
      <c r="W140" s="254">
        <f>Ruimtestaat[[#This Row],[uren / jaar werkdagen]]*Tariefsopbouw!$D$38</f>
        <v>0</v>
      </c>
      <c r="X140" s="33"/>
      <c r="Y140" s="33">
        <f>IF(Ruimtestaat[[#This Row],[Frequentie weekend]]&gt;0,VALUE(LEFT(X140,1))*Q140,0)</f>
        <v>0</v>
      </c>
      <c r="Z140" s="33">
        <f>IF($Y140&gt;0,VLOOKUP($J140,Ruimtegroepen[],3,FALSE)*VLOOKUP($L140,Vloersoorten[],3,FALSE)*VLOOKUP($X140,Frequenties[],3,FALSE)*VLOOKUP(#REF!,Locaties[],3,FALSE),0)</f>
        <v>0</v>
      </c>
      <c r="AA140" s="33"/>
      <c r="AB140" s="33"/>
      <c r="AC140" s="33">
        <f>Ruimtestaat[[#This Row],[uren / jaar weekend]]*Tariefsopbouw!$D$40</f>
        <v>0</v>
      </c>
      <c r="AD140" s="88">
        <f>Ruimtestaat[[#This Row],[Prest. (m2 /jaar) weekend]]+Ruimtestaat[[#This Row],[Prest. (m2 /jaar) werkdagen]]</f>
        <v>0</v>
      </c>
      <c r="AE140" s="88">
        <f>Ruimtestaat[[#This Row],[uren / jaar weekend]]+Ruimtestaat[[#This Row],[uren / jaar werkdagen]]</f>
        <v>0</v>
      </c>
      <c r="AF140" s="89">
        <f>Ruimtestaat[[#This Row],[kosten / jaar weekend]]+Ruimtestaat[[#This Row],[kosten / jaar werkdagen]]</f>
        <v>0</v>
      </c>
    </row>
    <row r="141" spans="1:32" ht="15" customHeight="1">
      <c r="A141" s="213">
        <v>3</v>
      </c>
      <c r="B141" s="200" t="str">
        <f>VLOOKUP(Ruimtestaat[[#This Row],[Code]],Locaties[#All],2,FALSE)</f>
        <v>Karel de Grote College</v>
      </c>
      <c r="C141" s="240" t="str">
        <f>VLOOKUP(Ruimtestaat[[#This Row],[Code]],Locaties[#All],4,FALSE)</f>
        <v>Wilhelminasingel 15</v>
      </c>
      <c r="D141" s="240" t="str">
        <f>VLOOKUP(Ruimtestaat[[#This Row],[Code]],Locaties[#All],5,FALSE)</f>
        <v>6524 AJ</v>
      </c>
      <c r="E141" s="240" t="str">
        <f>VLOOKUP(Ruimtestaat[[#This Row],[Code]],Locaties[#All],6,FALSE)</f>
        <v>Nijmegen</v>
      </c>
      <c r="F141" s="241" t="s">
        <v>845</v>
      </c>
      <c r="G141" s="200">
        <v>-1</v>
      </c>
      <c r="H141" s="200" t="s">
        <v>621</v>
      </c>
      <c r="I141" s="241" t="s">
        <v>633</v>
      </c>
      <c r="J141" s="240">
        <v>21</v>
      </c>
      <c r="K141" s="256" t="str">
        <f>VLOOKUP(Ruimtestaat[[#This Row],[Ruimte code]],Ruimtegroepen[#All],2,FALSE)</f>
        <v>Niet in onderhoud</v>
      </c>
      <c r="L141" s="240" t="s">
        <v>111</v>
      </c>
      <c r="M141" s="268" t="s">
        <v>643</v>
      </c>
      <c r="N141" s="269"/>
      <c r="O141" s="212">
        <v>15</v>
      </c>
      <c r="P141" s="240" t="str">
        <f>VLOOKUP(Ruimtestaat[[#This Row],[Ruimte code]],Ruimtegroepen[#All],4,FALSE)</f>
        <v>Niet in onderhoud</v>
      </c>
      <c r="Q141" s="213"/>
      <c r="R141" s="213"/>
      <c r="S141" s="213">
        <f>IF(Q141&gt;0,IF(RIGHT(Ruimtestaat[[#This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1" s="213">
        <f>IF(S141&gt;0,VLOOKUP($J141,Ruimtegroepen[],3,FALSE)*VLOOKUP($L141,Vloersoorten[],3,FALSE)*VLOOKUP($R141,Frequenties[],3,FALSE)*VLOOKUP($A141,Locaties[],3,FALSE),0)</f>
        <v>0</v>
      </c>
      <c r="U141" s="213">
        <f>Ruimtestaat[[#This Row],[Uitvoeringen werkdagen]]*Ruimtestaat[[#This Row],[Oppervlak (netto)]]</f>
        <v>0</v>
      </c>
      <c r="V141" s="253">
        <f>IF(T141&gt;0,Ruimtestaat[[#This Row],[Prest. (m2 /jaar) werkdagen]]/Ruimtestaat[[#This Row],[Norm (m2/uur) werkdagen]],0)</f>
        <v>0</v>
      </c>
      <c r="W141" s="254">
        <f>Ruimtestaat[[#This Row],[uren / jaar werkdagen]]*Tariefsopbouw!$D$38</f>
        <v>0</v>
      </c>
      <c r="X141" s="33"/>
      <c r="Y141" s="33">
        <f>IF(Ruimtestaat[[#This Row],[Frequentie weekend]]&gt;0,VALUE(LEFT(X141,1))*Q141,0)</f>
        <v>0</v>
      </c>
      <c r="Z141" s="33">
        <f>IF($Y141&gt;0,VLOOKUP($J141,Ruimtegroepen[],3,FALSE)*VLOOKUP($L141,Vloersoorten[],3,FALSE)*VLOOKUP($X141,Frequenties[],3,FALSE)*VLOOKUP(#REF!,Locaties[],3,FALSE),0)</f>
        <v>0</v>
      </c>
      <c r="AA141" s="33"/>
      <c r="AB141" s="33"/>
      <c r="AC141" s="33">
        <f>Ruimtestaat[[#This Row],[uren / jaar weekend]]*Tariefsopbouw!$D$40</f>
        <v>0</v>
      </c>
      <c r="AD141" s="88">
        <f>Ruimtestaat[[#This Row],[Prest. (m2 /jaar) weekend]]+Ruimtestaat[[#This Row],[Prest. (m2 /jaar) werkdagen]]</f>
        <v>0</v>
      </c>
      <c r="AE141" s="88">
        <f>Ruimtestaat[[#This Row],[uren / jaar weekend]]+Ruimtestaat[[#This Row],[uren / jaar werkdagen]]</f>
        <v>0</v>
      </c>
      <c r="AF141" s="89">
        <f>Ruimtestaat[[#This Row],[kosten / jaar weekend]]+Ruimtestaat[[#This Row],[kosten / jaar werkdagen]]</f>
        <v>0</v>
      </c>
    </row>
    <row r="142" spans="1:32" ht="15" customHeight="1">
      <c r="A142" s="213">
        <v>3</v>
      </c>
      <c r="B142" s="200" t="str">
        <f>VLOOKUP(Ruimtestaat[[#This Row],[Code]],Locaties[#All],2,FALSE)</f>
        <v>Karel de Grote College</v>
      </c>
      <c r="C142" s="240" t="str">
        <f>VLOOKUP(Ruimtestaat[[#This Row],[Code]],Locaties[#All],4,FALSE)</f>
        <v>Wilhelminasingel 15</v>
      </c>
      <c r="D142" s="240" t="str">
        <f>VLOOKUP(Ruimtestaat[[#This Row],[Code]],Locaties[#All],5,FALSE)</f>
        <v>6524 AJ</v>
      </c>
      <c r="E142" s="240" t="str">
        <f>VLOOKUP(Ruimtestaat[[#This Row],[Code]],Locaties[#All],6,FALSE)</f>
        <v>Nijmegen</v>
      </c>
      <c r="F142" s="241" t="s">
        <v>845</v>
      </c>
      <c r="G142" s="200">
        <v>-1</v>
      </c>
      <c r="H142" s="200" t="s">
        <v>622</v>
      </c>
      <c r="I142" s="241" t="s">
        <v>634</v>
      </c>
      <c r="J142" s="240">
        <v>21</v>
      </c>
      <c r="K142" s="256" t="str">
        <f>VLOOKUP(Ruimtestaat[[#This Row],[Ruimte code]],Ruimtegroepen[#All],2,FALSE)</f>
        <v>Niet in onderhoud</v>
      </c>
      <c r="L142" s="213" t="s">
        <v>110</v>
      </c>
      <c r="M142" s="268" t="s">
        <v>644</v>
      </c>
      <c r="N142" s="269"/>
      <c r="O142" s="212">
        <v>20</v>
      </c>
      <c r="P142" s="240" t="str">
        <f>VLOOKUP(Ruimtestaat[[#This Row],[Ruimte code]],Ruimtegroepen[#All],4,FALSE)</f>
        <v>Niet in onderhoud</v>
      </c>
      <c r="Q142" s="213">
        <v>0</v>
      </c>
      <c r="R142" s="213"/>
      <c r="S142" s="213">
        <f>IF(Q142&gt;0,IF(RIGHT(Ruimtestaat[[#This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2" s="213">
        <f>IF(S142&gt;0,VLOOKUP($J142,Ruimtegroepen[],3,FALSE)*VLOOKUP($L142,Vloersoorten[],3,FALSE)*VLOOKUP($R142,Frequenties[],3,FALSE)*VLOOKUP($A142,Locaties[],3,FALSE),0)</f>
        <v>0</v>
      </c>
      <c r="U142" s="213">
        <f>Ruimtestaat[[#This Row],[Uitvoeringen werkdagen]]*Ruimtestaat[[#This Row],[Oppervlak (netto)]]</f>
        <v>0</v>
      </c>
      <c r="V142" s="253">
        <f>IF(T142&gt;0,Ruimtestaat[[#This Row],[Prest. (m2 /jaar) werkdagen]]/Ruimtestaat[[#This Row],[Norm (m2/uur) werkdagen]],0)</f>
        <v>0</v>
      </c>
      <c r="W142" s="254">
        <f>Ruimtestaat[[#This Row],[uren / jaar werkdagen]]*Tariefsopbouw!$D$38</f>
        <v>0</v>
      </c>
      <c r="X142" s="33"/>
      <c r="Y142" s="33">
        <f>IF(Ruimtestaat[[#This Row],[Frequentie weekend]]&gt;0,VALUE(LEFT(X142,1))*Q142,0)</f>
        <v>0</v>
      </c>
      <c r="Z142" s="33">
        <f>IF($Y142&gt;0,VLOOKUP($J142,Ruimtegroepen[],3,FALSE)*VLOOKUP($L142,Vloersoorten[],3,FALSE)*VLOOKUP($X142,Frequenties[],3,FALSE)*VLOOKUP(#REF!,Locaties[],3,FALSE),0)</f>
        <v>0</v>
      </c>
      <c r="AA142" s="33"/>
      <c r="AB142" s="33"/>
      <c r="AC142" s="33">
        <f>Ruimtestaat[[#This Row],[uren / jaar weekend]]*Tariefsopbouw!$D$40</f>
        <v>0</v>
      </c>
      <c r="AD142" s="88">
        <f>Ruimtestaat[[#This Row],[Prest. (m2 /jaar) weekend]]+Ruimtestaat[[#This Row],[Prest. (m2 /jaar) werkdagen]]</f>
        <v>0</v>
      </c>
      <c r="AE142" s="88">
        <f>Ruimtestaat[[#This Row],[uren / jaar weekend]]+Ruimtestaat[[#This Row],[uren / jaar werkdagen]]</f>
        <v>0</v>
      </c>
      <c r="AF142" s="89">
        <f>Ruimtestaat[[#This Row],[kosten / jaar weekend]]+Ruimtestaat[[#This Row],[kosten / jaar werkdagen]]</f>
        <v>0</v>
      </c>
    </row>
    <row r="143" spans="1:32" ht="15" customHeight="1">
      <c r="A143" s="213">
        <v>3</v>
      </c>
      <c r="B143" s="200" t="str">
        <f>VLOOKUP(Ruimtestaat[[#This Row],[Code]],Locaties[#All],2,FALSE)</f>
        <v>Karel de Grote College</v>
      </c>
      <c r="C143" s="240" t="str">
        <f>VLOOKUP(Ruimtestaat[[#This Row],[Code]],Locaties[#All],4,FALSE)</f>
        <v>Wilhelminasingel 15</v>
      </c>
      <c r="D143" s="240" t="str">
        <f>VLOOKUP(Ruimtestaat[[#This Row],[Code]],Locaties[#All],5,FALSE)</f>
        <v>6524 AJ</v>
      </c>
      <c r="E143" s="240" t="str">
        <f>VLOOKUP(Ruimtestaat[[#This Row],[Code]],Locaties[#All],6,FALSE)</f>
        <v>Nijmegen</v>
      </c>
      <c r="F143" s="241" t="s">
        <v>845</v>
      </c>
      <c r="G143" s="200">
        <v>-1</v>
      </c>
      <c r="H143" s="200" t="s">
        <v>623</v>
      </c>
      <c r="I143" s="241" t="s">
        <v>635</v>
      </c>
      <c r="J143" s="240">
        <v>21</v>
      </c>
      <c r="K143" s="256" t="str">
        <f>VLOOKUP(Ruimtestaat[[#This Row],[Ruimte code]],Ruimtegroepen[#All],2,FALSE)</f>
        <v>Niet in onderhoud</v>
      </c>
      <c r="L143" s="213" t="s">
        <v>110</v>
      </c>
      <c r="M143" s="268" t="s">
        <v>644</v>
      </c>
      <c r="N143" s="269"/>
      <c r="O143" s="212">
        <v>11</v>
      </c>
      <c r="P143" s="240" t="str">
        <f>VLOOKUP(Ruimtestaat[[#This Row],[Ruimte code]],Ruimtegroepen[#All],4,FALSE)</f>
        <v>Niet in onderhoud</v>
      </c>
      <c r="Q143" s="213">
        <v>0</v>
      </c>
      <c r="R143" s="213"/>
      <c r="S143" s="213">
        <f>IF(Q143&gt;0,IF(RIGHT(Ruimtestaat[[#This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3" s="213">
        <f>IF(S143&gt;0,VLOOKUP($J143,Ruimtegroepen[],3,FALSE)*VLOOKUP($L143,Vloersoorten[],3,FALSE)*VLOOKUP($R143,Frequenties[],3,FALSE)*VLOOKUP($A143,Locaties[],3,FALSE),0)</f>
        <v>0</v>
      </c>
      <c r="U143" s="213">
        <f>Ruimtestaat[[#This Row],[Uitvoeringen werkdagen]]*Ruimtestaat[[#This Row],[Oppervlak (netto)]]</f>
        <v>0</v>
      </c>
      <c r="V143" s="253">
        <f>IF(T143&gt;0,Ruimtestaat[[#This Row],[Prest. (m2 /jaar) werkdagen]]/Ruimtestaat[[#This Row],[Norm (m2/uur) werkdagen]],0)</f>
        <v>0</v>
      </c>
      <c r="W143" s="254">
        <f>Ruimtestaat[[#This Row],[uren / jaar werkdagen]]*Tariefsopbouw!$D$38</f>
        <v>0</v>
      </c>
      <c r="X143" s="33"/>
      <c r="Y143" s="33">
        <f>IF(Ruimtestaat[[#This Row],[Frequentie weekend]]&gt;0,VALUE(LEFT(X143,1))*Q143,0)</f>
        <v>0</v>
      </c>
      <c r="Z143" s="33">
        <f>IF($Y143&gt;0,VLOOKUP($J143,Ruimtegroepen[],3,FALSE)*VLOOKUP($L143,Vloersoorten[],3,FALSE)*VLOOKUP($X143,Frequenties[],3,FALSE)*VLOOKUP(#REF!,Locaties[],3,FALSE),0)</f>
        <v>0</v>
      </c>
      <c r="AA143" s="33"/>
      <c r="AB143" s="33"/>
      <c r="AC143" s="33">
        <f>Ruimtestaat[[#This Row],[uren / jaar weekend]]*Tariefsopbouw!$D$40</f>
        <v>0</v>
      </c>
      <c r="AD143" s="88">
        <f>Ruimtestaat[[#This Row],[Prest. (m2 /jaar) weekend]]+Ruimtestaat[[#This Row],[Prest. (m2 /jaar) werkdagen]]</f>
        <v>0</v>
      </c>
      <c r="AE143" s="88">
        <f>Ruimtestaat[[#This Row],[uren / jaar weekend]]+Ruimtestaat[[#This Row],[uren / jaar werkdagen]]</f>
        <v>0</v>
      </c>
      <c r="AF143" s="89">
        <f>Ruimtestaat[[#This Row],[kosten / jaar weekend]]+Ruimtestaat[[#This Row],[kosten / jaar werkdagen]]</f>
        <v>0</v>
      </c>
    </row>
    <row r="144" spans="1:32" ht="15" customHeight="1">
      <c r="A144" s="213">
        <v>3</v>
      </c>
      <c r="B144" s="200" t="str">
        <f>VLOOKUP(Ruimtestaat[[#This Row],[Code]],Locaties[#All],2,FALSE)</f>
        <v>Karel de Grote College</v>
      </c>
      <c r="C144" s="240" t="str">
        <f>VLOOKUP(Ruimtestaat[[#This Row],[Code]],Locaties[#All],4,FALSE)</f>
        <v>Wilhelminasingel 15</v>
      </c>
      <c r="D144" s="240" t="str">
        <f>VLOOKUP(Ruimtestaat[[#This Row],[Code]],Locaties[#All],5,FALSE)</f>
        <v>6524 AJ</v>
      </c>
      <c r="E144" s="240" t="str">
        <f>VLOOKUP(Ruimtestaat[[#This Row],[Code]],Locaties[#All],6,FALSE)</f>
        <v>Nijmegen</v>
      </c>
      <c r="F144" s="241" t="s">
        <v>845</v>
      </c>
      <c r="G144" s="200">
        <v>-1</v>
      </c>
      <c r="H144" s="200" t="s">
        <v>624</v>
      </c>
      <c r="I144" s="241" t="s">
        <v>636</v>
      </c>
      <c r="J144" s="240">
        <v>21</v>
      </c>
      <c r="K144" s="256" t="str">
        <f>VLOOKUP(Ruimtestaat[[#This Row],[Ruimte code]],Ruimtegroepen[#All],2,FALSE)</f>
        <v>Niet in onderhoud</v>
      </c>
      <c r="L144" s="213" t="s">
        <v>110</v>
      </c>
      <c r="M144" s="268" t="s">
        <v>644</v>
      </c>
      <c r="N144" s="269"/>
      <c r="O144" s="212">
        <v>6</v>
      </c>
      <c r="P144" s="240" t="str">
        <f>VLOOKUP(Ruimtestaat[[#This Row],[Ruimte code]],Ruimtegroepen[#All],4,FALSE)</f>
        <v>Niet in onderhoud</v>
      </c>
      <c r="Q144" s="213">
        <v>0</v>
      </c>
      <c r="R144" s="213"/>
      <c r="S144" s="213">
        <f>IF(Q144&gt;0,IF(RIGHT(Ruimtestaat[[#This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4" s="213">
        <f>IF(S144&gt;0,VLOOKUP($J144,Ruimtegroepen[],3,FALSE)*VLOOKUP($L144,Vloersoorten[],3,FALSE)*VLOOKUP($R144,Frequenties[],3,FALSE)*VLOOKUP($A144,Locaties[],3,FALSE),0)</f>
        <v>0</v>
      </c>
      <c r="U144" s="213">
        <f>Ruimtestaat[[#This Row],[Uitvoeringen werkdagen]]*Ruimtestaat[[#This Row],[Oppervlak (netto)]]</f>
        <v>0</v>
      </c>
      <c r="V144" s="253">
        <f>IF(T144&gt;0,Ruimtestaat[[#This Row],[Prest. (m2 /jaar) werkdagen]]/Ruimtestaat[[#This Row],[Norm (m2/uur) werkdagen]],0)</f>
        <v>0</v>
      </c>
      <c r="W144" s="254">
        <f>Ruimtestaat[[#This Row],[uren / jaar werkdagen]]*Tariefsopbouw!$D$38</f>
        <v>0</v>
      </c>
      <c r="X144" s="33"/>
      <c r="Y144" s="33">
        <f>IF(Ruimtestaat[[#This Row],[Frequentie weekend]]&gt;0,VALUE(LEFT(X144,1))*Q144,0)</f>
        <v>0</v>
      </c>
      <c r="Z144" s="33">
        <f>IF($Y144&gt;0,VLOOKUP($J144,Ruimtegroepen[],3,FALSE)*VLOOKUP($L144,Vloersoorten[],3,FALSE)*VLOOKUP($X144,Frequenties[],3,FALSE)*VLOOKUP(#REF!,Locaties[],3,FALSE),0)</f>
        <v>0</v>
      </c>
      <c r="AA144" s="33"/>
      <c r="AB144" s="33"/>
      <c r="AC144" s="33">
        <f>Ruimtestaat[[#This Row],[uren / jaar weekend]]*Tariefsopbouw!$D$40</f>
        <v>0</v>
      </c>
      <c r="AD144" s="88">
        <f>Ruimtestaat[[#This Row],[Prest. (m2 /jaar) weekend]]+Ruimtestaat[[#This Row],[Prest. (m2 /jaar) werkdagen]]</f>
        <v>0</v>
      </c>
      <c r="AE144" s="88">
        <f>Ruimtestaat[[#This Row],[uren / jaar weekend]]+Ruimtestaat[[#This Row],[uren / jaar werkdagen]]</f>
        <v>0</v>
      </c>
      <c r="AF144" s="89">
        <f>Ruimtestaat[[#This Row],[kosten / jaar weekend]]+Ruimtestaat[[#This Row],[kosten / jaar werkdagen]]</f>
        <v>0</v>
      </c>
    </row>
    <row r="145" spans="1:32" ht="15" customHeight="1">
      <c r="A145" s="213">
        <v>3</v>
      </c>
      <c r="B145" s="200" t="str">
        <f>VLOOKUP(Ruimtestaat[[#This Row],[Code]],Locaties[#All],2,FALSE)</f>
        <v>Karel de Grote College</v>
      </c>
      <c r="C145" s="240" t="str">
        <f>VLOOKUP(Ruimtestaat[[#This Row],[Code]],Locaties[#All],4,FALSE)</f>
        <v>Wilhelminasingel 15</v>
      </c>
      <c r="D145" s="240" t="str">
        <f>VLOOKUP(Ruimtestaat[[#This Row],[Code]],Locaties[#All],5,FALSE)</f>
        <v>6524 AJ</v>
      </c>
      <c r="E145" s="240" t="str">
        <f>VLOOKUP(Ruimtestaat[[#This Row],[Code]],Locaties[#All],6,FALSE)</f>
        <v>Nijmegen</v>
      </c>
      <c r="F145" s="241" t="s">
        <v>845</v>
      </c>
      <c r="G145" s="200">
        <v>-1</v>
      </c>
      <c r="H145" s="200" t="s">
        <v>625</v>
      </c>
      <c r="I145" s="241" t="s">
        <v>637</v>
      </c>
      <c r="J145" s="240">
        <v>21</v>
      </c>
      <c r="K145" s="256" t="str">
        <f>VLOOKUP(Ruimtestaat[[#This Row],[Ruimte code]],Ruimtegroepen[#All],2,FALSE)</f>
        <v>Niet in onderhoud</v>
      </c>
      <c r="L145" s="240" t="s">
        <v>111</v>
      </c>
      <c r="M145" s="268" t="s">
        <v>643</v>
      </c>
      <c r="N145" s="269"/>
      <c r="O145" s="212">
        <v>12</v>
      </c>
      <c r="P145" s="240" t="str">
        <f>VLOOKUP(Ruimtestaat[[#This Row],[Ruimte code]],Ruimtegroepen[#All],4,FALSE)</f>
        <v>Niet in onderhoud</v>
      </c>
      <c r="Q145" s="213"/>
      <c r="R145" s="213"/>
      <c r="S145" s="213">
        <f>IF(Q145&gt;0,IF(RIGHT(Ruimtestaat[[#This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5" s="213">
        <f>IF(S145&gt;0,VLOOKUP($J145,Ruimtegroepen[],3,FALSE)*VLOOKUP($L145,Vloersoorten[],3,FALSE)*VLOOKUP($R145,Frequenties[],3,FALSE)*VLOOKUP($A145,Locaties[],3,FALSE),0)</f>
        <v>0</v>
      </c>
      <c r="U145" s="213">
        <f>Ruimtestaat[[#This Row],[Uitvoeringen werkdagen]]*Ruimtestaat[[#This Row],[Oppervlak (netto)]]</f>
        <v>0</v>
      </c>
      <c r="V145" s="253">
        <f>IF(T145&gt;0,Ruimtestaat[[#This Row],[Prest. (m2 /jaar) werkdagen]]/Ruimtestaat[[#This Row],[Norm (m2/uur) werkdagen]],0)</f>
        <v>0</v>
      </c>
      <c r="W145" s="254">
        <f>Ruimtestaat[[#This Row],[uren / jaar werkdagen]]*Tariefsopbouw!$D$38</f>
        <v>0</v>
      </c>
      <c r="X145" s="33"/>
      <c r="Y145" s="33">
        <f>IF(Ruimtestaat[[#This Row],[Frequentie weekend]]&gt;0,VALUE(LEFT(X145,1))*Q145,0)</f>
        <v>0</v>
      </c>
      <c r="Z145" s="33">
        <f>IF($Y145&gt;0,VLOOKUP($J145,Ruimtegroepen[],3,FALSE)*VLOOKUP($L145,Vloersoorten[],3,FALSE)*VLOOKUP($X145,Frequenties[],3,FALSE)*VLOOKUP(#REF!,Locaties[],3,FALSE),0)</f>
        <v>0</v>
      </c>
      <c r="AA145" s="33"/>
      <c r="AB145" s="33"/>
      <c r="AC145" s="33">
        <f>Ruimtestaat[[#This Row],[uren / jaar weekend]]*Tariefsopbouw!$D$40</f>
        <v>0</v>
      </c>
      <c r="AD145" s="88">
        <f>Ruimtestaat[[#This Row],[Prest. (m2 /jaar) weekend]]+Ruimtestaat[[#This Row],[Prest. (m2 /jaar) werkdagen]]</f>
        <v>0</v>
      </c>
      <c r="AE145" s="88">
        <f>Ruimtestaat[[#This Row],[uren / jaar weekend]]+Ruimtestaat[[#This Row],[uren / jaar werkdagen]]</f>
        <v>0</v>
      </c>
      <c r="AF145" s="89">
        <f>Ruimtestaat[[#This Row],[kosten / jaar weekend]]+Ruimtestaat[[#This Row],[kosten / jaar werkdagen]]</f>
        <v>0</v>
      </c>
    </row>
    <row r="146" spans="1:32" ht="15" customHeight="1">
      <c r="A146" s="213">
        <v>3</v>
      </c>
      <c r="B146" s="200" t="str">
        <f>VLOOKUP(Ruimtestaat[[#This Row],[Code]],Locaties[#All],2,FALSE)</f>
        <v>Karel de Grote College</v>
      </c>
      <c r="C146" s="240" t="str">
        <f>VLOOKUP(Ruimtestaat[[#This Row],[Code]],Locaties[#All],4,FALSE)</f>
        <v>Wilhelminasingel 15</v>
      </c>
      <c r="D146" s="240" t="str">
        <f>VLOOKUP(Ruimtestaat[[#This Row],[Code]],Locaties[#All],5,FALSE)</f>
        <v>6524 AJ</v>
      </c>
      <c r="E146" s="240" t="str">
        <f>VLOOKUP(Ruimtestaat[[#This Row],[Code]],Locaties[#All],6,FALSE)</f>
        <v>Nijmegen</v>
      </c>
      <c r="F146" s="241" t="s">
        <v>845</v>
      </c>
      <c r="G146" s="200">
        <v>-1</v>
      </c>
      <c r="H146" s="200" t="s">
        <v>626</v>
      </c>
      <c r="I146" s="241" t="s">
        <v>638</v>
      </c>
      <c r="J146" s="213">
        <v>6</v>
      </c>
      <c r="K146" s="256" t="str">
        <f>VLOOKUP(Ruimtestaat[[#This Row],[Ruimte code]],Ruimtegroepen[#All],2,FALSE)</f>
        <v>Gangen/hallen</v>
      </c>
      <c r="L146" s="213" t="s">
        <v>110</v>
      </c>
      <c r="M146" s="268" t="s">
        <v>644</v>
      </c>
      <c r="N146" s="269">
        <v>6</v>
      </c>
      <c r="O146" s="212"/>
      <c r="P146" s="240" t="str">
        <f>VLOOKUP(Ruimtestaat[[#This Row],[Ruimte code]],Ruimtegroepen[#All],4,FALSE)</f>
        <v>V  (Verkeersruimte)</v>
      </c>
      <c r="Q146" s="213">
        <v>40</v>
      </c>
      <c r="R146" s="213" t="s">
        <v>2</v>
      </c>
      <c r="S146" s="213">
        <f>IF(Q146&gt;0,IF(RIGHT(Ruimtestaat[[#This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46" s="213">
        <f>IF(S146&gt;0,VLOOKUP($J146,Ruimtegroepen[],3,FALSE)*VLOOKUP($L146,Vloersoorten[],3,FALSE)*VLOOKUP($R146,Frequenties[],3,FALSE)*VLOOKUP($A146,Locaties[],3,FALSE),0)</f>
        <v>0</v>
      </c>
      <c r="U146" s="213">
        <f>Ruimtestaat[[#This Row],[Uitvoeringen werkdagen]]*Ruimtestaat[[#This Row],[Oppervlak (netto)]]</f>
        <v>1200</v>
      </c>
      <c r="V146" s="253">
        <f>IF(T146&gt;0,Ruimtestaat[[#This Row],[Prest. (m2 /jaar) werkdagen]]/Ruimtestaat[[#This Row],[Norm (m2/uur) werkdagen]],0)</f>
        <v>0</v>
      </c>
      <c r="W146" s="254">
        <f>Ruimtestaat[[#This Row],[uren / jaar werkdagen]]*Tariefsopbouw!$D$38</f>
        <v>0</v>
      </c>
      <c r="X146" s="33"/>
      <c r="Y146" s="33">
        <f>IF(Ruimtestaat[[#This Row],[Frequentie weekend]]&gt;0,VALUE(LEFT(X146,1))*Q146,0)</f>
        <v>0</v>
      </c>
      <c r="Z146" s="33">
        <f>IF($Y146&gt;0,VLOOKUP($J146,Ruimtegroepen[],3,FALSE)*VLOOKUP($L146,Vloersoorten[],3,FALSE)*VLOOKUP($X146,Frequenties[],3,FALSE)*VLOOKUP(#REF!,Locaties[],3,FALSE),0)</f>
        <v>0</v>
      </c>
      <c r="AA146" s="33"/>
      <c r="AB146" s="33"/>
      <c r="AC146" s="33">
        <f>Ruimtestaat[[#This Row],[uren / jaar weekend]]*Tariefsopbouw!$D$40</f>
        <v>0</v>
      </c>
      <c r="AD146" s="88">
        <f>Ruimtestaat[[#This Row],[Prest. (m2 /jaar) weekend]]+Ruimtestaat[[#This Row],[Prest. (m2 /jaar) werkdagen]]</f>
        <v>1200</v>
      </c>
      <c r="AE146" s="88">
        <f>Ruimtestaat[[#This Row],[uren / jaar weekend]]+Ruimtestaat[[#This Row],[uren / jaar werkdagen]]</f>
        <v>0</v>
      </c>
      <c r="AF146" s="89">
        <f>Ruimtestaat[[#This Row],[kosten / jaar weekend]]+Ruimtestaat[[#This Row],[kosten / jaar werkdagen]]</f>
        <v>0</v>
      </c>
    </row>
    <row r="147" spans="1:32" ht="15" customHeight="1">
      <c r="A147" s="213">
        <v>3</v>
      </c>
      <c r="B147" s="200" t="str">
        <f>VLOOKUP(Ruimtestaat[[#This Row],[Code]],Locaties[#All],2,FALSE)</f>
        <v>Karel de Grote College</v>
      </c>
      <c r="C147" s="240" t="str">
        <f>VLOOKUP(Ruimtestaat[[#This Row],[Code]],Locaties[#All],4,FALSE)</f>
        <v>Wilhelminasingel 15</v>
      </c>
      <c r="D147" s="240" t="str">
        <f>VLOOKUP(Ruimtestaat[[#This Row],[Code]],Locaties[#All],5,FALSE)</f>
        <v>6524 AJ</v>
      </c>
      <c r="E147" s="240" t="str">
        <f>VLOOKUP(Ruimtestaat[[#This Row],[Code]],Locaties[#All],6,FALSE)</f>
        <v>Nijmegen</v>
      </c>
      <c r="F147" s="241" t="s">
        <v>845</v>
      </c>
      <c r="G147" s="200">
        <v>-1</v>
      </c>
      <c r="H147" s="200" t="s">
        <v>627</v>
      </c>
      <c r="I147" s="241" t="s">
        <v>639</v>
      </c>
      <c r="J147" s="200">
        <v>11</v>
      </c>
      <c r="K147" s="256" t="str">
        <f>VLOOKUP(Ruimtestaat[[#This Row],[Ruimte code]],Ruimtegroepen[#All],2,FALSE)</f>
        <v>Handvaardigheidlokaal</v>
      </c>
      <c r="L147" s="240" t="s">
        <v>112</v>
      </c>
      <c r="M147" s="268" t="s">
        <v>645</v>
      </c>
      <c r="N147" s="269">
        <v>124</v>
      </c>
      <c r="O147" s="212"/>
      <c r="P147" s="240" t="str">
        <f>VLOOKUP(Ruimtestaat[[#This Row],[Ruimte code]],Ruimtegroepen[#All],4,FALSE)</f>
        <v>L  (Lesruimte)</v>
      </c>
      <c r="Q147" s="213">
        <v>40</v>
      </c>
      <c r="R147" s="213" t="s">
        <v>17</v>
      </c>
      <c r="S147" s="213">
        <f>IF(Q147&gt;0,IF(RIGHT(Ruimtestaat[[#This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47" s="213">
        <f>IF(S147&gt;0,VLOOKUP($J147,Ruimtegroepen[],3,FALSE)*VLOOKUP($L147,Vloersoorten[],3,FALSE)*VLOOKUP($R147,Frequenties[],3,FALSE)*VLOOKUP($A147,Locaties[],3,FALSE),0)</f>
        <v>0</v>
      </c>
      <c r="U147" s="213">
        <f>Ruimtestaat[[#This Row],[Uitvoeringen werkdagen]]*Ruimtestaat[[#This Row],[Oppervlak (netto)]]</f>
        <v>9920</v>
      </c>
      <c r="V147" s="253">
        <f>IF(T147&gt;0,Ruimtestaat[[#This Row],[Prest. (m2 /jaar) werkdagen]]/Ruimtestaat[[#This Row],[Norm (m2/uur) werkdagen]],0)</f>
        <v>0</v>
      </c>
      <c r="W147" s="254">
        <f>Ruimtestaat[[#This Row],[uren / jaar werkdagen]]*Tariefsopbouw!$D$38</f>
        <v>0</v>
      </c>
      <c r="X147" s="33"/>
      <c r="Y147" s="33">
        <f>IF(Ruimtestaat[[#This Row],[Frequentie weekend]]&gt;0,VALUE(LEFT(X147,1))*Q147,0)</f>
        <v>0</v>
      </c>
      <c r="Z147" s="33">
        <f>IF($Y147&gt;0,VLOOKUP($J147,Ruimtegroepen[],3,FALSE)*VLOOKUP($L147,Vloersoorten[],3,FALSE)*VLOOKUP($X147,Frequenties[],3,FALSE)*VLOOKUP(#REF!,Locaties[],3,FALSE),0)</f>
        <v>0</v>
      </c>
      <c r="AA147" s="33"/>
      <c r="AB147" s="33"/>
      <c r="AC147" s="33">
        <f>Ruimtestaat[[#This Row],[uren / jaar weekend]]*Tariefsopbouw!$D$40</f>
        <v>0</v>
      </c>
      <c r="AD147" s="88">
        <f>Ruimtestaat[[#This Row],[Prest. (m2 /jaar) weekend]]+Ruimtestaat[[#This Row],[Prest. (m2 /jaar) werkdagen]]</f>
        <v>9920</v>
      </c>
      <c r="AE147" s="88">
        <f>Ruimtestaat[[#This Row],[uren / jaar weekend]]+Ruimtestaat[[#This Row],[uren / jaar werkdagen]]</f>
        <v>0</v>
      </c>
      <c r="AF147" s="89">
        <f>Ruimtestaat[[#This Row],[kosten / jaar weekend]]+Ruimtestaat[[#This Row],[kosten / jaar werkdagen]]</f>
        <v>0</v>
      </c>
    </row>
    <row r="148" spans="1:32" ht="15" customHeight="1">
      <c r="A148" s="213">
        <v>3</v>
      </c>
      <c r="B148" s="200" t="str">
        <f>VLOOKUP(Ruimtestaat[[#This Row],[Code]],Locaties[#All],2,FALSE)</f>
        <v>Karel de Grote College</v>
      </c>
      <c r="C148" s="240" t="str">
        <f>VLOOKUP(Ruimtestaat[[#This Row],[Code]],Locaties[#All],4,FALSE)</f>
        <v>Wilhelminasingel 15</v>
      </c>
      <c r="D148" s="240" t="str">
        <f>VLOOKUP(Ruimtestaat[[#This Row],[Code]],Locaties[#All],5,FALSE)</f>
        <v>6524 AJ</v>
      </c>
      <c r="E148" s="240" t="str">
        <f>VLOOKUP(Ruimtestaat[[#This Row],[Code]],Locaties[#All],6,FALSE)</f>
        <v>Nijmegen</v>
      </c>
      <c r="F148" s="241" t="s">
        <v>763</v>
      </c>
      <c r="G148" s="200">
        <v>-1</v>
      </c>
      <c r="H148" s="200" t="s">
        <v>628</v>
      </c>
      <c r="I148" s="241" t="s">
        <v>640</v>
      </c>
      <c r="J148" s="240">
        <v>21</v>
      </c>
      <c r="K148" s="256" t="str">
        <f>VLOOKUP(Ruimtestaat[[#This Row],[Ruimte code]],Ruimtegroepen[#All],2,FALSE)</f>
        <v>Niet in onderhoud</v>
      </c>
      <c r="L148" s="240" t="s">
        <v>111</v>
      </c>
      <c r="M148" s="268" t="s">
        <v>643</v>
      </c>
      <c r="N148" s="269"/>
      <c r="O148" s="212">
        <v>50</v>
      </c>
      <c r="P148" s="240" t="str">
        <f>VLOOKUP(Ruimtestaat[[#This Row],[Ruimte code]],Ruimtegroepen[#All],4,FALSE)</f>
        <v>Niet in onderhoud</v>
      </c>
      <c r="Q148" s="213"/>
      <c r="R148" s="213"/>
      <c r="S148" s="213">
        <f>IF(Q148&gt;0,IF(RIGHT(Ruimtestaat[[#This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8" s="213">
        <f>IF(S148&gt;0,VLOOKUP($J148,Ruimtegroepen[],3,FALSE)*VLOOKUP($L148,Vloersoorten[],3,FALSE)*VLOOKUP($R148,Frequenties[],3,FALSE)*VLOOKUP($A148,Locaties[],3,FALSE),0)</f>
        <v>0</v>
      </c>
      <c r="U148" s="213">
        <f>Ruimtestaat[[#This Row],[Uitvoeringen werkdagen]]*Ruimtestaat[[#This Row],[Oppervlak (netto)]]</f>
        <v>0</v>
      </c>
      <c r="V148" s="253">
        <f>IF(T148&gt;0,Ruimtestaat[[#This Row],[Prest. (m2 /jaar) werkdagen]]/Ruimtestaat[[#This Row],[Norm (m2/uur) werkdagen]],0)</f>
        <v>0</v>
      </c>
      <c r="W148" s="254">
        <f>Ruimtestaat[[#This Row],[uren / jaar werkdagen]]*Tariefsopbouw!$D$38</f>
        <v>0</v>
      </c>
      <c r="X148" s="33"/>
      <c r="Y148" s="33">
        <f>IF(Ruimtestaat[[#This Row],[Frequentie weekend]]&gt;0,VALUE(LEFT(X148,1))*Q148,0)</f>
        <v>0</v>
      </c>
      <c r="Z148" s="33">
        <f>IF($Y148&gt;0,VLOOKUP($J148,Ruimtegroepen[],3,FALSE)*VLOOKUP($L148,Vloersoorten[],3,FALSE)*VLOOKUP($X148,Frequenties[],3,FALSE)*VLOOKUP(#REF!,Locaties[],3,FALSE),0)</f>
        <v>0</v>
      </c>
      <c r="AA148" s="33"/>
      <c r="AB148" s="33"/>
      <c r="AC148" s="33">
        <f>Ruimtestaat[[#This Row],[uren / jaar weekend]]*Tariefsopbouw!$D$40</f>
        <v>0</v>
      </c>
      <c r="AD148" s="88">
        <f>Ruimtestaat[[#This Row],[Prest. (m2 /jaar) weekend]]+Ruimtestaat[[#This Row],[Prest. (m2 /jaar) werkdagen]]</f>
        <v>0</v>
      </c>
      <c r="AE148" s="88">
        <f>Ruimtestaat[[#This Row],[uren / jaar weekend]]+Ruimtestaat[[#This Row],[uren / jaar werkdagen]]</f>
        <v>0</v>
      </c>
      <c r="AF148" s="89">
        <f>Ruimtestaat[[#This Row],[kosten / jaar weekend]]+Ruimtestaat[[#This Row],[kosten / jaar werkdagen]]</f>
        <v>0</v>
      </c>
    </row>
    <row r="149" spans="1:32" ht="15" customHeight="1">
      <c r="A149" s="213">
        <v>3</v>
      </c>
      <c r="B149" s="200" t="str">
        <f>VLOOKUP(Ruimtestaat[[#This Row],[Code]],Locaties[#All],2,FALSE)</f>
        <v>Karel de Grote College</v>
      </c>
      <c r="C149" s="240" t="str">
        <f>VLOOKUP(Ruimtestaat[[#This Row],[Code]],Locaties[#All],4,FALSE)</f>
        <v>Wilhelminasingel 15</v>
      </c>
      <c r="D149" s="240" t="str">
        <f>VLOOKUP(Ruimtestaat[[#This Row],[Code]],Locaties[#All],5,FALSE)</f>
        <v>6524 AJ</v>
      </c>
      <c r="E149" s="240" t="str">
        <f>VLOOKUP(Ruimtestaat[[#This Row],[Code]],Locaties[#All],6,FALSE)</f>
        <v>Nijmegen</v>
      </c>
      <c r="F149" s="241" t="s">
        <v>763</v>
      </c>
      <c r="G149" s="200">
        <v>-1</v>
      </c>
      <c r="H149" s="200" t="s">
        <v>629</v>
      </c>
      <c r="I149" s="241" t="s">
        <v>641</v>
      </c>
      <c r="J149" s="240">
        <v>21</v>
      </c>
      <c r="K149" s="256" t="str">
        <f>VLOOKUP(Ruimtestaat[[#This Row],[Ruimte code]],Ruimtegroepen[#All],2,FALSE)</f>
        <v>Niet in onderhoud</v>
      </c>
      <c r="L149" s="240" t="s">
        <v>111</v>
      </c>
      <c r="M149" s="268" t="s">
        <v>643</v>
      </c>
      <c r="N149" s="269"/>
      <c r="O149" s="212">
        <v>11</v>
      </c>
      <c r="P149" s="240" t="str">
        <f>VLOOKUP(Ruimtestaat[[#This Row],[Ruimte code]],Ruimtegroepen[#All],4,FALSE)</f>
        <v>Niet in onderhoud</v>
      </c>
      <c r="Q149" s="213"/>
      <c r="R149" s="213"/>
      <c r="S149" s="213">
        <f>IF(Q149&gt;0,IF(RIGHT(Ruimtestaat[[#This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49" s="213">
        <f>IF(S149&gt;0,VLOOKUP($J149,Ruimtegroepen[],3,FALSE)*VLOOKUP($L149,Vloersoorten[],3,FALSE)*VLOOKUP($R149,Frequenties[],3,FALSE)*VLOOKUP($A149,Locaties[],3,FALSE),0)</f>
        <v>0</v>
      </c>
      <c r="U149" s="213">
        <f>Ruimtestaat[[#This Row],[Uitvoeringen werkdagen]]*Ruimtestaat[[#This Row],[Oppervlak (netto)]]</f>
        <v>0</v>
      </c>
      <c r="V149" s="253">
        <f>IF(T149&gt;0,Ruimtestaat[[#This Row],[Prest. (m2 /jaar) werkdagen]]/Ruimtestaat[[#This Row],[Norm (m2/uur) werkdagen]],0)</f>
        <v>0</v>
      </c>
      <c r="W149" s="254">
        <f>Ruimtestaat[[#This Row],[uren / jaar werkdagen]]*Tariefsopbouw!$D$38</f>
        <v>0</v>
      </c>
      <c r="X149" s="33"/>
      <c r="Y149" s="33">
        <f>IF(Ruimtestaat[[#This Row],[Frequentie weekend]]&gt;0,VALUE(LEFT(X149,1))*Q149,0)</f>
        <v>0</v>
      </c>
      <c r="Z149" s="33">
        <f>IF($Y149&gt;0,VLOOKUP($J149,Ruimtegroepen[],3,FALSE)*VLOOKUP($L149,Vloersoorten[],3,FALSE)*VLOOKUP($X149,Frequenties[],3,FALSE)*VLOOKUP(#REF!,Locaties[],3,FALSE),0)</f>
        <v>0</v>
      </c>
      <c r="AA149" s="33"/>
      <c r="AB149" s="33"/>
      <c r="AC149" s="33">
        <f>Ruimtestaat[[#This Row],[uren / jaar weekend]]*Tariefsopbouw!$D$40</f>
        <v>0</v>
      </c>
      <c r="AD149" s="88">
        <f>Ruimtestaat[[#This Row],[Prest. (m2 /jaar) weekend]]+Ruimtestaat[[#This Row],[Prest. (m2 /jaar) werkdagen]]</f>
        <v>0</v>
      </c>
      <c r="AE149" s="88">
        <f>Ruimtestaat[[#This Row],[uren / jaar weekend]]+Ruimtestaat[[#This Row],[uren / jaar werkdagen]]</f>
        <v>0</v>
      </c>
      <c r="AF149" s="89">
        <f>Ruimtestaat[[#This Row],[kosten / jaar weekend]]+Ruimtestaat[[#This Row],[kosten / jaar werkdagen]]</f>
        <v>0</v>
      </c>
    </row>
    <row r="150" spans="1:32" ht="15" customHeight="1">
      <c r="A150" s="213">
        <v>3</v>
      </c>
      <c r="B150" s="200" t="str">
        <f>VLOOKUP(Ruimtestaat[[#This Row],[Code]],Locaties[#All],2,FALSE)</f>
        <v>Karel de Grote College</v>
      </c>
      <c r="C150" s="240" t="str">
        <f>VLOOKUP(Ruimtestaat[[#This Row],[Code]],Locaties[#All],4,FALSE)</f>
        <v>Wilhelminasingel 15</v>
      </c>
      <c r="D150" s="240" t="str">
        <f>VLOOKUP(Ruimtestaat[[#This Row],[Code]],Locaties[#All],5,FALSE)</f>
        <v>6524 AJ</v>
      </c>
      <c r="E150" s="240" t="str">
        <f>VLOOKUP(Ruimtestaat[[#This Row],[Code]],Locaties[#All],6,FALSE)</f>
        <v>Nijmegen</v>
      </c>
      <c r="F150" s="241" t="s">
        <v>763</v>
      </c>
      <c r="G150" s="200">
        <v>-1</v>
      </c>
      <c r="H150" s="200" t="s">
        <v>630</v>
      </c>
      <c r="I150" s="241" t="s">
        <v>642</v>
      </c>
      <c r="J150" s="240">
        <v>21</v>
      </c>
      <c r="K150" s="256" t="str">
        <f>VLOOKUP(Ruimtestaat[[#This Row],[Ruimte code]],Ruimtegroepen[#All],2,FALSE)</f>
        <v>Niet in onderhoud</v>
      </c>
      <c r="L150" s="240" t="s">
        <v>111</v>
      </c>
      <c r="M150" s="268" t="s">
        <v>643</v>
      </c>
      <c r="N150" s="269"/>
      <c r="O150" s="212">
        <v>11</v>
      </c>
      <c r="P150" s="240" t="str">
        <f>VLOOKUP(Ruimtestaat[[#This Row],[Ruimte code]],Ruimtegroepen[#All],4,FALSE)</f>
        <v>Niet in onderhoud</v>
      </c>
      <c r="Q150" s="213"/>
      <c r="R150" s="213"/>
      <c r="S150" s="213">
        <f>IF(Q150&gt;0,IF(RIGHT(Ruimtestaat[[#This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50" s="213">
        <f>IF(S150&gt;0,VLOOKUP($J150,Ruimtegroepen[],3,FALSE)*VLOOKUP($L150,Vloersoorten[],3,FALSE)*VLOOKUP($R150,Frequenties[],3,FALSE)*VLOOKUP($A150,Locaties[],3,FALSE),0)</f>
        <v>0</v>
      </c>
      <c r="U150" s="213">
        <f>Ruimtestaat[[#This Row],[Uitvoeringen werkdagen]]*Ruimtestaat[[#This Row],[Oppervlak (netto)]]</f>
        <v>0</v>
      </c>
      <c r="V150" s="253">
        <f>IF(T150&gt;0,Ruimtestaat[[#This Row],[Prest. (m2 /jaar) werkdagen]]/Ruimtestaat[[#This Row],[Norm (m2/uur) werkdagen]],0)</f>
        <v>0</v>
      </c>
      <c r="W150" s="254">
        <f>Ruimtestaat[[#This Row],[uren / jaar werkdagen]]*Tariefsopbouw!$D$38</f>
        <v>0</v>
      </c>
      <c r="X150" s="33"/>
      <c r="Y150" s="33">
        <f>IF(Ruimtestaat[[#This Row],[Frequentie weekend]]&gt;0,VALUE(LEFT(X150,1))*Q150,0)</f>
        <v>0</v>
      </c>
      <c r="Z150" s="33">
        <f>IF($Y150&gt;0,VLOOKUP($J150,Ruimtegroepen[],3,FALSE)*VLOOKUP($L150,Vloersoorten[],3,FALSE)*VLOOKUP($X150,Frequenties[],3,FALSE)*VLOOKUP(#REF!,Locaties[],3,FALSE),0)</f>
        <v>0</v>
      </c>
      <c r="AA150" s="33"/>
      <c r="AB150" s="33"/>
      <c r="AC150" s="33">
        <f>Ruimtestaat[[#This Row],[uren / jaar weekend]]*Tariefsopbouw!$D$40</f>
        <v>0</v>
      </c>
      <c r="AD150" s="88">
        <f>Ruimtestaat[[#This Row],[Prest. (m2 /jaar) weekend]]+Ruimtestaat[[#This Row],[Prest. (m2 /jaar) werkdagen]]</f>
        <v>0</v>
      </c>
      <c r="AE150" s="88">
        <f>Ruimtestaat[[#This Row],[uren / jaar weekend]]+Ruimtestaat[[#This Row],[uren / jaar werkdagen]]</f>
        <v>0</v>
      </c>
      <c r="AF150" s="89">
        <f>Ruimtestaat[[#This Row],[kosten / jaar weekend]]+Ruimtestaat[[#This Row],[kosten / jaar werkdagen]]</f>
        <v>0</v>
      </c>
    </row>
    <row r="151" spans="1:32" ht="15" customHeight="1">
      <c r="A151" s="213">
        <v>3</v>
      </c>
      <c r="B151" s="200" t="str">
        <f>VLOOKUP(Ruimtestaat[[#This Row],[Code]],Locaties[#All],2,FALSE)</f>
        <v>Karel de Grote College</v>
      </c>
      <c r="C151" s="240" t="str">
        <f>VLOOKUP(Ruimtestaat[[#This Row],[Code]],Locaties[#All],4,FALSE)</f>
        <v>Wilhelminasingel 15</v>
      </c>
      <c r="D151" s="240" t="str">
        <f>VLOOKUP(Ruimtestaat[[#This Row],[Code]],Locaties[#All],5,FALSE)</f>
        <v>6524 AJ</v>
      </c>
      <c r="E151" s="240" t="str">
        <f>VLOOKUP(Ruimtestaat[[#This Row],[Code]],Locaties[#All],6,FALSE)</f>
        <v>Nijmegen</v>
      </c>
      <c r="F151" s="241" t="s">
        <v>846</v>
      </c>
      <c r="G151" s="200" t="s">
        <v>646</v>
      </c>
      <c r="H151" s="200" t="s">
        <v>712</v>
      </c>
      <c r="I151" s="241" t="s">
        <v>650</v>
      </c>
      <c r="J151" s="240">
        <v>12</v>
      </c>
      <c r="K151" s="256" t="str">
        <f>VLOOKUP(Ruimtestaat[[#This Row],[Ruimte code]],Ruimtegroepen[#All],2,FALSE)</f>
        <v>kantine</v>
      </c>
      <c r="L151" s="240" t="s">
        <v>762</v>
      </c>
      <c r="M151" s="268" t="s">
        <v>553</v>
      </c>
      <c r="N151" s="269">
        <v>153</v>
      </c>
      <c r="O151" s="212"/>
      <c r="P151" s="240" t="str">
        <f>VLOOKUP(Ruimtestaat[[#This Row],[Ruimte code]],Ruimtegroepen[#All],4,FALSE)</f>
        <v>V  (Verkeersruimte)</v>
      </c>
      <c r="Q151" s="213">
        <v>40</v>
      </c>
      <c r="R151" s="213" t="s">
        <v>2</v>
      </c>
      <c r="S151" s="213">
        <f>IF(Q151&gt;0,IF(RIGHT(Ruimtestaat[[#This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51" s="213">
        <f>IF(S151&gt;0,VLOOKUP($J151,Ruimtegroepen[],3,FALSE)*VLOOKUP($L151,Vloersoorten[],3,FALSE)*VLOOKUP($R151,Frequenties[],3,FALSE)*VLOOKUP($A151,Locaties[],3,FALSE),0)</f>
        <v>0</v>
      </c>
      <c r="U151" s="213">
        <f>Ruimtestaat[[#This Row],[Uitvoeringen werkdagen]]*Ruimtestaat[[#This Row],[Oppervlak (netto)]]</f>
        <v>30600</v>
      </c>
      <c r="V151" s="253">
        <f>IF(T151&gt;0,Ruimtestaat[[#This Row],[Prest. (m2 /jaar) werkdagen]]/Ruimtestaat[[#This Row],[Norm (m2/uur) werkdagen]],0)</f>
        <v>0</v>
      </c>
      <c r="W151" s="254">
        <f>Ruimtestaat[[#This Row],[uren / jaar werkdagen]]*Tariefsopbouw!$D$38</f>
        <v>0</v>
      </c>
      <c r="X151" s="33"/>
      <c r="Y151" s="33">
        <f>IF(Ruimtestaat[[#This Row],[Frequentie weekend]]&gt;0,VALUE(LEFT(X151,1))*Q151,0)</f>
        <v>0</v>
      </c>
      <c r="Z151" s="33">
        <f>IF($Y151&gt;0,VLOOKUP($J151,Ruimtegroepen[],3,FALSE)*VLOOKUP($L151,Vloersoorten[],3,FALSE)*VLOOKUP($X151,Frequenties[],3,FALSE)*VLOOKUP(#REF!,Locaties[],3,FALSE),0)</f>
        <v>0</v>
      </c>
      <c r="AA151" s="33"/>
      <c r="AB151" s="33"/>
      <c r="AC151" s="33">
        <f>Ruimtestaat[[#This Row],[uren / jaar weekend]]*Tariefsopbouw!$D$40</f>
        <v>0</v>
      </c>
      <c r="AD151" s="88">
        <f>Ruimtestaat[[#This Row],[Prest. (m2 /jaar) weekend]]+Ruimtestaat[[#This Row],[Prest. (m2 /jaar) werkdagen]]</f>
        <v>30600</v>
      </c>
      <c r="AE151" s="88">
        <f>Ruimtestaat[[#This Row],[uren / jaar weekend]]+Ruimtestaat[[#This Row],[uren / jaar werkdagen]]</f>
        <v>0</v>
      </c>
      <c r="AF151" s="89">
        <f>Ruimtestaat[[#This Row],[kosten / jaar weekend]]+Ruimtestaat[[#This Row],[kosten / jaar werkdagen]]</f>
        <v>0</v>
      </c>
    </row>
    <row r="152" spans="1:32" ht="15" customHeight="1">
      <c r="A152" s="213">
        <v>3</v>
      </c>
      <c r="B152" s="200" t="str">
        <f>VLOOKUP(Ruimtestaat[[#This Row],[Code]],Locaties[#All],2,FALSE)</f>
        <v>Karel de Grote College</v>
      </c>
      <c r="C152" s="240" t="str">
        <f>VLOOKUP(Ruimtestaat[[#This Row],[Code]],Locaties[#All],4,FALSE)</f>
        <v>Wilhelminasingel 15</v>
      </c>
      <c r="D152" s="240" t="str">
        <f>VLOOKUP(Ruimtestaat[[#This Row],[Code]],Locaties[#All],5,FALSE)</f>
        <v>6524 AJ</v>
      </c>
      <c r="E152" s="240" t="str">
        <f>VLOOKUP(Ruimtestaat[[#This Row],[Code]],Locaties[#All],6,FALSE)</f>
        <v>Nijmegen</v>
      </c>
      <c r="F152" s="241" t="s">
        <v>846</v>
      </c>
      <c r="G152" s="200" t="s">
        <v>646</v>
      </c>
      <c r="H152" s="200" t="s">
        <v>441</v>
      </c>
      <c r="I152" s="241" t="s">
        <v>651</v>
      </c>
      <c r="J152" s="240">
        <v>6</v>
      </c>
      <c r="K152" s="256" t="str">
        <f>VLOOKUP(Ruimtestaat[[#This Row],[Ruimte code]],Ruimtegroepen[#All],2,FALSE)</f>
        <v>Gangen/hallen</v>
      </c>
      <c r="L152" s="240" t="s">
        <v>762</v>
      </c>
      <c r="M152" s="268" t="s">
        <v>553</v>
      </c>
      <c r="N152" s="269">
        <v>65</v>
      </c>
      <c r="O152" s="212"/>
      <c r="P152" s="240" t="str">
        <f>VLOOKUP(Ruimtestaat[[#This Row],[Ruimte code]],Ruimtegroepen[#All],4,FALSE)</f>
        <v>V  (Verkeersruimte)</v>
      </c>
      <c r="Q152" s="213">
        <v>40</v>
      </c>
      <c r="R152" s="213" t="s">
        <v>16</v>
      </c>
      <c r="S152" s="213">
        <f>IF(Q152&gt;0,IF(RIGHT(Ruimtestaat[[#This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T152" s="213">
        <f>IF(S152&gt;0,VLOOKUP($J152,Ruimtegroepen[],3,FALSE)*VLOOKUP($L152,Vloersoorten[],3,FALSE)*VLOOKUP($R152,Frequenties[],3,FALSE)*VLOOKUP($A152,Locaties[],3,FALSE),0)</f>
        <v>0</v>
      </c>
      <c r="U152" s="213">
        <f>Ruimtestaat[[#This Row],[Uitvoeringen werkdagen]]*Ruimtestaat[[#This Row],[Oppervlak (netto)]]</f>
        <v>780</v>
      </c>
      <c r="V152" s="253">
        <f>IF(T152&gt;0,Ruimtestaat[[#This Row],[Prest. (m2 /jaar) werkdagen]]/Ruimtestaat[[#This Row],[Norm (m2/uur) werkdagen]],0)</f>
        <v>0</v>
      </c>
      <c r="W152" s="254">
        <f>Ruimtestaat[[#This Row],[uren / jaar werkdagen]]*Tariefsopbouw!$D$38</f>
        <v>0</v>
      </c>
      <c r="X152" s="33"/>
      <c r="Y152" s="33">
        <f>IF(Ruimtestaat[[#This Row],[Frequentie weekend]]&gt;0,VALUE(LEFT(X152,1))*Q152,0)</f>
        <v>0</v>
      </c>
      <c r="Z152" s="33">
        <f>IF($Y152&gt;0,VLOOKUP($J152,Ruimtegroepen[],3,FALSE)*VLOOKUP($L152,Vloersoorten[],3,FALSE)*VLOOKUP($X152,Frequenties[],3,FALSE)*VLOOKUP(#REF!,Locaties[],3,FALSE),0)</f>
        <v>0</v>
      </c>
      <c r="AA152" s="33"/>
      <c r="AB152" s="33"/>
      <c r="AC152" s="33">
        <f>Ruimtestaat[[#This Row],[uren / jaar weekend]]*Tariefsopbouw!$D$40</f>
        <v>0</v>
      </c>
      <c r="AD152" s="88">
        <f>Ruimtestaat[[#This Row],[Prest. (m2 /jaar) weekend]]+Ruimtestaat[[#This Row],[Prest. (m2 /jaar) werkdagen]]</f>
        <v>780</v>
      </c>
      <c r="AE152" s="88">
        <f>Ruimtestaat[[#This Row],[uren / jaar weekend]]+Ruimtestaat[[#This Row],[uren / jaar werkdagen]]</f>
        <v>0</v>
      </c>
      <c r="AF152" s="89">
        <f>Ruimtestaat[[#This Row],[kosten / jaar weekend]]+Ruimtestaat[[#This Row],[kosten / jaar werkdagen]]</f>
        <v>0</v>
      </c>
    </row>
    <row r="153" spans="1:32" ht="15" customHeight="1">
      <c r="A153" s="213">
        <v>3</v>
      </c>
      <c r="B153" s="200" t="str">
        <f>VLOOKUP(Ruimtestaat[[#This Row],[Code]],Locaties[#All],2,FALSE)</f>
        <v>Karel de Grote College</v>
      </c>
      <c r="C153" s="240" t="str">
        <f>VLOOKUP(Ruimtestaat[[#This Row],[Code]],Locaties[#All],4,FALSE)</f>
        <v>Wilhelminasingel 15</v>
      </c>
      <c r="D153" s="240" t="str">
        <f>VLOOKUP(Ruimtestaat[[#This Row],[Code]],Locaties[#All],5,FALSE)</f>
        <v>6524 AJ</v>
      </c>
      <c r="E153" s="240" t="str">
        <f>VLOOKUP(Ruimtestaat[[#This Row],[Code]],Locaties[#All],6,FALSE)</f>
        <v>Nijmegen</v>
      </c>
      <c r="F153" s="241" t="s">
        <v>846</v>
      </c>
      <c r="G153" s="200" t="s">
        <v>646</v>
      </c>
      <c r="H153" s="200" t="s">
        <v>442</v>
      </c>
      <c r="I153" s="241" t="s">
        <v>652</v>
      </c>
      <c r="J153" s="213">
        <v>6</v>
      </c>
      <c r="K153" s="256" t="str">
        <f>VLOOKUP(Ruimtestaat[[#This Row],[Ruimte code]],Ruimtegroepen[#All],2,FALSE)</f>
        <v>Gangen/hallen</v>
      </c>
      <c r="L153" s="240" t="s">
        <v>111</v>
      </c>
      <c r="M153" s="268" t="s">
        <v>554</v>
      </c>
      <c r="N153" s="269">
        <v>80</v>
      </c>
      <c r="O153" s="212"/>
      <c r="P153" s="240" t="str">
        <f>VLOOKUP(Ruimtestaat[[#This Row],[Ruimte code]],Ruimtegroepen[#All],4,FALSE)</f>
        <v>V  (Verkeersruimte)</v>
      </c>
      <c r="Q153" s="213">
        <v>40</v>
      </c>
      <c r="R153" s="213" t="s">
        <v>2</v>
      </c>
      <c r="S153" s="213">
        <f>IF(Q153&gt;0,IF(RIGHT(Ruimtestaat[[#This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53" s="213">
        <f>IF(S153&gt;0,VLOOKUP($J153,Ruimtegroepen[],3,FALSE)*VLOOKUP($L153,Vloersoorten[],3,FALSE)*VLOOKUP($R153,Frequenties[],3,FALSE)*VLOOKUP($A153,Locaties[],3,FALSE),0)</f>
        <v>0</v>
      </c>
      <c r="U153" s="213">
        <f>Ruimtestaat[[#This Row],[Uitvoeringen werkdagen]]*Ruimtestaat[[#This Row],[Oppervlak (netto)]]</f>
        <v>16000</v>
      </c>
      <c r="V153" s="253">
        <f>IF(T153&gt;0,Ruimtestaat[[#This Row],[Prest. (m2 /jaar) werkdagen]]/Ruimtestaat[[#This Row],[Norm (m2/uur) werkdagen]],0)</f>
        <v>0</v>
      </c>
      <c r="W153" s="254">
        <f>Ruimtestaat[[#This Row],[uren / jaar werkdagen]]*Tariefsopbouw!$D$38</f>
        <v>0</v>
      </c>
      <c r="X153" s="33"/>
      <c r="Y153" s="33">
        <f>IF(Ruimtestaat[[#This Row],[Frequentie weekend]]&gt;0,VALUE(LEFT(X153,1))*Q153,0)</f>
        <v>0</v>
      </c>
      <c r="Z153" s="33">
        <f>IF($Y153&gt;0,VLOOKUP($J153,Ruimtegroepen[],3,FALSE)*VLOOKUP($L153,Vloersoorten[],3,FALSE)*VLOOKUP($X153,Frequenties[],3,FALSE)*VLOOKUP(#REF!,Locaties[],3,FALSE),0)</f>
        <v>0</v>
      </c>
      <c r="AA153" s="33"/>
      <c r="AB153" s="33"/>
      <c r="AC153" s="33">
        <f>Ruimtestaat[[#This Row],[uren / jaar weekend]]*Tariefsopbouw!$D$40</f>
        <v>0</v>
      </c>
      <c r="AD153" s="88">
        <f>Ruimtestaat[[#This Row],[Prest. (m2 /jaar) weekend]]+Ruimtestaat[[#This Row],[Prest. (m2 /jaar) werkdagen]]</f>
        <v>16000</v>
      </c>
      <c r="AE153" s="88">
        <f>Ruimtestaat[[#This Row],[uren / jaar weekend]]+Ruimtestaat[[#This Row],[uren / jaar werkdagen]]</f>
        <v>0</v>
      </c>
      <c r="AF153" s="89">
        <f>Ruimtestaat[[#This Row],[kosten / jaar weekend]]+Ruimtestaat[[#This Row],[kosten / jaar werkdagen]]</f>
        <v>0</v>
      </c>
    </row>
    <row r="154" spans="1:32" ht="15" customHeight="1">
      <c r="A154" s="213">
        <v>3</v>
      </c>
      <c r="B154" s="200" t="str">
        <f>VLOOKUP(Ruimtestaat[[#This Row],[Code]],Locaties[#All],2,FALSE)</f>
        <v>Karel de Grote College</v>
      </c>
      <c r="C154" s="240" t="str">
        <f>VLOOKUP(Ruimtestaat[[#This Row],[Code]],Locaties[#All],4,FALSE)</f>
        <v>Wilhelminasingel 15</v>
      </c>
      <c r="D154" s="240" t="str">
        <f>VLOOKUP(Ruimtestaat[[#This Row],[Code]],Locaties[#All],5,FALSE)</f>
        <v>6524 AJ</v>
      </c>
      <c r="E154" s="240" t="str">
        <f>VLOOKUP(Ruimtestaat[[#This Row],[Code]],Locaties[#All],6,FALSE)</f>
        <v>Nijmegen</v>
      </c>
      <c r="F154" s="241" t="s">
        <v>846</v>
      </c>
      <c r="G154" s="200" t="s">
        <v>646</v>
      </c>
      <c r="H154" s="200" t="s">
        <v>443</v>
      </c>
      <c r="I154" s="241" t="s">
        <v>653</v>
      </c>
      <c r="J154" s="240">
        <v>21</v>
      </c>
      <c r="K154" s="256" t="str">
        <f>VLOOKUP(Ruimtestaat[[#This Row],[Ruimte code]],Ruimtegroepen[#All],2,FALSE)</f>
        <v>Niet in onderhoud</v>
      </c>
      <c r="L154" s="240" t="s">
        <v>111</v>
      </c>
      <c r="M154" s="268" t="s">
        <v>643</v>
      </c>
      <c r="N154" s="269"/>
      <c r="O154" s="212">
        <v>6</v>
      </c>
      <c r="P154" s="240" t="str">
        <f>VLOOKUP(Ruimtestaat[[#This Row],[Ruimte code]],Ruimtegroepen[#All],4,FALSE)</f>
        <v>Niet in onderhoud</v>
      </c>
      <c r="Q154" s="213"/>
      <c r="R154" s="213"/>
      <c r="S154" s="213">
        <f>IF(Q154&gt;0,IF(RIGHT(Ruimtestaat[[#This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54" s="213">
        <f>IF(S154&gt;0,VLOOKUP($J154,Ruimtegroepen[],3,FALSE)*VLOOKUP($L154,Vloersoorten[],3,FALSE)*VLOOKUP($R154,Frequenties[],3,FALSE)*VLOOKUP($A154,Locaties[],3,FALSE),0)</f>
        <v>0</v>
      </c>
      <c r="U154" s="213">
        <f>Ruimtestaat[[#This Row],[Uitvoeringen werkdagen]]*Ruimtestaat[[#This Row],[Oppervlak (netto)]]</f>
        <v>0</v>
      </c>
      <c r="V154" s="253">
        <f>IF(T154&gt;0,Ruimtestaat[[#This Row],[Prest. (m2 /jaar) werkdagen]]/Ruimtestaat[[#This Row],[Norm (m2/uur) werkdagen]],0)</f>
        <v>0</v>
      </c>
      <c r="W154" s="254">
        <f>Ruimtestaat[[#This Row],[uren / jaar werkdagen]]*Tariefsopbouw!$D$38</f>
        <v>0</v>
      </c>
      <c r="X154" s="33"/>
      <c r="Y154" s="33">
        <f>IF(Ruimtestaat[[#This Row],[Frequentie weekend]]&gt;0,VALUE(LEFT(X154,1))*Q154,0)</f>
        <v>0</v>
      </c>
      <c r="Z154" s="33">
        <f>IF($Y154&gt;0,VLOOKUP($J154,Ruimtegroepen[],3,FALSE)*VLOOKUP($L154,Vloersoorten[],3,FALSE)*VLOOKUP($X154,Frequenties[],3,FALSE)*VLOOKUP(#REF!,Locaties[],3,FALSE),0)</f>
        <v>0</v>
      </c>
      <c r="AA154" s="33"/>
      <c r="AB154" s="33"/>
      <c r="AC154" s="33">
        <f>Ruimtestaat[[#This Row],[uren / jaar weekend]]*Tariefsopbouw!$D$40</f>
        <v>0</v>
      </c>
      <c r="AD154" s="88">
        <f>Ruimtestaat[[#This Row],[Prest. (m2 /jaar) weekend]]+Ruimtestaat[[#This Row],[Prest. (m2 /jaar) werkdagen]]</f>
        <v>0</v>
      </c>
      <c r="AE154" s="88">
        <f>Ruimtestaat[[#This Row],[uren / jaar weekend]]+Ruimtestaat[[#This Row],[uren / jaar werkdagen]]</f>
        <v>0</v>
      </c>
      <c r="AF154" s="89">
        <f>Ruimtestaat[[#This Row],[kosten / jaar weekend]]+Ruimtestaat[[#This Row],[kosten / jaar werkdagen]]</f>
        <v>0</v>
      </c>
    </row>
    <row r="155" spans="1:32" ht="15" customHeight="1">
      <c r="A155" s="213">
        <v>3</v>
      </c>
      <c r="B155" s="200" t="str">
        <f>VLOOKUP(Ruimtestaat[[#This Row],[Code]],Locaties[#All],2,FALSE)</f>
        <v>Karel de Grote College</v>
      </c>
      <c r="C155" s="240" t="str">
        <f>VLOOKUP(Ruimtestaat[[#This Row],[Code]],Locaties[#All],4,FALSE)</f>
        <v>Wilhelminasingel 15</v>
      </c>
      <c r="D155" s="240" t="str">
        <f>VLOOKUP(Ruimtestaat[[#This Row],[Code]],Locaties[#All],5,FALSE)</f>
        <v>6524 AJ</v>
      </c>
      <c r="E155" s="240" t="str">
        <f>VLOOKUP(Ruimtestaat[[#This Row],[Code]],Locaties[#All],6,FALSE)</f>
        <v>Nijmegen</v>
      </c>
      <c r="F155" s="241" t="s">
        <v>846</v>
      </c>
      <c r="G155" s="200" t="s">
        <v>646</v>
      </c>
      <c r="H155" s="200" t="s">
        <v>444</v>
      </c>
      <c r="I155" s="241" t="s">
        <v>654</v>
      </c>
      <c r="J155" s="240">
        <v>21</v>
      </c>
      <c r="K155" s="256" t="str">
        <f>VLOOKUP(Ruimtestaat[[#This Row],[Ruimte code]],Ruimtegroepen[#All],2,FALSE)</f>
        <v>Niet in onderhoud</v>
      </c>
      <c r="L155" s="240" t="s">
        <v>111</v>
      </c>
      <c r="M155" s="268" t="s">
        <v>764</v>
      </c>
      <c r="N155" s="269"/>
      <c r="O155" s="212">
        <v>7</v>
      </c>
      <c r="P155" s="240" t="str">
        <f>VLOOKUP(Ruimtestaat[[#This Row],[Ruimte code]],Ruimtegroepen[#All],4,FALSE)</f>
        <v>Niet in onderhoud</v>
      </c>
      <c r="Q155" s="213">
        <v>0</v>
      </c>
      <c r="R155" s="213"/>
      <c r="S155" s="213">
        <f>IF(Q155&gt;0,IF(RIGHT(Ruimtestaat[[#This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55" s="213">
        <f>IF(S155&gt;0,VLOOKUP($J155,Ruimtegroepen[],3,FALSE)*VLOOKUP($L155,Vloersoorten[],3,FALSE)*VLOOKUP($R155,Frequenties[],3,FALSE)*VLOOKUP($A155,Locaties[],3,FALSE),0)</f>
        <v>0</v>
      </c>
      <c r="U155" s="213">
        <f>Ruimtestaat[[#This Row],[Uitvoeringen werkdagen]]*Ruimtestaat[[#This Row],[Oppervlak (netto)]]</f>
        <v>0</v>
      </c>
      <c r="V155" s="253">
        <f>IF(T155&gt;0,Ruimtestaat[[#This Row],[Prest. (m2 /jaar) werkdagen]]/Ruimtestaat[[#This Row],[Norm (m2/uur) werkdagen]],0)</f>
        <v>0</v>
      </c>
      <c r="W155" s="254">
        <f>Ruimtestaat[[#This Row],[uren / jaar werkdagen]]*Tariefsopbouw!$D$38</f>
        <v>0</v>
      </c>
      <c r="X155" s="33"/>
      <c r="Y155" s="33">
        <f>IF(Ruimtestaat[[#This Row],[Frequentie weekend]]&gt;0,VALUE(LEFT(X155,1))*Q155,0)</f>
        <v>0</v>
      </c>
      <c r="Z155" s="33">
        <f>IF($Y155&gt;0,VLOOKUP($J155,Ruimtegroepen[],3,FALSE)*VLOOKUP($L155,Vloersoorten[],3,FALSE)*VLOOKUP($X155,Frequenties[],3,FALSE)*VLOOKUP(#REF!,Locaties[],3,FALSE),0)</f>
        <v>0</v>
      </c>
      <c r="AA155" s="33"/>
      <c r="AB155" s="33"/>
      <c r="AC155" s="33">
        <f>Ruimtestaat[[#This Row],[uren / jaar weekend]]*Tariefsopbouw!$D$40</f>
        <v>0</v>
      </c>
      <c r="AD155" s="88">
        <f>Ruimtestaat[[#This Row],[Prest. (m2 /jaar) weekend]]+Ruimtestaat[[#This Row],[Prest. (m2 /jaar) werkdagen]]</f>
        <v>0</v>
      </c>
      <c r="AE155" s="88">
        <f>Ruimtestaat[[#This Row],[uren / jaar weekend]]+Ruimtestaat[[#This Row],[uren / jaar werkdagen]]</f>
        <v>0</v>
      </c>
      <c r="AF155" s="89">
        <f>Ruimtestaat[[#This Row],[kosten / jaar weekend]]+Ruimtestaat[[#This Row],[kosten / jaar werkdagen]]</f>
        <v>0</v>
      </c>
    </row>
    <row r="156" spans="1:32" ht="15" customHeight="1">
      <c r="A156" s="213">
        <v>3</v>
      </c>
      <c r="B156" s="200" t="str">
        <f>VLOOKUP(Ruimtestaat[[#This Row],[Code]],Locaties[#All],2,FALSE)</f>
        <v>Karel de Grote College</v>
      </c>
      <c r="C156" s="240" t="str">
        <f>VLOOKUP(Ruimtestaat[[#This Row],[Code]],Locaties[#All],4,FALSE)</f>
        <v>Wilhelminasingel 15</v>
      </c>
      <c r="D156" s="240" t="str">
        <f>VLOOKUP(Ruimtestaat[[#This Row],[Code]],Locaties[#All],5,FALSE)</f>
        <v>6524 AJ</v>
      </c>
      <c r="E156" s="240" t="str">
        <f>VLOOKUP(Ruimtestaat[[#This Row],[Code]],Locaties[#All],6,FALSE)</f>
        <v>Nijmegen</v>
      </c>
      <c r="F156" s="241" t="s">
        <v>846</v>
      </c>
      <c r="G156" s="200" t="s">
        <v>646</v>
      </c>
      <c r="H156" s="200" t="s">
        <v>445</v>
      </c>
      <c r="I156" s="241" t="s">
        <v>655</v>
      </c>
      <c r="J156" s="240">
        <v>2</v>
      </c>
      <c r="K156" s="256" t="str">
        <f>VLOOKUP(Ruimtestaat[[#This Row],[Ruimte code]],Ruimtegroepen[#All],2,FALSE)</f>
        <v>Kantoren</v>
      </c>
      <c r="L156" s="240" t="s">
        <v>109</v>
      </c>
      <c r="M156" s="268" t="s">
        <v>649</v>
      </c>
      <c r="N156" s="269">
        <v>20</v>
      </c>
      <c r="O156" s="212"/>
      <c r="P156" s="240" t="str">
        <f>VLOOKUP(Ruimtestaat[[#This Row],[Ruimte code]],Ruimtegroepen[#All],4,FALSE)</f>
        <v>B  (Bureauruimte)</v>
      </c>
      <c r="Q156" s="213">
        <v>40</v>
      </c>
      <c r="R156" s="213" t="s">
        <v>17</v>
      </c>
      <c r="S156" s="213">
        <f>IF(Q156&gt;0,IF(RIGHT(Ruimtestaat[[#This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56" s="213">
        <f>IF(S156&gt;0,VLOOKUP($J156,Ruimtegroepen[],3,FALSE)*VLOOKUP($L156,Vloersoorten[],3,FALSE)*VLOOKUP($R156,Frequenties[],3,FALSE)*VLOOKUP($A156,Locaties[],3,FALSE),0)</f>
        <v>0</v>
      </c>
      <c r="U156" s="213">
        <f>Ruimtestaat[[#This Row],[Uitvoeringen werkdagen]]*Ruimtestaat[[#This Row],[Oppervlak (netto)]]</f>
        <v>1600</v>
      </c>
      <c r="V156" s="253">
        <f>IF(T156&gt;0,Ruimtestaat[[#This Row],[Prest. (m2 /jaar) werkdagen]]/Ruimtestaat[[#This Row],[Norm (m2/uur) werkdagen]],0)</f>
        <v>0</v>
      </c>
      <c r="W156" s="254">
        <f>Ruimtestaat[[#This Row],[uren / jaar werkdagen]]*Tariefsopbouw!$D$38</f>
        <v>0</v>
      </c>
      <c r="X156" s="33"/>
      <c r="Y156" s="33">
        <f>IF(Ruimtestaat[[#This Row],[Frequentie weekend]]&gt;0,VALUE(LEFT(X156,1))*Q156,0)</f>
        <v>0</v>
      </c>
      <c r="Z156" s="33">
        <f>IF($Y156&gt;0,VLOOKUP($J156,Ruimtegroepen[],3,FALSE)*VLOOKUP($L156,Vloersoorten[],3,FALSE)*VLOOKUP($X156,Frequenties[],3,FALSE)*VLOOKUP(#REF!,Locaties[],3,FALSE),0)</f>
        <v>0</v>
      </c>
      <c r="AA156" s="33"/>
      <c r="AB156" s="33"/>
      <c r="AC156" s="33">
        <f>Ruimtestaat[[#This Row],[uren / jaar weekend]]*Tariefsopbouw!$D$40</f>
        <v>0</v>
      </c>
      <c r="AD156" s="88">
        <f>Ruimtestaat[[#This Row],[Prest. (m2 /jaar) weekend]]+Ruimtestaat[[#This Row],[Prest. (m2 /jaar) werkdagen]]</f>
        <v>1600</v>
      </c>
      <c r="AE156" s="88">
        <f>Ruimtestaat[[#This Row],[uren / jaar weekend]]+Ruimtestaat[[#This Row],[uren / jaar werkdagen]]</f>
        <v>0</v>
      </c>
      <c r="AF156" s="89">
        <f>Ruimtestaat[[#This Row],[kosten / jaar weekend]]+Ruimtestaat[[#This Row],[kosten / jaar werkdagen]]</f>
        <v>0</v>
      </c>
    </row>
    <row r="157" spans="1:32" ht="15" customHeight="1">
      <c r="A157" s="213">
        <v>3</v>
      </c>
      <c r="B157" s="200" t="str">
        <f>VLOOKUP(Ruimtestaat[[#This Row],[Code]],Locaties[#All],2,FALSE)</f>
        <v>Karel de Grote College</v>
      </c>
      <c r="C157" s="240" t="str">
        <f>VLOOKUP(Ruimtestaat[[#This Row],[Code]],Locaties[#All],4,FALSE)</f>
        <v>Wilhelminasingel 15</v>
      </c>
      <c r="D157" s="240" t="str">
        <f>VLOOKUP(Ruimtestaat[[#This Row],[Code]],Locaties[#All],5,FALSE)</f>
        <v>6524 AJ</v>
      </c>
      <c r="E157" s="240" t="str">
        <f>VLOOKUP(Ruimtestaat[[#This Row],[Code]],Locaties[#All],6,FALSE)</f>
        <v>Nijmegen</v>
      </c>
      <c r="F157" s="241" t="s">
        <v>846</v>
      </c>
      <c r="G157" s="200" t="s">
        <v>646</v>
      </c>
      <c r="H157" s="200" t="s">
        <v>446</v>
      </c>
      <c r="I157" s="241" t="s">
        <v>656</v>
      </c>
      <c r="J157" s="240">
        <v>2</v>
      </c>
      <c r="K157" s="256" t="str">
        <f>VLOOKUP(Ruimtestaat[[#This Row],[Ruimte code]],Ruimtegroepen[#All],2,FALSE)</f>
        <v>Kantoren</v>
      </c>
      <c r="L157" s="240" t="s">
        <v>109</v>
      </c>
      <c r="M157" s="268" t="s">
        <v>649</v>
      </c>
      <c r="N157" s="269">
        <v>6</v>
      </c>
      <c r="O157" s="212"/>
      <c r="P157" s="240" t="str">
        <f>VLOOKUP(Ruimtestaat[[#This Row],[Ruimte code]],Ruimtegroepen[#All],4,FALSE)</f>
        <v>B  (Bureauruimte)</v>
      </c>
      <c r="Q157" s="213">
        <v>40</v>
      </c>
      <c r="R157" s="213" t="s">
        <v>17</v>
      </c>
      <c r="S157" s="213">
        <f>IF(Q157&gt;0,IF(RIGHT(Ruimtestaat[[#This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57" s="213">
        <f>IF(S157&gt;0,VLOOKUP($J157,Ruimtegroepen[],3,FALSE)*VLOOKUP($L157,Vloersoorten[],3,FALSE)*VLOOKUP($R157,Frequenties[],3,FALSE)*VLOOKUP($A157,Locaties[],3,FALSE),0)</f>
        <v>0</v>
      </c>
      <c r="U157" s="213">
        <f>Ruimtestaat[[#This Row],[Uitvoeringen werkdagen]]*Ruimtestaat[[#This Row],[Oppervlak (netto)]]</f>
        <v>480</v>
      </c>
      <c r="V157" s="253">
        <f>IF(T157&gt;0,Ruimtestaat[[#This Row],[Prest. (m2 /jaar) werkdagen]]/Ruimtestaat[[#This Row],[Norm (m2/uur) werkdagen]],0)</f>
        <v>0</v>
      </c>
      <c r="W157" s="254">
        <f>Ruimtestaat[[#This Row],[uren / jaar werkdagen]]*Tariefsopbouw!$D$38</f>
        <v>0</v>
      </c>
      <c r="X157" s="33"/>
      <c r="Y157" s="33">
        <f>IF(Ruimtestaat[[#This Row],[Frequentie weekend]]&gt;0,VALUE(LEFT(X157,1))*Q157,0)</f>
        <v>0</v>
      </c>
      <c r="Z157" s="33">
        <f>IF($Y157&gt;0,VLOOKUP($J157,Ruimtegroepen[],3,FALSE)*VLOOKUP($L157,Vloersoorten[],3,FALSE)*VLOOKUP($X157,Frequenties[],3,FALSE)*VLOOKUP(#REF!,Locaties[],3,FALSE),0)</f>
        <v>0</v>
      </c>
      <c r="AA157" s="33"/>
      <c r="AB157" s="33"/>
      <c r="AC157" s="33">
        <f>Ruimtestaat[[#This Row],[uren / jaar weekend]]*Tariefsopbouw!$D$40</f>
        <v>0</v>
      </c>
      <c r="AD157" s="88">
        <f>Ruimtestaat[[#This Row],[Prest. (m2 /jaar) weekend]]+Ruimtestaat[[#This Row],[Prest. (m2 /jaar) werkdagen]]</f>
        <v>480</v>
      </c>
      <c r="AE157" s="88">
        <f>Ruimtestaat[[#This Row],[uren / jaar weekend]]+Ruimtestaat[[#This Row],[uren / jaar werkdagen]]</f>
        <v>0</v>
      </c>
      <c r="AF157" s="89">
        <f>Ruimtestaat[[#This Row],[kosten / jaar weekend]]+Ruimtestaat[[#This Row],[kosten / jaar werkdagen]]</f>
        <v>0</v>
      </c>
    </row>
    <row r="158" spans="1:32" ht="15" customHeight="1">
      <c r="A158" s="213">
        <v>3</v>
      </c>
      <c r="B158" s="200" t="str">
        <f>VLOOKUP(Ruimtestaat[[#This Row],[Code]],Locaties[#All],2,FALSE)</f>
        <v>Karel de Grote College</v>
      </c>
      <c r="C158" s="240" t="str">
        <f>VLOOKUP(Ruimtestaat[[#This Row],[Code]],Locaties[#All],4,FALSE)</f>
        <v>Wilhelminasingel 15</v>
      </c>
      <c r="D158" s="240" t="str">
        <f>VLOOKUP(Ruimtestaat[[#This Row],[Code]],Locaties[#All],5,FALSE)</f>
        <v>6524 AJ</v>
      </c>
      <c r="E158" s="240" t="str">
        <f>VLOOKUP(Ruimtestaat[[#This Row],[Code]],Locaties[#All],6,FALSE)</f>
        <v>Nijmegen</v>
      </c>
      <c r="F158" s="241" t="s">
        <v>846</v>
      </c>
      <c r="G158" s="200" t="s">
        <v>646</v>
      </c>
      <c r="H158" s="200" t="s">
        <v>447</v>
      </c>
      <c r="I158" s="241" t="s">
        <v>657</v>
      </c>
      <c r="J158" s="240">
        <v>21</v>
      </c>
      <c r="K158" s="256" t="str">
        <f>VLOOKUP(Ruimtestaat[[#This Row],[Ruimte code]],Ruimtegroepen[#All],2,FALSE)</f>
        <v>Niet in onderhoud</v>
      </c>
      <c r="L158" s="240" t="s">
        <v>111</v>
      </c>
      <c r="M158" s="268" t="s">
        <v>554</v>
      </c>
      <c r="N158" s="269"/>
      <c r="O158" s="212">
        <v>6</v>
      </c>
      <c r="P158" s="240" t="str">
        <f>VLOOKUP(Ruimtestaat[[#This Row],[Ruimte code]],Ruimtegroepen[#All],4,FALSE)</f>
        <v>Niet in onderhoud</v>
      </c>
      <c r="Q158" s="213">
        <v>40</v>
      </c>
      <c r="R158" s="213" t="s">
        <v>17</v>
      </c>
      <c r="S158" s="213">
        <f>IF(Q158&gt;0,IF(RIGHT(Ruimtestaat[[#This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58" s="213">
        <f>IF(S158&gt;0,VLOOKUP($J158,Ruimtegroepen[],3,FALSE)*VLOOKUP($L158,Vloersoorten[],3,FALSE)*VLOOKUP($R158,Frequenties[],3,FALSE)*VLOOKUP($A158,Locaties[],3,FALSE),0)</f>
        <v>0</v>
      </c>
      <c r="U158" s="213">
        <f>Ruimtestaat[[#This Row],[Uitvoeringen werkdagen]]*Ruimtestaat[[#This Row],[Oppervlak (netto)]]</f>
        <v>0</v>
      </c>
      <c r="V158" s="253">
        <f>IF(T158&gt;0,Ruimtestaat[[#This Row],[Prest. (m2 /jaar) werkdagen]]/Ruimtestaat[[#This Row],[Norm (m2/uur) werkdagen]],0)</f>
        <v>0</v>
      </c>
      <c r="W158" s="254">
        <f>Ruimtestaat[[#This Row],[uren / jaar werkdagen]]*Tariefsopbouw!$D$38</f>
        <v>0</v>
      </c>
      <c r="X158" s="33"/>
      <c r="Y158" s="33">
        <f>IF(Ruimtestaat[[#This Row],[Frequentie weekend]]&gt;0,VALUE(LEFT(X158,1))*Q158,0)</f>
        <v>0</v>
      </c>
      <c r="Z158" s="33">
        <f>IF($Y158&gt;0,VLOOKUP($J158,Ruimtegroepen[],3,FALSE)*VLOOKUP($L158,Vloersoorten[],3,FALSE)*VLOOKUP($X158,Frequenties[],3,FALSE)*VLOOKUP(#REF!,Locaties[],3,FALSE),0)</f>
        <v>0</v>
      </c>
      <c r="AA158" s="33"/>
      <c r="AB158" s="33"/>
      <c r="AC158" s="33">
        <f>Ruimtestaat[[#This Row],[uren / jaar weekend]]*Tariefsopbouw!$D$40</f>
        <v>0</v>
      </c>
      <c r="AD158" s="88">
        <f>Ruimtestaat[[#This Row],[Prest. (m2 /jaar) weekend]]+Ruimtestaat[[#This Row],[Prest. (m2 /jaar) werkdagen]]</f>
        <v>0</v>
      </c>
      <c r="AE158" s="88">
        <f>Ruimtestaat[[#This Row],[uren / jaar weekend]]+Ruimtestaat[[#This Row],[uren / jaar werkdagen]]</f>
        <v>0</v>
      </c>
      <c r="AF158" s="89">
        <f>Ruimtestaat[[#This Row],[kosten / jaar weekend]]+Ruimtestaat[[#This Row],[kosten / jaar werkdagen]]</f>
        <v>0</v>
      </c>
    </row>
    <row r="159" spans="1:32" ht="15" customHeight="1">
      <c r="A159" s="213">
        <v>3</v>
      </c>
      <c r="B159" s="200" t="str">
        <f>VLOOKUP(Ruimtestaat[[#This Row],[Code]],Locaties[#All],2,FALSE)</f>
        <v>Karel de Grote College</v>
      </c>
      <c r="C159" s="240" t="str">
        <f>VLOOKUP(Ruimtestaat[[#This Row],[Code]],Locaties[#All],4,FALSE)</f>
        <v>Wilhelminasingel 15</v>
      </c>
      <c r="D159" s="240" t="str">
        <f>VLOOKUP(Ruimtestaat[[#This Row],[Code]],Locaties[#All],5,FALSE)</f>
        <v>6524 AJ</v>
      </c>
      <c r="E159" s="240" t="str">
        <f>VLOOKUP(Ruimtestaat[[#This Row],[Code]],Locaties[#All],6,FALSE)</f>
        <v>Nijmegen</v>
      </c>
      <c r="F159" s="241" t="s">
        <v>846</v>
      </c>
      <c r="G159" s="200" t="s">
        <v>646</v>
      </c>
      <c r="H159" s="200" t="s">
        <v>448</v>
      </c>
      <c r="I159" s="241" t="s">
        <v>658</v>
      </c>
      <c r="J159" s="200">
        <v>11</v>
      </c>
      <c r="K159" s="256" t="str">
        <f>VLOOKUP(Ruimtestaat[[#This Row],[Ruimte code]],Ruimtegroepen[#All],2,FALSE)</f>
        <v>Handvaardigheidlokaal</v>
      </c>
      <c r="L159" s="240" t="s">
        <v>111</v>
      </c>
      <c r="M159" s="268" t="s">
        <v>554</v>
      </c>
      <c r="N159" s="269">
        <v>83</v>
      </c>
      <c r="O159" s="212"/>
      <c r="P159" s="240" t="str">
        <f>VLOOKUP(Ruimtestaat[[#This Row],[Ruimte code]],Ruimtegroepen[#All],4,FALSE)</f>
        <v>L  (Lesruimte)</v>
      </c>
      <c r="Q159" s="213">
        <v>40</v>
      </c>
      <c r="R159" s="213" t="s">
        <v>2</v>
      </c>
      <c r="S159" s="213">
        <f>IF(Q159&gt;0,IF(RIGHT(Ruimtestaat[[#This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59" s="213">
        <f>IF(S159&gt;0,VLOOKUP($J159,Ruimtegroepen[],3,FALSE)*VLOOKUP($L159,Vloersoorten[],3,FALSE)*VLOOKUP($R159,Frequenties[],3,FALSE)*VLOOKUP($A159,Locaties[],3,FALSE),0)</f>
        <v>0</v>
      </c>
      <c r="U159" s="213">
        <f>Ruimtestaat[[#This Row],[Uitvoeringen werkdagen]]*Ruimtestaat[[#This Row],[Oppervlak (netto)]]</f>
        <v>16600</v>
      </c>
      <c r="V159" s="253">
        <f>IF(T159&gt;0,Ruimtestaat[[#This Row],[Prest. (m2 /jaar) werkdagen]]/Ruimtestaat[[#This Row],[Norm (m2/uur) werkdagen]],0)</f>
        <v>0</v>
      </c>
      <c r="W159" s="254">
        <f>Ruimtestaat[[#This Row],[uren / jaar werkdagen]]*Tariefsopbouw!$D$38</f>
        <v>0</v>
      </c>
      <c r="X159" s="33"/>
      <c r="Y159" s="33">
        <f>IF(Ruimtestaat[[#This Row],[Frequentie weekend]]&gt;0,VALUE(LEFT(X159,1))*Q159,0)</f>
        <v>0</v>
      </c>
      <c r="Z159" s="33">
        <f>IF($Y159&gt;0,VLOOKUP($J159,Ruimtegroepen[],3,FALSE)*VLOOKUP($L159,Vloersoorten[],3,FALSE)*VLOOKUP($X159,Frequenties[],3,FALSE)*VLOOKUP(#REF!,Locaties[],3,FALSE),0)</f>
        <v>0</v>
      </c>
      <c r="AA159" s="33"/>
      <c r="AB159" s="33"/>
      <c r="AC159" s="33">
        <f>Ruimtestaat[[#This Row],[uren / jaar weekend]]*Tariefsopbouw!$D$40</f>
        <v>0</v>
      </c>
      <c r="AD159" s="88">
        <f>Ruimtestaat[[#This Row],[Prest. (m2 /jaar) weekend]]+Ruimtestaat[[#This Row],[Prest. (m2 /jaar) werkdagen]]</f>
        <v>16600</v>
      </c>
      <c r="AE159" s="88">
        <f>Ruimtestaat[[#This Row],[uren / jaar weekend]]+Ruimtestaat[[#This Row],[uren / jaar werkdagen]]</f>
        <v>0</v>
      </c>
      <c r="AF159" s="89">
        <f>Ruimtestaat[[#This Row],[kosten / jaar weekend]]+Ruimtestaat[[#This Row],[kosten / jaar werkdagen]]</f>
        <v>0</v>
      </c>
    </row>
    <row r="160" spans="1:32" ht="15" customHeight="1">
      <c r="A160" s="213">
        <v>3</v>
      </c>
      <c r="B160" s="200" t="str">
        <f>VLOOKUP(Ruimtestaat[[#This Row],[Code]],Locaties[#All],2,FALSE)</f>
        <v>Karel de Grote College</v>
      </c>
      <c r="C160" s="240" t="str">
        <f>VLOOKUP(Ruimtestaat[[#This Row],[Code]],Locaties[#All],4,FALSE)</f>
        <v>Wilhelminasingel 15</v>
      </c>
      <c r="D160" s="240" t="str">
        <f>VLOOKUP(Ruimtestaat[[#This Row],[Code]],Locaties[#All],5,FALSE)</f>
        <v>6524 AJ</v>
      </c>
      <c r="E160" s="240" t="str">
        <f>VLOOKUP(Ruimtestaat[[#This Row],[Code]],Locaties[#All],6,FALSE)</f>
        <v>Nijmegen</v>
      </c>
      <c r="F160" s="241" t="s">
        <v>846</v>
      </c>
      <c r="G160" s="200" t="s">
        <v>646</v>
      </c>
      <c r="H160" s="200" t="s">
        <v>713</v>
      </c>
      <c r="I160" s="241" t="s">
        <v>659</v>
      </c>
      <c r="J160" s="213">
        <v>6</v>
      </c>
      <c r="K160" s="256" t="str">
        <f>VLOOKUP(Ruimtestaat[[#This Row],[Ruimte code]],Ruimtegroepen[#All],2,FALSE)</f>
        <v>Gangen/hallen</v>
      </c>
      <c r="L160" s="240" t="s">
        <v>111</v>
      </c>
      <c r="M160" s="268" t="s">
        <v>554</v>
      </c>
      <c r="N160" s="269">
        <v>11</v>
      </c>
      <c r="O160" s="212"/>
      <c r="P160" s="240" t="str">
        <f>VLOOKUP(Ruimtestaat[[#This Row],[Ruimte code]],Ruimtegroepen[#All],4,FALSE)</f>
        <v>V  (Verkeersruimte)</v>
      </c>
      <c r="Q160" s="213">
        <v>40</v>
      </c>
      <c r="R160" s="213" t="s">
        <v>2</v>
      </c>
      <c r="S160" s="213">
        <f>IF(Q160&gt;0,IF(RIGHT(Ruimtestaat[[#This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0" s="213">
        <f>IF(S160&gt;0,VLOOKUP($J160,Ruimtegroepen[],3,FALSE)*VLOOKUP($L160,Vloersoorten[],3,FALSE)*VLOOKUP($R160,Frequenties[],3,FALSE)*VLOOKUP($A160,Locaties[],3,FALSE),0)</f>
        <v>0</v>
      </c>
      <c r="U160" s="213">
        <f>Ruimtestaat[[#This Row],[Uitvoeringen werkdagen]]*Ruimtestaat[[#This Row],[Oppervlak (netto)]]</f>
        <v>2200</v>
      </c>
      <c r="V160" s="253">
        <f>IF(T160&gt;0,Ruimtestaat[[#This Row],[Prest. (m2 /jaar) werkdagen]]/Ruimtestaat[[#This Row],[Norm (m2/uur) werkdagen]],0)</f>
        <v>0</v>
      </c>
      <c r="W160" s="254">
        <f>Ruimtestaat[[#This Row],[uren / jaar werkdagen]]*Tariefsopbouw!$D$38</f>
        <v>0</v>
      </c>
      <c r="X160" s="33"/>
      <c r="Y160" s="33">
        <f>IF(Ruimtestaat[[#This Row],[Frequentie weekend]]&gt;0,VALUE(LEFT(X160,1))*Q160,0)</f>
        <v>0</v>
      </c>
      <c r="Z160" s="33">
        <f>IF($Y160&gt;0,VLOOKUP($J160,Ruimtegroepen[],3,FALSE)*VLOOKUP($L160,Vloersoorten[],3,FALSE)*VLOOKUP($X160,Frequenties[],3,FALSE)*VLOOKUP(#REF!,Locaties[],3,FALSE),0)</f>
        <v>0</v>
      </c>
      <c r="AA160" s="33"/>
      <c r="AB160" s="33"/>
      <c r="AC160" s="33">
        <f>Ruimtestaat[[#This Row],[uren / jaar weekend]]*Tariefsopbouw!$D$40</f>
        <v>0</v>
      </c>
      <c r="AD160" s="88">
        <f>Ruimtestaat[[#This Row],[Prest. (m2 /jaar) weekend]]+Ruimtestaat[[#This Row],[Prest. (m2 /jaar) werkdagen]]</f>
        <v>2200</v>
      </c>
      <c r="AE160" s="88">
        <f>Ruimtestaat[[#This Row],[uren / jaar weekend]]+Ruimtestaat[[#This Row],[uren / jaar werkdagen]]</f>
        <v>0</v>
      </c>
      <c r="AF160" s="89">
        <f>Ruimtestaat[[#This Row],[kosten / jaar weekend]]+Ruimtestaat[[#This Row],[kosten / jaar werkdagen]]</f>
        <v>0</v>
      </c>
    </row>
    <row r="161" spans="1:32" ht="15" customHeight="1">
      <c r="A161" s="213">
        <v>3</v>
      </c>
      <c r="B161" s="200" t="str">
        <f>VLOOKUP(Ruimtestaat[[#This Row],[Code]],Locaties[#All],2,FALSE)</f>
        <v>Karel de Grote College</v>
      </c>
      <c r="C161" s="240" t="str">
        <f>VLOOKUP(Ruimtestaat[[#This Row],[Code]],Locaties[#All],4,FALSE)</f>
        <v>Wilhelminasingel 15</v>
      </c>
      <c r="D161" s="240" t="str">
        <f>VLOOKUP(Ruimtestaat[[#This Row],[Code]],Locaties[#All],5,FALSE)</f>
        <v>6524 AJ</v>
      </c>
      <c r="E161" s="240" t="str">
        <f>VLOOKUP(Ruimtestaat[[#This Row],[Code]],Locaties[#All],6,FALSE)</f>
        <v>Nijmegen</v>
      </c>
      <c r="F161" s="241" t="s">
        <v>846</v>
      </c>
      <c r="G161" s="200" t="s">
        <v>646</v>
      </c>
      <c r="H161" s="200" t="s">
        <v>450</v>
      </c>
      <c r="I161" s="241" t="s">
        <v>660</v>
      </c>
      <c r="J161" s="240">
        <v>13</v>
      </c>
      <c r="K161" s="256" t="str">
        <f>VLOOKUP(Ruimtestaat[[#This Row],[Ruimte code]],Ruimtegroepen[#All],2,FALSE)</f>
        <v>Praktijklokalen</v>
      </c>
      <c r="L161" s="240" t="s">
        <v>111</v>
      </c>
      <c r="M161" s="268" t="s">
        <v>554</v>
      </c>
      <c r="N161" s="269">
        <v>56</v>
      </c>
      <c r="O161" s="212"/>
      <c r="P161" s="240" t="str">
        <f>VLOOKUP(Ruimtestaat[[#This Row],[Ruimte code]],Ruimtegroepen[#All],4,FALSE)</f>
        <v>L  (Lesruimte)</v>
      </c>
      <c r="Q161" s="213">
        <v>40</v>
      </c>
      <c r="R161" s="213" t="s">
        <v>2</v>
      </c>
      <c r="S161" s="213">
        <f>IF(Q161&gt;0,IF(RIGHT(Ruimtestaat[[#This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1" s="213">
        <f>IF(S161&gt;0,VLOOKUP($J161,Ruimtegroepen[],3,FALSE)*VLOOKUP($L161,Vloersoorten[],3,FALSE)*VLOOKUP($R161,Frequenties[],3,FALSE)*VLOOKUP($A161,Locaties[],3,FALSE),0)</f>
        <v>0</v>
      </c>
      <c r="U161" s="213">
        <f>Ruimtestaat[[#This Row],[Uitvoeringen werkdagen]]*Ruimtestaat[[#This Row],[Oppervlak (netto)]]</f>
        <v>11200</v>
      </c>
      <c r="V161" s="253">
        <f>IF(T161&gt;0,Ruimtestaat[[#This Row],[Prest. (m2 /jaar) werkdagen]]/Ruimtestaat[[#This Row],[Norm (m2/uur) werkdagen]],0)</f>
        <v>0</v>
      </c>
      <c r="W161" s="254">
        <f>Ruimtestaat[[#This Row],[uren / jaar werkdagen]]*Tariefsopbouw!$D$38</f>
        <v>0</v>
      </c>
      <c r="X161" s="33"/>
      <c r="Y161" s="33">
        <f>IF(Ruimtestaat[[#This Row],[Frequentie weekend]]&gt;0,VALUE(LEFT(X161,1))*Q161,0)</f>
        <v>0</v>
      </c>
      <c r="Z161" s="33">
        <f>IF($Y161&gt;0,VLOOKUP($J161,Ruimtegroepen[],3,FALSE)*VLOOKUP($L161,Vloersoorten[],3,FALSE)*VLOOKUP($X161,Frequenties[],3,FALSE)*VLOOKUP(#REF!,Locaties[],3,FALSE),0)</f>
        <v>0</v>
      </c>
      <c r="AA161" s="33"/>
      <c r="AB161" s="33"/>
      <c r="AC161" s="33">
        <f>Ruimtestaat[[#This Row],[uren / jaar weekend]]*Tariefsopbouw!$D$40</f>
        <v>0</v>
      </c>
      <c r="AD161" s="88">
        <f>Ruimtestaat[[#This Row],[Prest. (m2 /jaar) weekend]]+Ruimtestaat[[#This Row],[Prest. (m2 /jaar) werkdagen]]</f>
        <v>11200</v>
      </c>
      <c r="AE161" s="88">
        <f>Ruimtestaat[[#This Row],[uren / jaar weekend]]+Ruimtestaat[[#This Row],[uren / jaar werkdagen]]</f>
        <v>0</v>
      </c>
      <c r="AF161" s="89">
        <f>Ruimtestaat[[#This Row],[kosten / jaar weekend]]+Ruimtestaat[[#This Row],[kosten / jaar werkdagen]]</f>
        <v>0</v>
      </c>
    </row>
    <row r="162" spans="1:32" ht="15" customHeight="1">
      <c r="A162" s="213">
        <v>3</v>
      </c>
      <c r="B162" s="200" t="str">
        <f>VLOOKUP(Ruimtestaat[[#This Row],[Code]],Locaties[#All],2,FALSE)</f>
        <v>Karel de Grote College</v>
      </c>
      <c r="C162" s="240" t="str">
        <f>VLOOKUP(Ruimtestaat[[#This Row],[Code]],Locaties[#All],4,FALSE)</f>
        <v>Wilhelminasingel 15</v>
      </c>
      <c r="D162" s="240" t="str">
        <f>VLOOKUP(Ruimtestaat[[#This Row],[Code]],Locaties[#All],5,FALSE)</f>
        <v>6524 AJ</v>
      </c>
      <c r="E162" s="240" t="str">
        <f>VLOOKUP(Ruimtestaat[[#This Row],[Code]],Locaties[#All],6,FALSE)</f>
        <v>Nijmegen</v>
      </c>
      <c r="F162" s="241" t="s">
        <v>846</v>
      </c>
      <c r="G162" s="200" t="s">
        <v>646</v>
      </c>
      <c r="H162" s="200" t="s">
        <v>452</v>
      </c>
      <c r="I162" s="241" t="s">
        <v>661</v>
      </c>
      <c r="J162" s="240">
        <v>2</v>
      </c>
      <c r="K162" s="256" t="str">
        <f>VLOOKUP(Ruimtestaat[[#This Row],[Ruimte code]],Ruimtegroepen[#All],2,FALSE)</f>
        <v>Kantoren</v>
      </c>
      <c r="L162" s="240" t="s">
        <v>109</v>
      </c>
      <c r="M162" s="268" t="s">
        <v>649</v>
      </c>
      <c r="N162" s="269">
        <v>30</v>
      </c>
      <c r="O162" s="212"/>
      <c r="P162" s="240" t="str">
        <f>VLOOKUP(Ruimtestaat[[#This Row],[Ruimte code]],Ruimtegroepen[#All],4,FALSE)</f>
        <v>B  (Bureauruimte)</v>
      </c>
      <c r="Q162" s="213">
        <v>40</v>
      </c>
      <c r="R162" s="213" t="s">
        <v>17</v>
      </c>
      <c r="S162" s="213">
        <f>IF(Q162&gt;0,IF(RIGHT(Ruimtestaat[[#This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62" s="213">
        <f>IF(S162&gt;0,VLOOKUP($J162,Ruimtegroepen[],3,FALSE)*VLOOKUP($L162,Vloersoorten[],3,FALSE)*VLOOKUP($R162,Frequenties[],3,FALSE)*VLOOKUP($A162,Locaties[],3,FALSE),0)</f>
        <v>0</v>
      </c>
      <c r="U162" s="213">
        <f>Ruimtestaat[[#This Row],[Uitvoeringen werkdagen]]*Ruimtestaat[[#This Row],[Oppervlak (netto)]]</f>
        <v>2400</v>
      </c>
      <c r="V162" s="253">
        <f>IF(T162&gt;0,Ruimtestaat[[#This Row],[Prest. (m2 /jaar) werkdagen]]/Ruimtestaat[[#This Row],[Norm (m2/uur) werkdagen]],0)</f>
        <v>0</v>
      </c>
      <c r="W162" s="254">
        <f>Ruimtestaat[[#This Row],[uren / jaar werkdagen]]*Tariefsopbouw!$D$38</f>
        <v>0</v>
      </c>
      <c r="X162" s="33"/>
      <c r="Y162" s="33">
        <f>IF(Ruimtestaat[[#This Row],[Frequentie weekend]]&gt;0,VALUE(LEFT(X162,1))*Q162,0)</f>
        <v>0</v>
      </c>
      <c r="Z162" s="33">
        <f>IF($Y162&gt;0,VLOOKUP($J162,Ruimtegroepen[],3,FALSE)*VLOOKUP($L162,Vloersoorten[],3,FALSE)*VLOOKUP($X162,Frequenties[],3,FALSE)*VLOOKUP(#REF!,Locaties[],3,FALSE),0)</f>
        <v>0</v>
      </c>
      <c r="AA162" s="33"/>
      <c r="AB162" s="33"/>
      <c r="AC162" s="33">
        <f>Ruimtestaat[[#This Row],[uren / jaar weekend]]*Tariefsopbouw!$D$40</f>
        <v>0</v>
      </c>
      <c r="AD162" s="88">
        <f>Ruimtestaat[[#This Row],[Prest. (m2 /jaar) weekend]]+Ruimtestaat[[#This Row],[Prest. (m2 /jaar) werkdagen]]</f>
        <v>2400</v>
      </c>
      <c r="AE162" s="88">
        <f>Ruimtestaat[[#This Row],[uren / jaar weekend]]+Ruimtestaat[[#This Row],[uren / jaar werkdagen]]</f>
        <v>0</v>
      </c>
      <c r="AF162" s="89">
        <f>Ruimtestaat[[#This Row],[kosten / jaar weekend]]+Ruimtestaat[[#This Row],[kosten / jaar werkdagen]]</f>
        <v>0</v>
      </c>
    </row>
    <row r="163" spans="1:32" ht="15" customHeight="1">
      <c r="A163" s="213">
        <v>3</v>
      </c>
      <c r="B163" s="200" t="str">
        <f>VLOOKUP(Ruimtestaat[[#This Row],[Code]],Locaties[#All],2,FALSE)</f>
        <v>Karel de Grote College</v>
      </c>
      <c r="C163" s="240" t="str">
        <f>VLOOKUP(Ruimtestaat[[#This Row],[Code]],Locaties[#All],4,FALSE)</f>
        <v>Wilhelminasingel 15</v>
      </c>
      <c r="D163" s="240" t="str">
        <f>VLOOKUP(Ruimtestaat[[#This Row],[Code]],Locaties[#All],5,FALSE)</f>
        <v>6524 AJ</v>
      </c>
      <c r="E163" s="240" t="str">
        <f>VLOOKUP(Ruimtestaat[[#This Row],[Code]],Locaties[#All],6,FALSE)</f>
        <v>Nijmegen</v>
      </c>
      <c r="F163" s="241" t="s">
        <v>846</v>
      </c>
      <c r="G163" s="200" t="s">
        <v>646</v>
      </c>
      <c r="H163" s="200" t="s">
        <v>453</v>
      </c>
      <c r="I163" s="241" t="s">
        <v>662</v>
      </c>
      <c r="J163" s="240">
        <v>21</v>
      </c>
      <c r="K163" s="256" t="str">
        <f>VLOOKUP(Ruimtestaat[[#This Row],[Ruimte code]],Ruimtegroepen[#All],2,FALSE)</f>
        <v>Niet in onderhoud</v>
      </c>
      <c r="L163" s="240" t="s">
        <v>111</v>
      </c>
      <c r="M163" s="268" t="s">
        <v>554</v>
      </c>
      <c r="N163" s="269"/>
      <c r="O163" s="212">
        <v>5</v>
      </c>
      <c r="P163" s="240" t="str">
        <f>VLOOKUP(Ruimtestaat[[#This Row],[Ruimte code]],Ruimtegroepen[#All],4,FALSE)</f>
        <v>Niet in onderhoud</v>
      </c>
      <c r="Q163" s="213">
        <v>0</v>
      </c>
      <c r="R163" s="213"/>
      <c r="S163" s="213">
        <f>IF(Q163&gt;0,IF(RIGHT(Ruimtestaat[[#This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63" s="213">
        <f>IF(S163&gt;0,VLOOKUP($J163,Ruimtegroepen[],3,FALSE)*VLOOKUP($L163,Vloersoorten[],3,FALSE)*VLOOKUP($R163,Frequenties[],3,FALSE)*VLOOKUP($A163,Locaties[],3,FALSE),0)</f>
        <v>0</v>
      </c>
      <c r="U163" s="213">
        <f>Ruimtestaat[[#This Row],[Uitvoeringen werkdagen]]*Ruimtestaat[[#This Row],[Oppervlak (netto)]]</f>
        <v>0</v>
      </c>
      <c r="V163" s="253">
        <f>IF(T163&gt;0,Ruimtestaat[[#This Row],[Prest. (m2 /jaar) werkdagen]]/Ruimtestaat[[#This Row],[Norm (m2/uur) werkdagen]],0)</f>
        <v>0</v>
      </c>
      <c r="W163" s="254">
        <f>Ruimtestaat[[#This Row],[uren / jaar werkdagen]]*Tariefsopbouw!$D$38</f>
        <v>0</v>
      </c>
      <c r="X163" s="33"/>
      <c r="Y163" s="33">
        <f>IF(Ruimtestaat[[#This Row],[Frequentie weekend]]&gt;0,VALUE(LEFT(X163,1))*Q163,0)</f>
        <v>0</v>
      </c>
      <c r="Z163" s="33">
        <f>IF($Y163&gt;0,VLOOKUP($J163,Ruimtegroepen[],3,FALSE)*VLOOKUP($L163,Vloersoorten[],3,FALSE)*VLOOKUP($X163,Frequenties[],3,FALSE)*VLOOKUP(#REF!,Locaties[],3,FALSE),0)</f>
        <v>0</v>
      </c>
      <c r="AA163" s="33"/>
      <c r="AB163" s="33"/>
      <c r="AC163" s="33">
        <f>Ruimtestaat[[#This Row],[uren / jaar weekend]]*Tariefsopbouw!$D$40</f>
        <v>0</v>
      </c>
      <c r="AD163" s="88">
        <f>Ruimtestaat[[#This Row],[Prest. (m2 /jaar) weekend]]+Ruimtestaat[[#This Row],[Prest. (m2 /jaar) werkdagen]]</f>
        <v>0</v>
      </c>
      <c r="AE163" s="88">
        <f>Ruimtestaat[[#This Row],[uren / jaar weekend]]+Ruimtestaat[[#This Row],[uren / jaar werkdagen]]</f>
        <v>0</v>
      </c>
      <c r="AF163" s="89">
        <f>Ruimtestaat[[#This Row],[kosten / jaar weekend]]+Ruimtestaat[[#This Row],[kosten / jaar werkdagen]]</f>
        <v>0</v>
      </c>
    </row>
    <row r="164" spans="1:32" ht="15" customHeight="1">
      <c r="A164" s="213">
        <v>3</v>
      </c>
      <c r="B164" s="200" t="str">
        <f>VLOOKUP(Ruimtestaat[[#This Row],[Code]],Locaties[#All],2,FALSE)</f>
        <v>Karel de Grote College</v>
      </c>
      <c r="C164" s="240" t="str">
        <f>VLOOKUP(Ruimtestaat[[#This Row],[Code]],Locaties[#All],4,FALSE)</f>
        <v>Wilhelminasingel 15</v>
      </c>
      <c r="D164" s="240" t="str">
        <f>VLOOKUP(Ruimtestaat[[#This Row],[Code]],Locaties[#All],5,FALSE)</f>
        <v>6524 AJ</v>
      </c>
      <c r="E164" s="240" t="str">
        <f>VLOOKUP(Ruimtestaat[[#This Row],[Code]],Locaties[#All],6,FALSE)</f>
        <v>Nijmegen</v>
      </c>
      <c r="F164" s="241" t="s">
        <v>846</v>
      </c>
      <c r="G164" s="200" t="s">
        <v>646</v>
      </c>
      <c r="H164" s="200" t="s">
        <v>454</v>
      </c>
      <c r="I164" s="241" t="s">
        <v>663</v>
      </c>
      <c r="J164" s="240">
        <v>7</v>
      </c>
      <c r="K164" s="256" t="str">
        <f>VLOOKUP(Ruimtestaat[[#This Row],[Ruimte code]],Ruimtegroepen[#All],2,FALSE)</f>
        <v>Entree</v>
      </c>
      <c r="L164" s="240" t="s">
        <v>109</v>
      </c>
      <c r="M164" s="200" t="s">
        <v>549</v>
      </c>
      <c r="N164" s="269">
        <v>8</v>
      </c>
      <c r="O164" s="212"/>
      <c r="P164" s="240" t="str">
        <f>VLOOKUP(Ruimtestaat[[#This Row],[Ruimte code]],Ruimtegroepen[#All],4,FALSE)</f>
        <v>V  (Verkeersruimte)</v>
      </c>
      <c r="Q164" s="213">
        <v>40</v>
      </c>
      <c r="R164" s="213" t="s">
        <v>2</v>
      </c>
      <c r="S164" s="213">
        <f>IF(Q164&gt;0,IF(RIGHT(Ruimtestaat[[#This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4" s="213">
        <f>IF(S164&gt;0,VLOOKUP($J164,Ruimtegroepen[],3,FALSE)*VLOOKUP($L164,Vloersoorten[],3,FALSE)*VLOOKUP($R164,Frequenties[],3,FALSE)*VLOOKUP($A164,Locaties[],3,FALSE),0)</f>
        <v>0</v>
      </c>
      <c r="U164" s="213">
        <f>Ruimtestaat[[#This Row],[Uitvoeringen werkdagen]]*Ruimtestaat[[#This Row],[Oppervlak (netto)]]</f>
        <v>1600</v>
      </c>
      <c r="V164" s="253">
        <f>IF(T164&gt;0,Ruimtestaat[[#This Row],[Prest. (m2 /jaar) werkdagen]]/Ruimtestaat[[#This Row],[Norm (m2/uur) werkdagen]],0)</f>
        <v>0</v>
      </c>
      <c r="W164" s="254">
        <f>Ruimtestaat[[#This Row],[uren / jaar werkdagen]]*Tariefsopbouw!$D$38</f>
        <v>0</v>
      </c>
      <c r="X164" s="33"/>
      <c r="Y164" s="33">
        <f>IF(Ruimtestaat[[#This Row],[Frequentie weekend]]&gt;0,VALUE(LEFT(X164,1))*Q164,0)</f>
        <v>0</v>
      </c>
      <c r="Z164" s="33">
        <f>IF($Y164&gt;0,VLOOKUP($J164,Ruimtegroepen[],3,FALSE)*VLOOKUP($L164,Vloersoorten[],3,FALSE)*VLOOKUP($X164,Frequenties[],3,FALSE)*VLOOKUP(#REF!,Locaties[],3,FALSE),0)</f>
        <v>0</v>
      </c>
      <c r="AA164" s="33"/>
      <c r="AB164" s="33"/>
      <c r="AC164" s="33">
        <f>Ruimtestaat[[#This Row],[uren / jaar weekend]]*Tariefsopbouw!$D$40</f>
        <v>0</v>
      </c>
      <c r="AD164" s="88">
        <f>Ruimtestaat[[#This Row],[Prest. (m2 /jaar) weekend]]+Ruimtestaat[[#This Row],[Prest. (m2 /jaar) werkdagen]]</f>
        <v>1600</v>
      </c>
      <c r="AE164" s="88">
        <f>Ruimtestaat[[#This Row],[uren / jaar weekend]]+Ruimtestaat[[#This Row],[uren / jaar werkdagen]]</f>
        <v>0</v>
      </c>
      <c r="AF164" s="89">
        <f>Ruimtestaat[[#This Row],[kosten / jaar weekend]]+Ruimtestaat[[#This Row],[kosten / jaar werkdagen]]</f>
        <v>0</v>
      </c>
    </row>
    <row r="165" spans="1:32" ht="15" customHeight="1">
      <c r="A165" s="213">
        <v>3</v>
      </c>
      <c r="B165" s="200" t="str">
        <f>VLOOKUP(Ruimtestaat[[#This Row],[Code]],Locaties[#All],2,FALSE)</f>
        <v>Karel de Grote College</v>
      </c>
      <c r="C165" s="240" t="str">
        <f>VLOOKUP(Ruimtestaat[[#This Row],[Code]],Locaties[#All],4,FALSE)</f>
        <v>Wilhelminasingel 15</v>
      </c>
      <c r="D165" s="240" t="str">
        <f>VLOOKUP(Ruimtestaat[[#This Row],[Code]],Locaties[#All],5,FALSE)</f>
        <v>6524 AJ</v>
      </c>
      <c r="E165" s="240" t="str">
        <f>VLOOKUP(Ruimtestaat[[#This Row],[Code]],Locaties[#All],6,FALSE)</f>
        <v>Nijmegen</v>
      </c>
      <c r="F165" s="241" t="s">
        <v>846</v>
      </c>
      <c r="G165" s="200" t="s">
        <v>646</v>
      </c>
      <c r="H165" s="200" t="s">
        <v>455</v>
      </c>
      <c r="I165" s="241" t="s">
        <v>664</v>
      </c>
      <c r="J165" s="240">
        <v>12</v>
      </c>
      <c r="K165" s="256" t="str">
        <f>VLOOKUP(Ruimtestaat[[#This Row],[Ruimte code]],Ruimtegroepen[#All],2,FALSE)</f>
        <v>kantine</v>
      </c>
      <c r="L165" s="240" t="s">
        <v>111</v>
      </c>
      <c r="M165" s="268" t="s">
        <v>554</v>
      </c>
      <c r="N165" s="269">
        <v>110</v>
      </c>
      <c r="O165" s="212"/>
      <c r="P165" s="240" t="str">
        <f>VLOOKUP(Ruimtestaat[[#This Row],[Ruimte code]],Ruimtegroepen[#All],4,FALSE)</f>
        <v>V  (Verkeersruimte)</v>
      </c>
      <c r="Q165" s="213">
        <v>40</v>
      </c>
      <c r="R165" s="213" t="s">
        <v>2</v>
      </c>
      <c r="S165" s="213">
        <f>IF(Q165&gt;0,IF(RIGHT(Ruimtestaat[[#This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5" s="213">
        <f>IF(S165&gt;0,VLOOKUP($J165,Ruimtegroepen[],3,FALSE)*VLOOKUP($L165,Vloersoorten[],3,FALSE)*VLOOKUP($R165,Frequenties[],3,FALSE)*VLOOKUP($A165,Locaties[],3,FALSE),0)</f>
        <v>0</v>
      </c>
      <c r="U165" s="213">
        <f>Ruimtestaat[[#This Row],[Uitvoeringen werkdagen]]*Ruimtestaat[[#This Row],[Oppervlak (netto)]]</f>
        <v>22000</v>
      </c>
      <c r="V165" s="253">
        <f>IF(T165&gt;0,Ruimtestaat[[#This Row],[Prest. (m2 /jaar) werkdagen]]/Ruimtestaat[[#This Row],[Norm (m2/uur) werkdagen]],0)</f>
        <v>0</v>
      </c>
      <c r="W165" s="254">
        <f>Ruimtestaat[[#This Row],[uren / jaar werkdagen]]*Tariefsopbouw!$D$38</f>
        <v>0</v>
      </c>
      <c r="X165" s="33"/>
      <c r="Y165" s="33">
        <f>IF(Ruimtestaat[[#This Row],[Frequentie weekend]]&gt;0,VALUE(LEFT(X165,1))*Q165,0)</f>
        <v>0</v>
      </c>
      <c r="Z165" s="33">
        <f>IF($Y165&gt;0,VLOOKUP($J165,Ruimtegroepen[],3,FALSE)*VLOOKUP($L165,Vloersoorten[],3,FALSE)*VLOOKUP($X165,Frequenties[],3,FALSE)*VLOOKUP(#REF!,Locaties[],3,FALSE),0)</f>
        <v>0</v>
      </c>
      <c r="AA165" s="33"/>
      <c r="AB165" s="33"/>
      <c r="AC165" s="33">
        <f>Ruimtestaat[[#This Row],[uren / jaar weekend]]*Tariefsopbouw!$D$40</f>
        <v>0</v>
      </c>
      <c r="AD165" s="88">
        <f>Ruimtestaat[[#This Row],[Prest. (m2 /jaar) weekend]]+Ruimtestaat[[#This Row],[Prest. (m2 /jaar) werkdagen]]</f>
        <v>22000</v>
      </c>
      <c r="AE165" s="88">
        <f>Ruimtestaat[[#This Row],[uren / jaar weekend]]+Ruimtestaat[[#This Row],[uren / jaar werkdagen]]</f>
        <v>0</v>
      </c>
      <c r="AF165" s="89">
        <f>Ruimtestaat[[#This Row],[kosten / jaar weekend]]+Ruimtestaat[[#This Row],[kosten / jaar werkdagen]]</f>
        <v>0</v>
      </c>
    </row>
    <row r="166" spans="1:32" ht="15" customHeight="1">
      <c r="A166" s="213">
        <v>3</v>
      </c>
      <c r="B166" s="200" t="str">
        <f>VLOOKUP(Ruimtestaat[[#This Row],[Code]],Locaties[#All],2,FALSE)</f>
        <v>Karel de Grote College</v>
      </c>
      <c r="C166" s="240" t="str">
        <f>VLOOKUP(Ruimtestaat[[#This Row],[Code]],Locaties[#All],4,FALSE)</f>
        <v>Wilhelminasingel 15</v>
      </c>
      <c r="D166" s="240" t="str">
        <f>VLOOKUP(Ruimtestaat[[#This Row],[Code]],Locaties[#All],5,FALSE)</f>
        <v>6524 AJ</v>
      </c>
      <c r="E166" s="240" t="str">
        <f>VLOOKUP(Ruimtestaat[[#This Row],[Code]],Locaties[#All],6,FALSE)</f>
        <v>Nijmegen</v>
      </c>
      <c r="F166" s="241" t="s">
        <v>846</v>
      </c>
      <c r="G166" s="200" t="s">
        <v>646</v>
      </c>
      <c r="H166" s="200" t="s">
        <v>456</v>
      </c>
      <c r="I166" s="241" t="s">
        <v>665</v>
      </c>
      <c r="J166" s="200">
        <v>5</v>
      </c>
      <c r="K166" s="256" t="str">
        <f>VLOOKUP(Ruimtestaat[[#This Row],[Ruimte code]],Ruimtegroepen[#All],2,FALSE)</f>
        <v>Sanitair</v>
      </c>
      <c r="L166" s="240" t="s">
        <v>111</v>
      </c>
      <c r="M166" s="268" t="s">
        <v>554</v>
      </c>
      <c r="N166" s="269">
        <v>4</v>
      </c>
      <c r="O166" s="212"/>
      <c r="P166" s="240" t="str">
        <f>VLOOKUP(Ruimtestaat[[#This Row],[Ruimte code]],Ruimtegroepen[#All],4,FALSE)</f>
        <v>S  (Sanitair)</v>
      </c>
      <c r="Q166" s="213">
        <v>40</v>
      </c>
      <c r="R166" s="213" t="s">
        <v>2</v>
      </c>
      <c r="S166" s="213">
        <f>IF(Q166&gt;0,IF(RIGHT(Ruimtestaat[[#This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6" s="213">
        <f>IF(S166&gt;0,VLOOKUP($J166,Ruimtegroepen[],3,FALSE)*VLOOKUP($L166,Vloersoorten[],3,FALSE)*VLOOKUP($R166,Frequenties[],3,FALSE)*VLOOKUP($A166,Locaties[],3,FALSE),0)</f>
        <v>0</v>
      </c>
      <c r="U166" s="213">
        <f>Ruimtestaat[[#This Row],[Uitvoeringen werkdagen]]*Ruimtestaat[[#This Row],[Oppervlak (netto)]]</f>
        <v>800</v>
      </c>
      <c r="V166" s="253">
        <f>IF(T166&gt;0,Ruimtestaat[[#This Row],[Prest. (m2 /jaar) werkdagen]]/Ruimtestaat[[#This Row],[Norm (m2/uur) werkdagen]],0)</f>
        <v>0</v>
      </c>
      <c r="W166" s="254">
        <f>Ruimtestaat[[#This Row],[uren / jaar werkdagen]]*Tariefsopbouw!$D$38</f>
        <v>0</v>
      </c>
      <c r="X166" s="33"/>
      <c r="Y166" s="33">
        <f>IF(Ruimtestaat[[#This Row],[Frequentie weekend]]&gt;0,VALUE(LEFT(X166,1))*Q166,0)</f>
        <v>0</v>
      </c>
      <c r="Z166" s="33">
        <f>IF($Y166&gt;0,VLOOKUP($J166,Ruimtegroepen[],3,FALSE)*VLOOKUP($L166,Vloersoorten[],3,FALSE)*VLOOKUP($X166,Frequenties[],3,FALSE)*VLOOKUP(#REF!,Locaties[],3,FALSE),0)</f>
        <v>0</v>
      </c>
      <c r="AA166" s="33"/>
      <c r="AB166" s="33"/>
      <c r="AC166" s="33">
        <f>Ruimtestaat[[#This Row],[uren / jaar weekend]]*Tariefsopbouw!$D$40</f>
        <v>0</v>
      </c>
      <c r="AD166" s="88">
        <f>Ruimtestaat[[#This Row],[Prest. (m2 /jaar) weekend]]+Ruimtestaat[[#This Row],[Prest. (m2 /jaar) werkdagen]]</f>
        <v>800</v>
      </c>
      <c r="AE166" s="88">
        <f>Ruimtestaat[[#This Row],[uren / jaar weekend]]+Ruimtestaat[[#This Row],[uren / jaar werkdagen]]</f>
        <v>0</v>
      </c>
      <c r="AF166" s="89">
        <f>Ruimtestaat[[#This Row],[kosten / jaar weekend]]+Ruimtestaat[[#This Row],[kosten / jaar werkdagen]]</f>
        <v>0</v>
      </c>
    </row>
    <row r="167" spans="1:32" ht="15" customHeight="1">
      <c r="A167" s="213">
        <v>3</v>
      </c>
      <c r="B167" s="200" t="str">
        <f>VLOOKUP(Ruimtestaat[[#This Row],[Code]],Locaties[#All],2,FALSE)</f>
        <v>Karel de Grote College</v>
      </c>
      <c r="C167" s="240" t="str">
        <f>VLOOKUP(Ruimtestaat[[#This Row],[Code]],Locaties[#All],4,FALSE)</f>
        <v>Wilhelminasingel 15</v>
      </c>
      <c r="D167" s="240" t="str">
        <f>VLOOKUP(Ruimtestaat[[#This Row],[Code]],Locaties[#All],5,FALSE)</f>
        <v>6524 AJ</v>
      </c>
      <c r="E167" s="240" t="str">
        <f>VLOOKUP(Ruimtestaat[[#This Row],[Code]],Locaties[#All],6,FALSE)</f>
        <v>Nijmegen</v>
      </c>
      <c r="F167" s="241" t="s">
        <v>846</v>
      </c>
      <c r="G167" s="200" t="s">
        <v>646</v>
      </c>
      <c r="H167" s="200" t="s">
        <v>457</v>
      </c>
      <c r="I167" s="241" t="s">
        <v>666</v>
      </c>
      <c r="J167" s="240">
        <v>14</v>
      </c>
      <c r="K167" s="256" t="str">
        <f>VLOOKUP(Ruimtestaat[[#This Row],[Ruimte code]],Ruimtegroepen[#All],2,FALSE)</f>
        <v>Personeelsruimte</v>
      </c>
      <c r="L167" s="213" t="s">
        <v>110</v>
      </c>
      <c r="M167" s="268" t="s">
        <v>644</v>
      </c>
      <c r="N167" s="269">
        <v>22</v>
      </c>
      <c r="O167" s="212"/>
      <c r="P167" s="240" t="str">
        <f>VLOOKUP(Ruimtestaat[[#This Row],[Ruimte code]],Ruimtegroepen[#All],4,FALSE)</f>
        <v>L  (Lesruimte)</v>
      </c>
      <c r="Q167" s="213">
        <v>40</v>
      </c>
      <c r="R167" s="213" t="s">
        <v>2</v>
      </c>
      <c r="S167" s="213">
        <f>IF(Q167&gt;0,IF(RIGHT(Ruimtestaat[[#This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7" s="213">
        <f>IF(S167&gt;0,VLOOKUP($J167,Ruimtegroepen[],3,FALSE)*VLOOKUP($L167,Vloersoorten[],3,FALSE)*VLOOKUP($R167,Frequenties[],3,FALSE)*VLOOKUP($A167,Locaties[],3,FALSE),0)</f>
        <v>0</v>
      </c>
      <c r="U167" s="213">
        <f>Ruimtestaat[[#This Row],[Uitvoeringen werkdagen]]*Ruimtestaat[[#This Row],[Oppervlak (netto)]]</f>
        <v>4400</v>
      </c>
      <c r="V167" s="253">
        <f>IF(T167&gt;0,Ruimtestaat[[#This Row],[Prest. (m2 /jaar) werkdagen]]/Ruimtestaat[[#This Row],[Norm (m2/uur) werkdagen]],0)</f>
        <v>0</v>
      </c>
      <c r="W167" s="254">
        <f>Ruimtestaat[[#This Row],[uren / jaar werkdagen]]*Tariefsopbouw!$D$38</f>
        <v>0</v>
      </c>
      <c r="X167" s="33"/>
      <c r="Y167" s="33">
        <f>IF(Ruimtestaat[[#This Row],[Frequentie weekend]]&gt;0,VALUE(LEFT(X167,1))*Q167,0)</f>
        <v>0</v>
      </c>
      <c r="Z167" s="33">
        <f>IF($Y167&gt;0,VLOOKUP($J167,Ruimtegroepen[],3,FALSE)*VLOOKUP($L167,Vloersoorten[],3,FALSE)*VLOOKUP($X167,Frequenties[],3,FALSE)*VLOOKUP(#REF!,Locaties[],3,FALSE),0)</f>
        <v>0</v>
      </c>
      <c r="AA167" s="33"/>
      <c r="AB167" s="33"/>
      <c r="AC167" s="33">
        <f>Ruimtestaat[[#This Row],[uren / jaar weekend]]*Tariefsopbouw!$D$40</f>
        <v>0</v>
      </c>
      <c r="AD167" s="88">
        <f>Ruimtestaat[[#This Row],[Prest. (m2 /jaar) weekend]]+Ruimtestaat[[#This Row],[Prest. (m2 /jaar) werkdagen]]</f>
        <v>4400</v>
      </c>
      <c r="AE167" s="88">
        <f>Ruimtestaat[[#This Row],[uren / jaar weekend]]+Ruimtestaat[[#This Row],[uren / jaar werkdagen]]</f>
        <v>0</v>
      </c>
      <c r="AF167" s="89">
        <f>Ruimtestaat[[#This Row],[kosten / jaar weekend]]+Ruimtestaat[[#This Row],[kosten / jaar werkdagen]]</f>
        <v>0</v>
      </c>
    </row>
    <row r="168" spans="1:32" ht="15" customHeight="1">
      <c r="A168" s="213">
        <v>3</v>
      </c>
      <c r="B168" s="200" t="str">
        <f>VLOOKUP(Ruimtestaat[[#This Row],[Code]],Locaties[#All],2,FALSE)</f>
        <v>Karel de Grote College</v>
      </c>
      <c r="C168" s="240" t="str">
        <f>VLOOKUP(Ruimtestaat[[#This Row],[Code]],Locaties[#All],4,FALSE)</f>
        <v>Wilhelminasingel 15</v>
      </c>
      <c r="D168" s="240" t="str">
        <f>VLOOKUP(Ruimtestaat[[#This Row],[Code]],Locaties[#All],5,FALSE)</f>
        <v>6524 AJ</v>
      </c>
      <c r="E168" s="240" t="str">
        <f>VLOOKUP(Ruimtestaat[[#This Row],[Code]],Locaties[#All],6,FALSE)</f>
        <v>Nijmegen</v>
      </c>
      <c r="F168" s="241" t="s">
        <v>846</v>
      </c>
      <c r="G168" s="200" t="s">
        <v>646</v>
      </c>
      <c r="H168" s="200" t="s">
        <v>459</v>
      </c>
      <c r="I168" s="241" t="s">
        <v>666</v>
      </c>
      <c r="J168" s="240">
        <v>14</v>
      </c>
      <c r="K168" s="256" t="str">
        <f>VLOOKUP(Ruimtestaat[[#This Row],[Ruimte code]],Ruimtegroepen[#All],2,FALSE)</f>
        <v>Personeelsruimte</v>
      </c>
      <c r="L168" s="213" t="s">
        <v>110</v>
      </c>
      <c r="M168" s="268" t="s">
        <v>644</v>
      </c>
      <c r="N168" s="269">
        <v>10</v>
      </c>
      <c r="O168" s="212"/>
      <c r="P168" s="240" t="str">
        <f>VLOOKUP(Ruimtestaat[[#This Row],[Ruimte code]],Ruimtegroepen[#All],4,FALSE)</f>
        <v>L  (Lesruimte)</v>
      </c>
      <c r="Q168" s="213">
        <v>40</v>
      </c>
      <c r="R168" s="213" t="s">
        <v>2</v>
      </c>
      <c r="S168" s="213">
        <f>IF(Q168&gt;0,IF(RIGHT(Ruimtestaat[[#This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8" s="213">
        <f>IF(S168&gt;0,VLOOKUP($J168,Ruimtegroepen[],3,FALSE)*VLOOKUP($L168,Vloersoorten[],3,FALSE)*VLOOKUP($R168,Frequenties[],3,FALSE)*VLOOKUP($A168,Locaties[],3,FALSE),0)</f>
        <v>0</v>
      </c>
      <c r="U168" s="213">
        <f>Ruimtestaat[[#This Row],[Uitvoeringen werkdagen]]*Ruimtestaat[[#This Row],[Oppervlak (netto)]]</f>
        <v>2000</v>
      </c>
      <c r="V168" s="253">
        <f>IF(T168&gt;0,Ruimtestaat[[#This Row],[Prest. (m2 /jaar) werkdagen]]/Ruimtestaat[[#This Row],[Norm (m2/uur) werkdagen]],0)</f>
        <v>0</v>
      </c>
      <c r="W168" s="254">
        <f>Ruimtestaat[[#This Row],[uren / jaar werkdagen]]*Tariefsopbouw!$D$38</f>
        <v>0</v>
      </c>
      <c r="X168" s="33"/>
      <c r="Y168" s="33">
        <f>IF(Ruimtestaat[[#This Row],[Frequentie weekend]]&gt;0,VALUE(LEFT(X168,1))*Q168,0)</f>
        <v>0</v>
      </c>
      <c r="Z168" s="33">
        <f>IF($Y168&gt;0,VLOOKUP($J168,Ruimtegroepen[],3,FALSE)*VLOOKUP($L168,Vloersoorten[],3,FALSE)*VLOOKUP($X168,Frequenties[],3,FALSE)*VLOOKUP(#REF!,Locaties[],3,FALSE),0)</f>
        <v>0</v>
      </c>
      <c r="AA168" s="33"/>
      <c r="AB168" s="33"/>
      <c r="AC168" s="33">
        <f>Ruimtestaat[[#This Row],[uren / jaar weekend]]*Tariefsopbouw!$D$40</f>
        <v>0</v>
      </c>
      <c r="AD168" s="88">
        <f>Ruimtestaat[[#This Row],[Prest. (m2 /jaar) weekend]]+Ruimtestaat[[#This Row],[Prest. (m2 /jaar) werkdagen]]</f>
        <v>2000</v>
      </c>
      <c r="AE168" s="88">
        <f>Ruimtestaat[[#This Row],[uren / jaar weekend]]+Ruimtestaat[[#This Row],[uren / jaar werkdagen]]</f>
        <v>0</v>
      </c>
      <c r="AF168" s="89">
        <f>Ruimtestaat[[#This Row],[kosten / jaar weekend]]+Ruimtestaat[[#This Row],[kosten / jaar werkdagen]]</f>
        <v>0</v>
      </c>
    </row>
    <row r="169" spans="1:32" ht="15" customHeight="1">
      <c r="A169" s="213">
        <v>3</v>
      </c>
      <c r="B169" s="200" t="str">
        <f>VLOOKUP(Ruimtestaat[[#This Row],[Code]],Locaties[#All],2,FALSE)</f>
        <v>Karel de Grote College</v>
      </c>
      <c r="C169" s="240" t="str">
        <f>VLOOKUP(Ruimtestaat[[#This Row],[Code]],Locaties[#All],4,FALSE)</f>
        <v>Wilhelminasingel 15</v>
      </c>
      <c r="D169" s="240" t="str">
        <f>VLOOKUP(Ruimtestaat[[#This Row],[Code]],Locaties[#All],5,FALSE)</f>
        <v>6524 AJ</v>
      </c>
      <c r="E169" s="240" t="str">
        <f>VLOOKUP(Ruimtestaat[[#This Row],[Code]],Locaties[#All],6,FALSE)</f>
        <v>Nijmegen</v>
      </c>
      <c r="F169" s="241" t="s">
        <v>846</v>
      </c>
      <c r="G169" s="200" t="s">
        <v>646</v>
      </c>
      <c r="H169" s="200" t="s">
        <v>460</v>
      </c>
      <c r="I169" s="241" t="s">
        <v>666</v>
      </c>
      <c r="J169" s="240">
        <v>14</v>
      </c>
      <c r="K169" s="256" t="str">
        <f>VLOOKUP(Ruimtestaat[[#This Row],[Ruimte code]],Ruimtegroepen[#All],2,FALSE)</f>
        <v>Personeelsruimte</v>
      </c>
      <c r="L169" s="213" t="s">
        <v>110</v>
      </c>
      <c r="M169" s="268" t="s">
        <v>644</v>
      </c>
      <c r="N169" s="269">
        <v>38</v>
      </c>
      <c r="O169" s="212"/>
      <c r="P169" s="240" t="str">
        <f>VLOOKUP(Ruimtestaat[[#This Row],[Ruimte code]],Ruimtegroepen[#All],4,FALSE)</f>
        <v>L  (Lesruimte)</v>
      </c>
      <c r="Q169" s="213">
        <v>40</v>
      </c>
      <c r="R169" s="213" t="s">
        <v>2</v>
      </c>
      <c r="S169" s="213">
        <f>IF(Q169&gt;0,IF(RIGHT(Ruimtestaat[[#This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69" s="213">
        <f>IF(S169&gt;0,VLOOKUP($J169,Ruimtegroepen[],3,FALSE)*VLOOKUP($L169,Vloersoorten[],3,FALSE)*VLOOKUP($R169,Frequenties[],3,FALSE)*VLOOKUP($A169,Locaties[],3,FALSE),0)</f>
        <v>0</v>
      </c>
      <c r="U169" s="213">
        <f>Ruimtestaat[[#This Row],[Uitvoeringen werkdagen]]*Ruimtestaat[[#This Row],[Oppervlak (netto)]]</f>
        <v>7600</v>
      </c>
      <c r="V169" s="253">
        <f>IF(T169&gt;0,Ruimtestaat[[#This Row],[Prest. (m2 /jaar) werkdagen]]/Ruimtestaat[[#This Row],[Norm (m2/uur) werkdagen]],0)</f>
        <v>0</v>
      </c>
      <c r="W169" s="254">
        <f>Ruimtestaat[[#This Row],[uren / jaar werkdagen]]*Tariefsopbouw!$D$38</f>
        <v>0</v>
      </c>
      <c r="X169" s="33"/>
      <c r="Y169" s="33">
        <f>IF(Ruimtestaat[[#This Row],[Frequentie weekend]]&gt;0,VALUE(LEFT(X169,1))*Q169,0)</f>
        <v>0</v>
      </c>
      <c r="Z169" s="33">
        <f>IF($Y169&gt;0,VLOOKUP($J169,Ruimtegroepen[],3,FALSE)*VLOOKUP($L169,Vloersoorten[],3,FALSE)*VLOOKUP($X169,Frequenties[],3,FALSE)*VLOOKUP(#REF!,Locaties[],3,FALSE),0)</f>
        <v>0</v>
      </c>
      <c r="AA169" s="33"/>
      <c r="AB169" s="33"/>
      <c r="AC169" s="33">
        <f>Ruimtestaat[[#This Row],[uren / jaar weekend]]*Tariefsopbouw!$D$40</f>
        <v>0</v>
      </c>
      <c r="AD169" s="88">
        <f>Ruimtestaat[[#This Row],[Prest. (m2 /jaar) weekend]]+Ruimtestaat[[#This Row],[Prest. (m2 /jaar) werkdagen]]</f>
        <v>7600</v>
      </c>
      <c r="AE169" s="88">
        <f>Ruimtestaat[[#This Row],[uren / jaar weekend]]+Ruimtestaat[[#This Row],[uren / jaar werkdagen]]</f>
        <v>0</v>
      </c>
      <c r="AF169" s="89">
        <f>Ruimtestaat[[#This Row],[kosten / jaar weekend]]+Ruimtestaat[[#This Row],[kosten / jaar werkdagen]]</f>
        <v>0</v>
      </c>
    </row>
    <row r="170" spans="1:32" ht="15" customHeight="1">
      <c r="A170" s="213">
        <v>3</v>
      </c>
      <c r="B170" s="200" t="str">
        <f>VLOOKUP(Ruimtestaat[[#This Row],[Code]],Locaties[#All],2,FALSE)</f>
        <v>Karel de Grote College</v>
      </c>
      <c r="C170" s="240" t="str">
        <f>VLOOKUP(Ruimtestaat[[#This Row],[Code]],Locaties[#All],4,FALSE)</f>
        <v>Wilhelminasingel 15</v>
      </c>
      <c r="D170" s="240" t="str">
        <f>VLOOKUP(Ruimtestaat[[#This Row],[Code]],Locaties[#All],5,FALSE)</f>
        <v>6524 AJ</v>
      </c>
      <c r="E170" s="240" t="str">
        <f>VLOOKUP(Ruimtestaat[[#This Row],[Code]],Locaties[#All],6,FALSE)</f>
        <v>Nijmegen</v>
      </c>
      <c r="F170" s="241" t="s">
        <v>846</v>
      </c>
      <c r="G170" s="200" t="s">
        <v>646</v>
      </c>
      <c r="H170" s="200" t="s">
        <v>537</v>
      </c>
      <c r="I170" s="241" t="s">
        <v>667</v>
      </c>
      <c r="J170" s="240">
        <v>9</v>
      </c>
      <c r="K170" s="256" t="str">
        <f>VLOOKUP(Ruimtestaat[[#This Row],[Ruimte code]],Ruimtegroepen[#All],2,FALSE)</f>
        <v>Garderobe</v>
      </c>
      <c r="L170" s="213" t="s">
        <v>110</v>
      </c>
      <c r="M170" s="268" t="s">
        <v>644</v>
      </c>
      <c r="N170" s="269">
        <v>23</v>
      </c>
      <c r="O170" s="212"/>
      <c r="P170" s="240" t="str">
        <f>VLOOKUP(Ruimtestaat[[#This Row],[Ruimte code]],Ruimtegroepen[#All],4,FALSE)</f>
        <v>V  (Verkeersruimte)</v>
      </c>
      <c r="Q170" s="213">
        <v>40</v>
      </c>
      <c r="R170" s="213" t="s">
        <v>2</v>
      </c>
      <c r="S170" s="213">
        <f>IF(Q170&gt;0,IF(RIGHT(Ruimtestaat[[#This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0" s="213">
        <f>IF(S170&gt;0,VLOOKUP($J170,Ruimtegroepen[],3,FALSE)*VLOOKUP($L170,Vloersoorten[],3,FALSE)*VLOOKUP($R170,Frequenties[],3,FALSE)*VLOOKUP($A170,Locaties[],3,FALSE),0)</f>
        <v>0</v>
      </c>
      <c r="U170" s="213">
        <f>Ruimtestaat[[#This Row],[Uitvoeringen werkdagen]]*Ruimtestaat[[#This Row],[Oppervlak (netto)]]</f>
        <v>4600</v>
      </c>
      <c r="V170" s="253">
        <f>IF(T170&gt;0,Ruimtestaat[[#This Row],[Prest. (m2 /jaar) werkdagen]]/Ruimtestaat[[#This Row],[Norm (m2/uur) werkdagen]],0)</f>
        <v>0</v>
      </c>
      <c r="W170" s="254">
        <f>Ruimtestaat[[#This Row],[uren / jaar werkdagen]]*Tariefsopbouw!$D$38</f>
        <v>0</v>
      </c>
      <c r="X170" s="33"/>
      <c r="Y170" s="33">
        <f>IF(Ruimtestaat[[#This Row],[Frequentie weekend]]&gt;0,VALUE(LEFT(X170,1))*Q170,0)</f>
        <v>0</v>
      </c>
      <c r="Z170" s="33">
        <f>IF($Y170&gt;0,VLOOKUP($J170,Ruimtegroepen[],3,FALSE)*VLOOKUP($L170,Vloersoorten[],3,FALSE)*VLOOKUP($X170,Frequenties[],3,FALSE)*VLOOKUP(#REF!,Locaties[],3,FALSE),0)</f>
        <v>0</v>
      </c>
      <c r="AA170" s="33"/>
      <c r="AB170" s="33"/>
      <c r="AC170" s="33">
        <f>Ruimtestaat[[#This Row],[uren / jaar weekend]]*Tariefsopbouw!$D$40</f>
        <v>0</v>
      </c>
      <c r="AD170" s="88">
        <f>Ruimtestaat[[#This Row],[Prest. (m2 /jaar) weekend]]+Ruimtestaat[[#This Row],[Prest. (m2 /jaar) werkdagen]]</f>
        <v>4600</v>
      </c>
      <c r="AE170" s="88">
        <f>Ruimtestaat[[#This Row],[uren / jaar weekend]]+Ruimtestaat[[#This Row],[uren / jaar werkdagen]]</f>
        <v>0</v>
      </c>
      <c r="AF170" s="89">
        <f>Ruimtestaat[[#This Row],[kosten / jaar weekend]]+Ruimtestaat[[#This Row],[kosten / jaar werkdagen]]</f>
        <v>0</v>
      </c>
    </row>
    <row r="171" spans="1:32" ht="15" customHeight="1">
      <c r="A171" s="213">
        <v>3</v>
      </c>
      <c r="B171" s="200" t="str">
        <f>VLOOKUP(Ruimtestaat[[#This Row],[Code]],Locaties[#All],2,FALSE)</f>
        <v>Karel de Grote College</v>
      </c>
      <c r="C171" s="240" t="str">
        <f>VLOOKUP(Ruimtestaat[[#This Row],[Code]],Locaties[#All],4,FALSE)</f>
        <v>Wilhelminasingel 15</v>
      </c>
      <c r="D171" s="240" t="str">
        <f>VLOOKUP(Ruimtestaat[[#This Row],[Code]],Locaties[#All],5,FALSE)</f>
        <v>6524 AJ</v>
      </c>
      <c r="E171" s="240" t="str">
        <f>VLOOKUP(Ruimtestaat[[#This Row],[Code]],Locaties[#All],6,FALSE)</f>
        <v>Nijmegen</v>
      </c>
      <c r="F171" s="241" t="s">
        <v>846</v>
      </c>
      <c r="G171" s="200" t="s">
        <v>646</v>
      </c>
      <c r="H171" s="200" t="s">
        <v>714</v>
      </c>
      <c r="I171" s="241" t="s">
        <v>668</v>
      </c>
      <c r="J171" s="240">
        <v>21</v>
      </c>
      <c r="K171" s="256" t="str">
        <f>VLOOKUP(Ruimtestaat[[#This Row],[Ruimte code]],Ruimtegroepen[#All],2,FALSE)</f>
        <v>Niet in onderhoud</v>
      </c>
      <c r="L171" s="240" t="s">
        <v>111</v>
      </c>
      <c r="M171" s="268" t="s">
        <v>554</v>
      </c>
      <c r="N171" s="269"/>
      <c r="O171" s="212">
        <v>7</v>
      </c>
      <c r="P171" s="240" t="str">
        <f>VLOOKUP(Ruimtestaat[[#This Row],[Ruimte code]],Ruimtegroepen[#All],4,FALSE)</f>
        <v>Niet in onderhoud</v>
      </c>
      <c r="Q171" s="213">
        <v>0</v>
      </c>
      <c r="R171" s="213"/>
      <c r="S171" s="213">
        <f>IF(Q171&gt;0,IF(RIGHT(Ruimtestaat[[#This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71" s="213">
        <f>IF(S171&gt;0,VLOOKUP($J171,Ruimtegroepen[],3,FALSE)*VLOOKUP($L171,Vloersoorten[],3,FALSE)*VLOOKUP($R171,Frequenties[],3,FALSE)*VLOOKUP($A171,Locaties[],3,FALSE),0)</f>
        <v>0</v>
      </c>
      <c r="U171" s="213">
        <f>Ruimtestaat[[#This Row],[Uitvoeringen werkdagen]]*Ruimtestaat[[#This Row],[Oppervlak (netto)]]</f>
        <v>0</v>
      </c>
      <c r="V171" s="253">
        <f>IF(T171&gt;0,Ruimtestaat[[#This Row],[Prest. (m2 /jaar) werkdagen]]/Ruimtestaat[[#This Row],[Norm (m2/uur) werkdagen]],0)</f>
        <v>0</v>
      </c>
      <c r="W171" s="254">
        <f>Ruimtestaat[[#This Row],[uren / jaar werkdagen]]*Tariefsopbouw!$D$38</f>
        <v>0</v>
      </c>
      <c r="X171" s="33"/>
      <c r="Y171" s="33">
        <f>IF(Ruimtestaat[[#This Row],[Frequentie weekend]]&gt;0,VALUE(LEFT(X171,1))*Q171,0)</f>
        <v>0</v>
      </c>
      <c r="Z171" s="33">
        <f>IF($Y171&gt;0,VLOOKUP($J171,Ruimtegroepen[],3,FALSE)*VLOOKUP($L171,Vloersoorten[],3,FALSE)*VLOOKUP($X171,Frequenties[],3,FALSE)*VLOOKUP(#REF!,Locaties[],3,FALSE),0)</f>
        <v>0</v>
      </c>
      <c r="AA171" s="33"/>
      <c r="AB171" s="33"/>
      <c r="AC171" s="33">
        <f>Ruimtestaat[[#This Row],[uren / jaar weekend]]*Tariefsopbouw!$D$40</f>
        <v>0</v>
      </c>
      <c r="AD171" s="88">
        <f>Ruimtestaat[[#This Row],[Prest. (m2 /jaar) weekend]]+Ruimtestaat[[#This Row],[Prest. (m2 /jaar) werkdagen]]</f>
        <v>0</v>
      </c>
      <c r="AE171" s="88">
        <f>Ruimtestaat[[#This Row],[uren / jaar weekend]]+Ruimtestaat[[#This Row],[uren / jaar werkdagen]]</f>
        <v>0</v>
      </c>
      <c r="AF171" s="89">
        <f>Ruimtestaat[[#This Row],[kosten / jaar weekend]]+Ruimtestaat[[#This Row],[kosten / jaar werkdagen]]</f>
        <v>0</v>
      </c>
    </row>
    <row r="172" spans="1:32" ht="15" customHeight="1">
      <c r="A172" s="213">
        <v>3</v>
      </c>
      <c r="B172" s="200" t="str">
        <f>VLOOKUP(Ruimtestaat[[#This Row],[Code]],Locaties[#All],2,FALSE)</f>
        <v>Karel de Grote College</v>
      </c>
      <c r="C172" s="240" t="str">
        <f>VLOOKUP(Ruimtestaat[[#This Row],[Code]],Locaties[#All],4,FALSE)</f>
        <v>Wilhelminasingel 15</v>
      </c>
      <c r="D172" s="240" t="str">
        <f>VLOOKUP(Ruimtestaat[[#This Row],[Code]],Locaties[#All],5,FALSE)</f>
        <v>6524 AJ</v>
      </c>
      <c r="E172" s="240" t="str">
        <f>VLOOKUP(Ruimtestaat[[#This Row],[Code]],Locaties[#All],6,FALSE)</f>
        <v>Nijmegen</v>
      </c>
      <c r="F172" s="241" t="s">
        <v>846</v>
      </c>
      <c r="G172" s="200" t="s">
        <v>646</v>
      </c>
      <c r="H172" s="200" t="s">
        <v>715</v>
      </c>
      <c r="I172" s="241" t="s">
        <v>669</v>
      </c>
      <c r="J172" s="240">
        <v>21</v>
      </c>
      <c r="K172" s="256" t="str">
        <f>VLOOKUP(Ruimtestaat[[#This Row],[Ruimte code]],Ruimtegroepen[#All],2,FALSE)</f>
        <v>Niet in onderhoud</v>
      </c>
      <c r="L172" s="240" t="s">
        <v>111</v>
      </c>
      <c r="M172" s="268" t="s">
        <v>554</v>
      </c>
      <c r="N172" s="269"/>
      <c r="O172" s="212">
        <v>5</v>
      </c>
      <c r="P172" s="240" t="str">
        <f>VLOOKUP(Ruimtestaat[[#This Row],[Ruimte code]],Ruimtegroepen[#All],4,FALSE)</f>
        <v>Niet in onderhoud</v>
      </c>
      <c r="Q172" s="213">
        <v>0</v>
      </c>
      <c r="R172" s="213"/>
      <c r="S172" s="213">
        <f>IF(Q172&gt;0,IF(RIGHT(Ruimtestaat[[#This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72" s="213">
        <f>IF(S172&gt;0,VLOOKUP($J172,Ruimtegroepen[],3,FALSE)*VLOOKUP($L172,Vloersoorten[],3,FALSE)*VLOOKUP($R172,Frequenties[],3,FALSE)*VLOOKUP($A172,Locaties[],3,FALSE),0)</f>
        <v>0</v>
      </c>
      <c r="U172" s="213">
        <f>Ruimtestaat[[#This Row],[Uitvoeringen werkdagen]]*Ruimtestaat[[#This Row],[Oppervlak (netto)]]</f>
        <v>0</v>
      </c>
      <c r="V172" s="253">
        <f>IF(T172&gt;0,Ruimtestaat[[#This Row],[Prest. (m2 /jaar) werkdagen]]/Ruimtestaat[[#This Row],[Norm (m2/uur) werkdagen]],0)</f>
        <v>0</v>
      </c>
      <c r="W172" s="254">
        <f>Ruimtestaat[[#This Row],[uren / jaar werkdagen]]*Tariefsopbouw!$D$38</f>
        <v>0</v>
      </c>
      <c r="X172" s="33"/>
      <c r="Y172" s="33">
        <f>IF(Ruimtestaat[[#This Row],[Frequentie weekend]]&gt;0,VALUE(LEFT(X172,1))*Q172,0)</f>
        <v>0</v>
      </c>
      <c r="Z172" s="33">
        <f>IF($Y172&gt;0,VLOOKUP($J172,Ruimtegroepen[],3,FALSE)*VLOOKUP($L172,Vloersoorten[],3,FALSE)*VLOOKUP($X172,Frequenties[],3,FALSE)*VLOOKUP(#REF!,Locaties[],3,FALSE),0)</f>
        <v>0</v>
      </c>
      <c r="AA172" s="33"/>
      <c r="AB172" s="33"/>
      <c r="AC172" s="33">
        <f>Ruimtestaat[[#This Row],[uren / jaar weekend]]*Tariefsopbouw!$D$40</f>
        <v>0</v>
      </c>
      <c r="AD172" s="88">
        <f>Ruimtestaat[[#This Row],[Prest. (m2 /jaar) weekend]]+Ruimtestaat[[#This Row],[Prest. (m2 /jaar) werkdagen]]</f>
        <v>0</v>
      </c>
      <c r="AE172" s="88">
        <f>Ruimtestaat[[#This Row],[uren / jaar weekend]]+Ruimtestaat[[#This Row],[uren / jaar werkdagen]]</f>
        <v>0</v>
      </c>
      <c r="AF172" s="89">
        <f>Ruimtestaat[[#This Row],[kosten / jaar weekend]]+Ruimtestaat[[#This Row],[kosten / jaar werkdagen]]</f>
        <v>0</v>
      </c>
    </row>
    <row r="173" spans="1:32" ht="15" customHeight="1">
      <c r="A173" s="213">
        <v>3</v>
      </c>
      <c r="B173" s="200" t="str">
        <f>VLOOKUP(Ruimtestaat[[#This Row],[Code]],Locaties[#All],2,FALSE)</f>
        <v>Karel de Grote College</v>
      </c>
      <c r="C173" s="240" t="str">
        <f>VLOOKUP(Ruimtestaat[[#This Row],[Code]],Locaties[#All],4,FALSE)</f>
        <v>Wilhelminasingel 15</v>
      </c>
      <c r="D173" s="240" t="str">
        <f>VLOOKUP(Ruimtestaat[[#This Row],[Code]],Locaties[#All],5,FALSE)</f>
        <v>6524 AJ</v>
      </c>
      <c r="E173" s="240" t="str">
        <f>VLOOKUP(Ruimtestaat[[#This Row],[Code]],Locaties[#All],6,FALSE)</f>
        <v>Nijmegen</v>
      </c>
      <c r="F173" s="241" t="s">
        <v>846</v>
      </c>
      <c r="G173" s="200" t="s">
        <v>646</v>
      </c>
      <c r="H173" s="200" t="s">
        <v>461</v>
      </c>
      <c r="I173" s="241" t="s">
        <v>670</v>
      </c>
      <c r="J173" s="200">
        <v>5</v>
      </c>
      <c r="K173" s="256" t="str">
        <f>VLOOKUP(Ruimtestaat[[#This Row],[Ruimte code]],Ruimtegroepen[#All],2,FALSE)</f>
        <v>Sanitair</v>
      </c>
      <c r="L173" s="240" t="s">
        <v>111</v>
      </c>
      <c r="M173" s="268" t="s">
        <v>554</v>
      </c>
      <c r="N173" s="269">
        <v>16</v>
      </c>
      <c r="O173" s="212"/>
      <c r="P173" s="240" t="str">
        <f>VLOOKUP(Ruimtestaat[[#This Row],[Ruimte code]],Ruimtegroepen[#All],4,FALSE)</f>
        <v>S  (Sanitair)</v>
      </c>
      <c r="Q173" s="213">
        <v>40</v>
      </c>
      <c r="R173" s="213" t="s">
        <v>2</v>
      </c>
      <c r="S173" s="213">
        <f>IF(Q173&gt;0,IF(RIGHT(Ruimtestaat[[#This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3" s="213">
        <f>IF(S173&gt;0,VLOOKUP($J173,Ruimtegroepen[],3,FALSE)*VLOOKUP($L173,Vloersoorten[],3,FALSE)*VLOOKUP($R173,Frequenties[],3,FALSE)*VLOOKUP($A173,Locaties[],3,FALSE),0)</f>
        <v>0</v>
      </c>
      <c r="U173" s="213">
        <f>Ruimtestaat[[#This Row],[Uitvoeringen werkdagen]]*Ruimtestaat[[#This Row],[Oppervlak (netto)]]</f>
        <v>3200</v>
      </c>
      <c r="V173" s="253">
        <f>IF(T173&gt;0,Ruimtestaat[[#This Row],[Prest. (m2 /jaar) werkdagen]]/Ruimtestaat[[#This Row],[Norm (m2/uur) werkdagen]],0)</f>
        <v>0</v>
      </c>
      <c r="W173" s="254">
        <f>Ruimtestaat[[#This Row],[uren / jaar werkdagen]]*Tariefsopbouw!$D$38</f>
        <v>0</v>
      </c>
      <c r="X173" s="33"/>
      <c r="Y173" s="33">
        <f>IF(Ruimtestaat[[#This Row],[Frequentie weekend]]&gt;0,VALUE(LEFT(X173,1))*Q173,0)</f>
        <v>0</v>
      </c>
      <c r="Z173" s="33">
        <f>IF($Y173&gt;0,VLOOKUP($J173,Ruimtegroepen[],3,FALSE)*VLOOKUP($L173,Vloersoorten[],3,FALSE)*VLOOKUP($X173,Frequenties[],3,FALSE)*VLOOKUP(#REF!,Locaties[],3,FALSE),0)</f>
        <v>0</v>
      </c>
      <c r="AA173" s="33"/>
      <c r="AB173" s="33"/>
      <c r="AC173" s="33">
        <f>Ruimtestaat[[#This Row],[uren / jaar weekend]]*Tariefsopbouw!$D$40</f>
        <v>0</v>
      </c>
      <c r="AD173" s="88">
        <f>Ruimtestaat[[#This Row],[Prest. (m2 /jaar) weekend]]+Ruimtestaat[[#This Row],[Prest. (m2 /jaar) werkdagen]]</f>
        <v>3200</v>
      </c>
      <c r="AE173" s="88">
        <f>Ruimtestaat[[#This Row],[uren / jaar weekend]]+Ruimtestaat[[#This Row],[uren / jaar werkdagen]]</f>
        <v>0</v>
      </c>
      <c r="AF173" s="89">
        <f>Ruimtestaat[[#This Row],[kosten / jaar weekend]]+Ruimtestaat[[#This Row],[kosten / jaar werkdagen]]</f>
        <v>0</v>
      </c>
    </row>
    <row r="174" spans="1:32" ht="15" customHeight="1">
      <c r="A174" s="213">
        <v>3</v>
      </c>
      <c r="B174" s="200" t="str">
        <f>VLOOKUP(Ruimtestaat[[#This Row],[Code]],Locaties[#All],2,FALSE)</f>
        <v>Karel de Grote College</v>
      </c>
      <c r="C174" s="240" t="str">
        <f>VLOOKUP(Ruimtestaat[[#This Row],[Code]],Locaties[#All],4,FALSE)</f>
        <v>Wilhelminasingel 15</v>
      </c>
      <c r="D174" s="240" t="str">
        <f>VLOOKUP(Ruimtestaat[[#This Row],[Code]],Locaties[#All],5,FALSE)</f>
        <v>6524 AJ</v>
      </c>
      <c r="E174" s="240" t="str">
        <f>VLOOKUP(Ruimtestaat[[#This Row],[Code]],Locaties[#All],6,FALSE)</f>
        <v>Nijmegen</v>
      </c>
      <c r="F174" s="241" t="s">
        <v>845</v>
      </c>
      <c r="G174" s="200" t="s">
        <v>646</v>
      </c>
      <c r="H174" s="200" t="s">
        <v>462</v>
      </c>
      <c r="I174" s="241" t="s">
        <v>671</v>
      </c>
      <c r="J174" s="200">
        <v>11</v>
      </c>
      <c r="K174" s="256" t="str">
        <f>VLOOKUP(Ruimtestaat[[#This Row],[Ruimte code]],Ruimtegroepen[#All],2,FALSE)</f>
        <v>Handvaardigheidlokaal</v>
      </c>
      <c r="L174" s="240" t="s">
        <v>112</v>
      </c>
      <c r="M174" s="268" t="s">
        <v>645</v>
      </c>
      <c r="N174" s="269">
        <v>69</v>
      </c>
      <c r="O174" s="212"/>
      <c r="P174" s="240" t="str">
        <f>VLOOKUP(Ruimtestaat[[#This Row],[Ruimte code]],Ruimtegroepen[#All],4,FALSE)</f>
        <v>L  (Lesruimte)</v>
      </c>
      <c r="Q174" s="213">
        <v>40</v>
      </c>
      <c r="R174" s="213" t="s">
        <v>2</v>
      </c>
      <c r="S174" s="213">
        <f>IF(Q174&gt;0,IF(RIGHT(Ruimtestaat[[#This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4" s="213">
        <f>IF(S174&gt;0,VLOOKUP($J174,Ruimtegroepen[],3,FALSE)*VLOOKUP($L174,Vloersoorten[],3,FALSE)*VLOOKUP($R174,Frequenties[],3,FALSE)*VLOOKUP($A174,Locaties[],3,FALSE),0)</f>
        <v>0</v>
      </c>
      <c r="U174" s="213">
        <f>Ruimtestaat[[#This Row],[Uitvoeringen werkdagen]]*Ruimtestaat[[#This Row],[Oppervlak (netto)]]</f>
        <v>13800</v>
      </c>
      <c r="V174" s="253">
        <f>IF(T174&gt;0,Ruimtestaat[[#This Row],[Prest. (m2 /jaar) werkdagen]]/Ruimtestaat[[#This Row],[Norm (m2/uur) werkdagen]],0)</f>
        <v>0</v>
      </c>
      <c r="W174" s="254">
        <f>Ruimtestaat[[#This Row],[uren / jaar werkdagen]]*Tariefsopbouw!$D$38</f>
        <v>0</v>
      </c>
      <c r="X174" s="33"/>
      <c r="Y174" s="33">
        <f>IF(Ruimtestaat[[#This Row],[Frequentie weekend]]&gt;0,VALUE(LEFT(X174,1))*Q174,0)</f>
        <v>0</v>
      </c>
      <c r="Z174" s="33">
        <f>IF($Y174&gt;0,VLOOKUP($J174,Ruimtegroepen[],3,FALSE)*VLOOKUP($L174,Vloersoorten[],3,FALSE)*VLOOKUP($X174,Frequenties[],3,FALSE)*VLOOKUP(#REF!,Locaties[],3,FALSE),0)</f>
        <v>0</v>
      </c>
      <c r="AA174" s="33"/>
      <c r="AB174" s="33"/>
      <c r="AC174" s="33">
        <f>Ruimtestaat[[#This Row],[uren / jaar weekend]]*Tariefsopbouw!$D$40</f>
        <v>0</v>
      </c>
      <c r="AD174" s="88">
        <f>Ruimtestaat[[#This Row],[Prest. (m2 /jaar) weekend]]+Ruimtestaat[[#This Row],[Prest. (m2 /jaar) werkdagen]]</f>
        <v>13800</v>
      </c>
      <c r="AE174" s="88">
        <f>Ruimtestaat[[#This Row],[uren / jaar weekend]]+Ruimtestaat[[#This Row],[uren / jaar werkdagen]]</f>
        <v>0</v>
      </c>
      <c r="AF174" s="89">
        <f>Ruimtestaat[[#This Row],[kosten / jaar weekend]]+Ruimtestaat[[#This Row],[kosten / jaar werkdagen]]</f>
        <v>0</v>
      </c>
    </row>
    <row r="175" spans="1:32" ht="15" customHeight="1">
      <c r="A175" s="213">
        <v>3</v>
      </c>
      <c r="B175" s="200" t="str">
        <f>VLOOKUP(Ruimtestaat[[#This Row],[Code]],Locaties[#All],2,FALSE)</f>
        <v>Karel de Grote College</v>
      </c>
      <c r="C175" s="240" t="str">
        <f>VLOOKUP(Ruimtestaat[[#This Row],[Code]],Locaties[#All],4,FALSE)</f>
        <v>Wilhelminasingel 15</v>
      </c>
      <c r="D175" s="240" t="str">
        <f>VLOOKUP(Ruimtestaat[[#This Row],[Code]],Locaties[#All],5,FALSE)</f>
        <v>6524 AJ</v>
      </c>
      <c r="E175" s="240" t="str">
        <f>VLOOKUP(Ruimtestaat[[#This Row],[Code]],Locaties[#All],6,FALSE)</f>
        <v>Nijmegen</v>
      </c>
      <c r="F175" s="241" t="s">
        <v>845</v>
      </c>
      <c r="G175" s="200" t="s">
        <v>646</v>
      </c>
      <c r="H175" s="200" t="s">
        <v>716</v>
      </c>
      <c r="I175" s="241" t="s">
        <v>672</v>
      </c>
      <c r="J175" s="200">
        <v>11</v>
      </c>
      <c r="K175" s="256" t="str">
        <f>VLOOKUP(Ruimtestaat[[#This Row],[Ruimte code]],Ruimtegroepen[#All],2,FALSE)</f>
        <v>Handvaardigheidlokaal</v>
      </c>
      <c r="L175" s="240" t="s">
        <v>112</v>
      </c>
      <c r="M175" s="268" t="s">
        <v>645</v>
      </c>
      <c r="N175" s="269">
        <v>37</v>
      </c>
      <c r="O175" s="212"/>
      <c r="P175" s="240" t="str">
        <f>VLOOKUP(Ruimtestaat[[#This Row],[Ruimte code]],Ruimtegroepen[#All],4,FALSE)</f>
        <v>L  (Lesruimte)</v>
      </c>
      <c r="Q175" s="213">
        <v>40</v>
      </c>
      <c r="R175" s="213" t="s">
        <v>2</v>
      </c>
      <c r="S175" s="213">
        <f>IF(Q175&gt;0,IF(RIGHT(Ruimtestaat[[#This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5" s="213">
        <f>IF(S175&gt;0,VLOOKUP($J175,Ruimtegroepen[],3,FALSE)*VLOOKUP($L175,Vloersoorten[],3,FALSE)*VLOOKUP($R175,Frequenties[],3,FALSE)*VLOOKUP($A175,Locaties[],3,FALSE),0)</f>
        <v>0</v>
      </c>
      <c r="U175" s="213">
        <f>Ruimtestaat[[#This Row],[Uitvoeringen werkdagen]]*Ruimtestaat[[#This Row],[Oppervlak (netto)]]</f>
        <v>7400</v>
      </c>
      <c r="V175" s="253">
        <f>IF(T175&gt;0,Ruimtestaat[[#This Row],[Prest. (m2 /jaar) werkdagen]]/Ruimtestaat[[#This Row],[Norm (m2/uur) werkdagen]],0)</f>
        <v>0</v>
      </c>
      <c r="W175" s="254">
        <f>Ruimtestaat[[#This Row],[uren / jaar werkdagen]]*Tariefsopbouw!$D$38</f>
        <v>0</v>
      </c>
      <c r="X175" s="33"/>
      <c r="Y175" s="33">
        <f>IF(Ruimtestaat[[#This Row],[Frequentie weekend]]&gt;0,VALUE(LEFT(X175,1))*Q175,0)</f>
        <v>0</v>
      </c>
      <c r="Z175" s="33">
        <f>IF($Y175&gt;0,VLOOKUP($J175,Ruimtegroepen[],3,FALSE)*VLOOKUP($L175,Vloersoorten[],3,FALSE)*VLOOKUP($X175,Frequenties[],3,FALSE)*VLOOKUP(#REF!,Locaties[],3,FALSE),0)</f>
        <v>0</v>
      </c>
      <c r="AA175" s="33"/>
      <c r="AB175" s="33"/>
      <c r="AC175" s="33">
        <f>Ruimtestaat[[#This Row],[uren / jaar weekend]]*Tariefsopbouw!$D$40</f>
        <v>0</v>
      </c>
      <c r="AD175" s="88">
        <f>Ruimtestaat[[#This Row],[Prest. (m2 /jaar) weekend]]+Ruimtestaat[[#This Row],[Prest. (m2 /jaar) werkdagen]]</f>
        <v>7400</v>
      </c>
      <c r="AE175" s="88">
        <f>Ruimtestaat[[#This Row],[uren / jaar weekend]]+Ruimtestaat[[#This Row],[uren / jaar werkdagen]]</f>
        <v>0</v>
      </c>
      <c r="AF175" s="89">
        <f>Ruimtestaat[[#This Row],[kosten / jaar weekend]]+Ruimtestaat[[#This Row],[kosten / jaar werkdagen]]</f>
        <v>0</v>
      </c>
    </row>
    <row r="176" spans="1:32" ht="15" customHeight="1">
      <c r="A176" s="213">
        <v>3</v>
      </c>
      <c r="B176" s="200" t="str">
        <f>VLOOKUP(Ruimtestaat[[#This Row],[Code]],Locaties[#All],2,FALSE)</f>
        <v>Karel de Grote College</v>
      </c>
      <c r="C176" s="240" t="str">
        <f>VLOOKUP(Ruimtestaat[[#This Row],[Code]],Locaties[#All],4,FALSE)</f>
        <v>Wilhelminasingel 15</v>
      </c>
      <c r="D176" s="240" t="str">
        <f>VLOOKUP(Ruimtestaat[[#This Row],[Code]],Locaties[#All],5,FALSE)</f>
        <v>6524 AJ</v>
      </c>
      <c r="E176" s="240" t="str">
        <f>VLOOKUP(Ruimtestaat[[#This Row],[Code]],Locaties[#All],6,FALSE)</f>
        <v>Nijmegen</v>
      </c>
      <c r="F176" s="241" t="s">
        <v>845</v>
      </c>
      <c r="G176" s="200" t="s">
        <v>646</v>
      </c>
      <c r="H176" s="200" t="s">
        <v>463</v>
      </c>
      <c r="I176" s="241" t="s">
        <v>673</v>
      </c>
      <c r="J176" s="200">
        <v>16</v>
      </c>
      <c r="K176" s="256" t="str">
        <f>VLOOKUP(Ruimtestaat[[#This Row],[Ruimte code]],Ruimtegroepen[#All],2,FALSE)</f>
        <v>Lokaal</v>
      </c>
      <c r="L176" s="240" t="s">
        <v>112</v>
      </c>
      <c r="M176" s="268" t="s">
        <v>645</v>
      </c>
      <c r="N176" s="269">
        <v>66</v>
      </c>
      <c r="O176" s="212"/>
      <c r="P176" s="240" t="str">
        <f>VLOOKUP(Ruimtestaat[[#This Row],[Ruimte code]],Ruimtegroepen[#All],4,FALSE)</f>
        <v>L  (Lesruimte)</v>
      </c>
      <c r="Q176" s="213">
        <v>40</v>
      </c>
      <c r="R176" s="213" t="s">
        <v>2</v>
      </c>
      <c r="S176" s="213">
        <f>IF(Q176&gt;0,IF(RIGHT(Ruimtestaat[[#This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6" s="213">
        <f>IF(S176&gt;0,VLOOKUP($J176,Ruimtegroepen[],3,FALSE)*VLOOKUP($L176,Vloersoorten[],3,FALSE)*VLOOKUP($R176,Frequenties[],3,FALSE)*VLOOKUP($A176,Locaties[],3,FALSE),0)</f>
        <v>0</v>
      </c>
      <c r="U176" s="213">
        <f>Ruimtestaat[[#This Row],[Uitvoeringen werkdagen]]*Ruimtestaat[[#This Row],[Oppervlak (netto)]]</f>
        <v>13200</v>
      </c>
      <c r="V176" s="253">
        <f>IF(T176&gt;0,Ruimtestaat[[#This Row],[Prest. (m2 /jaar) werkdagen]]/Ruimtestaat[[#This Row],[Norm (m2/uur) werkdagen]],0)</f>
        <v>0</v>
      </c>
      <c r="W176" s="254">
        <f>Ruimtestaat[[#This Row],[uren / jaar werkdagen]]*Tariefsopbouw!$D$38</f>
        <v>0</v>
      </c>
      <c r="X176" s="33"/>
      <c r="Y176" s="33">
        <f>IF(Ruimtestaat[[#This Row],[Frequentie weekend]]&gt;0,VALUE(LEFT(X176,1))*Q176,0)</f>
        <v>0</v>
      </c>
      <c r="Z176" s="33">
        <f>IF($Y176&gt;0,VLOOKUP($J176,Ruimtegroepen[],3,FALSE)*VLOOKUP($L176,Vloersoorten[],3,FALSE)*VLOOKUP($X176,Frequenties[],3,FALSE)*VLOOKUP(#REF!,Locaties[],3,FALSE),0)</f>
        <v>0</v>
      </c>
      <c r="AA176" s="33"/>
      <c r="AB176" s="33"/>
      <c r="AC176" s="33">
        <f>Ruimtestaat[[#This Row],[uren / jaar weekend]]*Tariefsopbouw!$D$40</f>
        <v>0</v>
      </c>
      <c r="AD176" s="88">
        <f>Ruimtestaat[[#This Row],[Prest. (m2 /jaar) weekend]]+Ruimtestaat[[#This Row],[Prest. (m2 /jaar) werkdagen]]</f>
        <v>13200</v>
      </c>
      <c r="AE176" s="88">
        <f>Ruimtestaat[[#This Row],[uren / jaar weekend]]+Ruimtestaat[[#This Row],[uren / jaar werkdagen]]</f>
        <v>0</v>
      </c>
      <c r="AF176" s="89">
        <f>Ruimtestaat[[#This Row],[kosten / jaar weekend]]+Ruimtestaat[[#This Row],[kosten / jaar werkdagen]]</f>
        <v>0</v>
      </c>
    </row>
    <row r="177" spans="1:32" ht="15" customHeight="1">
      <c r="A177" s="213">
        <v>3</v>
      </c>
      <c r="B177" s="200" t="str">
        <f>VLOOKUP(Ruimtestaat[[#This Row],[Code]],Locaties[#All],2,FALSE)</f>
        <v>Karel de Grote College</v>
      </c>
      <c r="C177" s="240" t="str">
        <f>VLOOKUP(Ruimtestaat[[#This Row],[Code]],Locaties[#All],4,FALSE)</f>
        <v>Wilhelminasingel 15</v>
      </c>
      <c r="D177" s="240" t="str">
        <f>VLOOKUP(Ruimtestaat[[#This Row],[Code]],Locaties[#All],5,FALSE)</f>
        <v>6524 AJ</v>
      </c>
      <c r="E177" s="240" t="str">
        <f>VLOOKUP(Ruimtestaat[[#This Row],[Code]],Locaties[#All],6,FALSE)</f>
        <v>Nijmegen</v>
      </c>
      <c r="F177" s="241" t="s">
        <v>845</v>
      </c>
      <c r="G177" s="200" t="s">
        <v>646</v>
      </c>
      <c r="H177" s="200" t="s">
        <v>465</v>
      </c>
      <c r="I177" s="241" t="s">
        <v>673</v>
      </c>
      <c r="J177" s="200">
        <v>16</v>
      </c>
      <c r="K177" s="256" t="str">
        <f>VLOOKUP(Ruimtestaat[[#This Row],[Ruimte code]],Ruimtegroepen[#All],2,FALSE)</f>
        <v>Lokaal</v>
      </c>
      <c r="L177" s="213" t="s">
        <v>110</v>
      </c>
      <c r="M177" s="268" t="s">
        <v>644</v>
      </c>
      <c r="N177" s="269">
        <v>54</v>
      </c>
      <c r="O177" s="212"/>
      <c r="P177" s="240" t="str">
        <f>VLOOKUP(Ruimtestaat[[#This Row],[Ruimte code]],Ruimtegroepen[#All],4,FALSE)</f>
        <v>L  (Lesruimte)</v>
      </c>
      <c r="Q177" s="213">
        <v>40</v>
      </c>
      <c r="R177" s="213" t="s">
        <v>2</v>
      </c>
      <c r="S177" s="213">
        <f>IF(Q177&gt;0,IF(RIGHT(Ruimtestaat[[#This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7" s="213">
        <f>IF(S177&gt;0,VLOOKUP($J177,Ruimtegroepen[],3,FALSE)*VLOOKUP($L177,Vloersoorten[],3,FALSE)*VLOOKUP($R177,Frequenties[],3,FALSE)*VLOOKUP($A177,Locaties[],3,FALSE),0)</f>
        <v>0</v>
      </c>
      <c r="U177" s="213">
        <f>Ruimtestaat[[#This Row],[Uitvoeringen werkdagen]]*Ruimtestaat[[#This Row],[Oppervlak (netto)]]</f>
        <v>10800</v>
      </c>
      <c r="V177" s="253">
        <f>IF(T177&gt;0,Ruimtestaat[[#This Row],[Prest. (m2 /jaar) werkdagen]]/Ruimtestaat[[#This Row],[Norm (m2/uur) werkdagen]],0)</f>
        <v>0</v>
      </c>
      <c r="W177" s="254">
        <f>Ruimtestaat[[#This Row],[uren / jaar werkdagen]]*Tariefsopbouw!$D$38</f>
        <v>0</v>
      </c>
      <c r="X177" s="33"/>
      <c r="Y177" s="33">
        <f>IF(Ruimtestaat[[#This Row],[Frequentie weekend]]&gt;0,VALUE(LEFT(X177,1))*Q177,0)</f>
        <v>0</v>
      </c>
      <c r="Z177" s="33">
        <f>IF($Y177&gt;0,VLOOKUP($J177,Ruimtegroepen[],3,FALSE)*VLOOKUP($L177,Vloersoorten[],3,FALSE)*VLOOKUP($X177,Frequenties[],3,FALSE)*VLOOKUP(#REF!,Locaties[],3,FALSE),0)</f>
        <v>0</v>
      </c>
      <c r="AA177" s="33"/>
      <c r="AB177" s="33"/>
      <c r="AC177" s="33">
        <f>Ruimtestaat[[#This Row],[uren / jaar weekend]]*Tariefsopbouw!$D$40</f>
        <v>0</v>
      </c>
      <c r="AD177" s="88">
        <f>Ruimtestaat[[#This Row],[Prest. (m2 /jaar) weekend]]+Ruimtestaat[[#This Row],[Prest. (m2 /jaar) werkdagen]]</f>
        <v>10800</v>
      </c>
      <c r="AE177" s="88">
        <f>Ruimtestaat[[#This Row],[uren / jaar weekend]]+Ruimtestaat[[#This Row],[uren / jaar werkdagen]]</f>
        <v>0</v>
      </c>
      <c r="AF177" s="89">
        <f>Ruimtestaat[[#This Row],[kosten / jaar weekend]]+Ruimtestaat[[#This Row],[kosten / jaar werkdagen]]</f>
        <v>0</v>
      </c>
    </row>
    <row r="178" spans="1:32" ht="15" customHeight="1">
      <c r="A178" s="213">
        <v>3</v>
      </c>
      <c r="B178" s="200" t="str">
        <f>VLOOKUP(Ruimtestaat[[#This Row],[Code]],Locaties[#All],2,FALSE)</f>
        <v>Karel de Grote College</v>
      </c>
      <c r="C178" s="240" t="str">
        <f>VLOOKUP(Ruimtestaat[[#This Row],[Code]],Locaties[#All],4,FALSE)</f>
        <v>Wilhelminasingel 15</v>
      </c>
      <c r="D178" s="240" t="str">
        <f>VLOOKUP(Ruimtestaat[[#This Row],[Code]],Locaties[#All],5,FALSE)</f>
        <v>6524 AJ</v>
      </c>
      <c r="E178" s="240" t="str">
        <f>VLOOKUP(Ruimtestaat[[#This Row],[Code]],Locaties[#All],6,FALSE)</f>
        <v>Nijmegen</v>
      </c>
      <c r="F178" s="241" t="s">
        <v>845</v>
      </c>
      <c r="G178" s="200" t="s">
        <v>646</v>
      </c>
      <c r="H178" s="200" t="s">
        <v>541</v>
      </c>
      <c r="I178" s="241" t="s">
        <v>674</v>
      </c>
      <c r="J178" s="213">
        <v>6</v>
      </c>
      <c r="K178" s="256" t="str">
        <f>VLOOKUP(Ruimtestaat[[#This Row],[Ruimte code]],Ruimtegroepen[#All],2,FALSE)</f>
        <v>Gangen/hallen</v>
      </c>
      <c r="L178" s="240" t="s">
        <v>112</v>
      </c>
      <c r="M178" s="268" t="s">
        <v>765</v>
      </c>
      <c r="N178" s="269">
        <v>10</v>
      </c>
      <c r="O178" s="212"/>
      <c r="P178" s="240" t="str">
        <f>VLOOKUP(Ruimtestaat[[#This Row],[Ruimte code]],Ruimtegroepen[#All],4,FALSE)</f>
        <v>V  (Verkeersruimte)</v>
      </c>
      <c r="Q178" s="213">
        <v>40</v>
      </c>
      <c r="R178" s="213" t="s">
        <v>2</v>
      </c>
      <c r="S178" s="213">
        <f>IF(Q178&gt;0,IF(RIGHT(Ruimtestaat[[#This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8" s="213">
        <f>IF(S178&gt;0,VLOOKUP($J178,Ruimtegroepen[],3,FALSE)*VLOOKUP($L178,Vloersoorten[],3,FALSE)*VLOOKUP($R178,Frequenties[],3,FALSE)*VLOOKUP($A178,Locaties[],3,FALSE),0)</f>
        <v>0</v>
      </c>
      <c r="U178" s="213">
        <f>Ruimtestaat[[#This Row],[Uitvoeringen werkdagen]]*Ruimtestaat[[#This Row],[Oppervlak (netto)]]</f>
        <v>2000</v>
      </c>
      <c r="V178" s="253">
        <f>IF(T178&gt;0,Ruimtestaat[[#This Row],[Prest. (m2 /jaar) werkdagen]]/Ruimtestaat[[#This Row],[Norm (m2/uur) werkdagen]],0)</f>
        <v>0</v>
      </c>
      <c r="W178" s="254">
        <f>Ruimtestaat[[#This Row],[uren / jaar werkdagen]]*Tariefsopbouw!$D$38</f>
        <v>0</v>
      </c>
      <c r="X178" s="33"/>
      <c r="Y178" s="33">
        <f>IF(Ruimtestaat[[#This Row],[Frequentie weekend]]&gt;0,VALUE(LEFT(X178,1))*Q178,0)</f>
        <v>0</v>
      </c>
      <c r="Z178" s="33">
        <f>IF($Y178&gt;0,VLOOKUP($J178,Ruimtegroepen[],3,FALSE)*VLOOKUP($L178,Vloersoorten[],3,FALSE)*VLOOKUP($X178,Frequenties[],3,FALSE)*VLOOKUP(#REF!,Locaties[],3,FALSE),0)</f>
        <v>0</v>
      </c>
      <c r="AA178" s="33"/>
      <c r="AB178" s="33"/>
      <c r="AC178" s="33">
        <f>Ruimtestaat[[#This Row],[uren / jaar weekend]]*Tariefsopbouw!$D$40</f>
        <v>0</v>
      </c>
      <c r="AD178" s="88">
        <f>Ruimtestaat[[#This Row],[Prest. (m2 /jaar) weekend]]+Ruimtestaat[[#This Row],[Prest. (m2 /jaar) werkdagen]]</f>
        <v>2000</v>
      </c>
      <c r="AE178" s="88">
        <f>Ruimtestaat[[#This Row],[uren / jaar weekend]]+Ruimtestaat[[#This Row],[uren / jaar werkdagen]]</f>
        <v>0</v>
      </c>
      <c r="AF178" s="89">
        <f>Ruimtestaat[[#This Row],[kosten / jaar weekend]]+Ruimtestaat[[#This Row],[kosten / jaar werkdagen]]</f>
        <v>0</v>
      </c>
    </row>
    <row r="179" spans="1:32" ht="15" customHeight="1">
      <c r="A179" s="213">
        <v>3</v>
      </c>
      <c r="B179" s="200" t="str">
        <f>VLOOKUP(Ruimtestaat[[#This Row],[Code]],Locaties[#All],2,FALSE)</f>
        <v>Karel de Grote College</v>
      </c>
      <c r="C179" s="240" t="str">
        <f>VLOOKUP(Ruimtestaat[[#This Row],[Code]],Locaties[#All],4,FALSE)</f>
        <v>Wilhelminasingel 15</v>
      </c>
      <c r="D179" s="240" t="str">
        <f>VLOOKUP(Ruimtestaat[[#This Row],[Code]],Locaties[#All],5,FALSE)</f>
        <v>6524 AJ</v>
      </c>
      <c r="E179" s="240" t="str">
        <f>VLOOKUP(Ruimtestaat[[#This Row],[Code]],Locaties[#All],6,FALSE)</f>
        <v>Nijmegen</v>
      </c>
      <c r="F179" s="241" t="s">
        <v>845</v>
      </c>
      <c r="G179" s="200" t="s">
        <v>646</v>
      </c>
      <c r="H179" s="200" t="s">
        <v>541</v>
      </c>
      <c r="I179" s="241" t="s">
        <v>674</v>
      </c>
      <c r="J179" s="213">
        <v>6</v>
      </c>
      <c r="K179" s="256" t="str">
        <f>VLOOKUP(Ruimtestaat[[#This Row],[Ruimte code]],Ruimtegroepen[#All],2,FALSE)</f>
        <v>Gangen/hallen</v>
      </c>
      <c r="L179" s="213" t="s">
        <v>110</v>
      </c>
      <c r="M179" s="268" t="s">
        <v>644</v>
      </c>
      <c r="N179" s="269">
        <v>10</v>
      </c>
      <c r="O179" s="212"/>
      <c r="P179" s="240" t="str">
        <f>VLOOKUP(Ruimtestaat[[#This Row],[Ruimte code]],Ruimtegroepen[#All],4,FALSE)</f>
        <v>V  (Verkeersruimte)</v>
      </c>
      <c r="Q179" s="213">
        <v>40</v>
      </c>
      <c r="R179" s="213" t="s">
        <v>2</v>
      </c>
      <c r="S179" s="213">
        <f>IF(Q179&gt;0,IF(RIGHT(Ruimtestaat[[#This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79" s="213">
        <f>IF(S179&gt;0,VLOOKUP($J179,Ruimtegroepen[],3,FALSE)*VLOOKUP($L179,Vloersoorten[],3,FALSE)*VLOOKUP($R179,Frequenties[],3,FALSE)*VLOOKUP($A179,Locaties[],3,FALSE),0)</f>
        <v>0</v>
      </c>
      <c r="U179" s="213">
        <f>Ruimtestaat[[#This Row],[Uitvoeringen werkdagen]]*Ruimtestaat[[#This Row],[Oppervlak (netto)]]</f>
        <v>2000</v>
      </c>
      <c r="V179" s="253">
        <f>IF(T179&gt;0,Ruimtestaat[[#This Row],[Prest. (m2 /jaar) werkdagen]]/Ruimtestaat[[#This Row],[Norm (m2/uur) werkdagen]],0)</f>
        <v>0</v>
      </c>
      <c r="W179" s="254">
        <f>Ruimtestaat[[#This Row],[uren / jaar werkdagen]]*Tariefsopbouw!$D$38</f>
        <v>0</v>
      </c>
      <c r="X179" s="33"/>
      <c r="Y179" s="33">
        <f>IF(Ruimtestaat[[#This Row],[Frequentie weekend]]&gt;0,VALUE(LEFT(X179,1))*Q179,0)</f>
        <v>0</v>
      </c>
      <c r="Z179" s="33">
        <f>IF($Y179&gt;0,VLOOKUP($J179,Ruimtegroepen[],3,FALSE)*VLOOKUP($L179,Vloersoorten[],3,FALSE)*VLOOKUP($X179,Frequenties[],3,FALSE)*VLOOKUP(#REF!,Locaties[],3,FALSE),0)</f>
        <v>0</v>
      </c>
      <c r="AA179" s="33"/>
      <c r="AB179" s="33"/>
      <c r="AC179" s="33">
        <f>Ruimtestaat[[#This Row],[uren / jaar weekend]]*Tariefsopbouw!$D$40</f>
        <v>0</v>
      </c>
      <c r="AD179" s="88">
        <f>Ruimtestaat[[#This Row],[Prest. (m2 /jaar) weekend]]+Ruimtestaat[[#This Row],[Prest. (m2 /jaar) werkdagen]]</f>
        <v>2000</v>
      </c>
      <c r="AE179" s="88">
        <f>Ruimtestaat[[#This Row],[uren / jaar weekend]]+Ruimtestaat[[#This Row],[uren / jaar werkdagen]]</f>
        <v>0</v>
      </c>
      <c r="AF179" s="89">
        <f>Ruimtestaat[[#This Row],[kosten / jaar weekend]]+Ruimtestaat[[#This Row],[kosten / jaar werkdagen]]</f>
        <v>0</v>
      </c>
    </row>
    <row r="180" spans="1:32" ht="15" customHeight="1">
      <c r="A180" s="213">
        <v>3</v>
      </c>
      <c r="B180" s="200" t="str">
        <f>VLOOKUP(Ruimtestaat[[#This Row],[Code]],Locaties[#All],2,FALSE)</f>
        <v>Karel de Grote College</v>
      </c>
      <c r="C180" s="240" t="str">
        <f>VLOOKUP(Ruimtestaat[[#This Row],[Code]],Locaties[#All],4,FALSE)</f>
        <v>Wilhelminasingel 15</v>
      </c>
      <c r="D180" s="240" t="str">
        <f>VLOOKUP(Ruimtestaat[[#This Row],[Code]],Locaties[#All],5,FALSE)</f>
        <v>6524 AJ</v>
      </c>
      <c r="E180" s="240" t="str">
        <f>VLOOKUP(Ruimtestaat[[#This Row],[Code]],Locaties[#All],6,FALSE)</f>
        <v>Nijmegen</v>
      </c>
      <c r="F180" s="241" t="s">
        <v>845</v>
      </c>
      <c r="G180" s="200" t="s">
        <v>646</v>
      </c>
      <c r="H180" s="200" t="s">
        <v>466</v>
      </c>
      <c r="I180" s="241" t="s">
        <v>675</v>
      </c>
      <c r="J180" s="240">
        <v>9</v>
      </c>
      <c r="K180" s="256" t="str">
        <f>VLOOKUP(Ruimtestaat[[#This Row],[Ruimte code]],Ruimtegroepen[#All],2,FALSE)</f>
        <v>Garderobe</v>
      </c>
      <c r="L180" s="213" t="s">
        <v>110</v>
      </c>
      <c r="M180" s="268" t="s">
        <v>644</v>
      </c>
      <c r="N180" s="269">
        <v>257</v>
      </c>
      <c r="O180" s="212"/>
      <c r="P180" s="240" t="str">
        <f>VLOOKUP(Ruimtestaat[[#This Row],[Ruimte code]],Ruimtegroepen[#All],4,FALSE)</f>
        <v>V  (Verkeersruimte)</v>
      </c>
      <c r="Q180" s="213">
        <v>40</v>
      </c>
      <c r="R180" s="213" t="s">
        <v>2</v>
      </c>
      <c r="S180" s="213">
        <f>IF(Q180&gt;0,IF(RIGHT(Ruimtestaat[[#This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0" s="213">
        <f>IF(S180&gt;0,VLOOKUP($J180,Ruimtegroepen[],3,FALSE)*VLOOKUP($L180,Vloersoorten[],3,FALSE)*VLOOKUP($R180,Frequenties[],3,FALSE)*VLOOKUP($A180,Locaties[],3,FALSE),0)</f>
        <v>0</v>
      </c>
      <c r="U180" s="213">
        <f>Ruimtestaat[[#This Row],[Uitvoeringen werkdagen]]*Ruimtestaat[[#This Row],[Oppervlak (netto)]]</f>
        <v>51400</v>
      </c>
      <c r="V180" s="253">
        <f>IF(T180&gt;0,Ruimtestaat[[#This Row],[Prest. (m2 /jaar) werkdagen]]/Ruimtestaat[[#This Row],[Norm (m2/uur) werkdagen]],0)</f>
        <v>0</v>
      </c>
      <c r="W180" s="254">
        <f>Ruimtestaat[[#This Row],[uren / jaar werkdagen]]*Tariefsopbouw!$D$38</f>
        <v>0</v>
      </c>
      <c r="X180" s="33"/>
      <c r="Y180" s="33">
        <f>IF(Ruimtestaat[[#This Row],[Frequentie weekend]]&gt;0,VALUE(LEFT(X180,1))*Q180,0)</f>
        <v>0</v>
      </c>
      <c r="Z180" s="33">
        <f>IF($Y180&gt;0,VLOOKUP($J180,Ruimtegroepen[],3,FALSE)*VLOOKUP($L180,Vloersoorten[],3,FALSE)*VLOOKUP($X180,Frequenties[],3,FALSE)*VLOOKUP(#REF!,Locaties[],3,FALSE),0)</f>
        <v>0</v>
      </c>
      <c r="AA180" s="33"/>
      <c r="AB180" s="33"/>
      <c r="AC180" s="33">
        <f>Ruimtestaat[[#This Row],[uren / jaar weekend]]*Tariefsopbouw!$D$40</f>
        <v>0</v>
      </c>
      <c r="AD180" s="88">
        <f>Ruimtestaat[[#This Row],[Prest. (m2 /jaar) weekend]]+Ruimtestaat[[#This Row],[Prest. (m2 /jaar) werkdagen]]</f>
        <v>51400</v>
      </c>
      <c r="AE180" s="88">
        <f>Ruimtestaat[[#This Row],[uren / jaar weekend]]+Ruimtestaat[[#This Row],[uren / jaar werkdagen]]</f>
        <v>0</v>
      </c>
      <c r="AF180" s="89">
        <f>Ruimtestaat[[#This Row],[kosten / jaar weekend]]+Ruimtestaat[[#This Row],[kosten / jaar werkdagen]]</f>
        <v>0</v>
      </c>
    </row>
    <row r="181" spans="1:32" ht="15" customHeight="1">
      <c r="A181" s="213">
        <v>3</v>
      </c>
      <c r="B181" s="200" t="str">
        <f>VLOOKUP(Ruimtestaat[[#This Row],[Code]],Locaties[#All],2,FALSE)</f>
        <v>Karel de Grote College</v>
      </c>
      <c r="C181" s="240" t="str">
        <f>VLOOKUP(Ruimtestaat[[#This Row],[Code]],Locaties[#All],4,FALSE)</f>
        <v>Wilhelminasingel 15</v>
      </c>
      <c r="D181" s="240" t="str">
        <f>VLOOKUP(Ruimtestaat[[#This Row],[Code]],Locaties[#All],5,FALSE)</f>
        <v>6524 AJ</v>
      </c>
      <c r="E181" s="240" t="str">
        <f>VLOOKUP(Ruimtestaat[[#This Row],[Code]],Locaties[#All],6,FALSE)</f>
        <v>Nijmegen</v>
      </c>
      <c r="F181" s="241" t="s">
        <v>845</v>
      </c>
      <c r="G181" s="200" t="s">
        <v>646</v>
      </c>
      <c r="H181" s="200" t="s">
        <v>467</v>
      </c>
      <c r="I181" s="241" t="s">
        <v>676</v>
      </c>
      <c r="J181" s="240">
        <v>21</v>
      </c>
      <c r="K181" s="256" t="str">
        <f>VLOOKUP(Ruimtestaat[[#This Row],[Ruimte code]],Ruimtegroepen[#All],2,FALSE)</f>
        <v>Niet in onderhoud</v>
      </c>
      <c r="L181" s="240" t="s">
        <v>112</v>
      </c>
      <c r="M181" s="268" t="s">
        <v>765</v>
      </c>
      <c r="N181" s="269"/>
      <c r="O181" s="212">
        <v>1</v>
      </c>
      <c r="P181" s="240" t="str">
        <f>VLOOKUP(Ruimtestaat[[#This Row],[Ruimte code]],Ruimtegroepen[#All],4,FALSE)</f>
        <v>Niet in onderhoud</v>
      </c>
      <c r="Q181" s="213">
        <v>0</v>
      </c>
      <c r="R181" s="213"/>
      <c r="S181" s="213">
        <f>IF(Q181&gt;0,IF(RIGHT(Ruimtestaat[[#This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81" s="213">
        <f>IF(S181&gt;0,VLOOKUP($J181,Ruimtegroepen[],3,FALSE)*VLOOKUP($L181,Vloersoorten[],3,FALSE)*VLOOKUP($R181,Frequenties[],3,FALSE)*VLOOKUP($A181,Locaties[],3,FALSE),0)</f>
        <v>0</v>
      </c>
      <c r="U181" s="213">
        <f>Ruimtestaat[[#This Row],[Uitvoeringen werkdagen]]*Ruimtestaat[[#This Row],[Oppervlak (netto)]]</f>
        <v>0</v>
      </c>
      <c r="V181" s="253">
        <f>IF(T181&gt;0,Ruimtestaat[[#This Row],[Prest. (m2 /jaar) werkdagen]]/Ruimtestaat[[#This Row],[Norm (m2/uur) werkdagen]],0)</f>
        <v>0</v>
      </c>
      <c r="W181" s="254">
        <f>Ruimtestaat[[#This Row],[uren / jaar werkdagen]]*Tariefsopbouw!$D$38</f>
        <v>0</v>
      </c>
      <c r="X181" s="33"/>
      <c r="Y181" s="33">
        <f>IF(Ruimtestaat[[#This Row],[Frequentie weekend]]&gt;0,VALUE(LEFT(X181,1))*Q181,0)</f>
        <v>0</v>
      </c>
      <c r="Z181" s="33">
        <f>IF($Y181&gt;0,VLOOKUP($J181,Ruimtegroepen[],3,FALSE)*VLOOKUP($L181,Vloersoorten[],3,FALSE)*VLOOKUP($X181,Frequenties[],3,FALSE)*VLOOKUP(#REF!,Locaties[],3,FALSE),0)</f>
        <v>0</v>
      </c>
      <c r="AA181" s="33"/>
      <c r="AB181" s="33"/>
      <c r="AC181" s="33">
        <f>Ruimtestaat[[#This Row],[uren / jaar weekend]]*Tariefsopbouw!$D$40</f>
        <v>0</v>
      </c>
      <c r="AD181" s="88">
        <f>Ruimtestaat[[#This Row],[Prest. (m2 /jaar) weekend]]+Ruimtestaat[[#This Row],[Prest. (m2 /jaar) werkdagen]]</f>
        <v>0</v>
      </c>
      <c r="AE181" s="88">
        <f>Ruimtestaat[[#This Row],[uren / jaar weekend]]+Ruimtestaat[[#This Row],[uren / jaar werkdagen]]</f>
        <v>0</v>
      </c>
      <c r="AF181" s="89">
        <f>Ruimtestaat[[#This Row],[kosten / jaar weekend]]+Ruimtestaat[[#This Row],[kosten / jaar werkdagen]]</f>
        <v>0</v>
      </c>
    </row>
    <row r="182" spans="1:32" ht="15" customHeight="1">
      <c r="A182" s="213">
        <v>3</v>
      </c>
      <c r="B182" s="200" t="str">
        <f>VLOOKUP(Ruimtestaat[[#This Row],[Code]],Locaties[#All],2,FALSE)</f>
        <v>Karel de Grote College</v>
      </c>
      <c r="C182" s="240" t="str">
        <f>VLOOKUP(Ruimtestaat[[#This Row],[Code]],Locaties[#All],4,FALSE)</f>
        <v>Wilhelminasingel 15</v>
      </c>
      <c r="D182" s="240" t="str">
        <f>VLOOKUP(Ruimtestaat[[#This Row],[Code]],Locaties[#All],5,FALSE)</f>
        <v>6524 AJ</v>
      </c>
      <c r="E182" s="240" t="str">
        <f>VLOOKUP(Ruimtestaat[[#This Row],[Code]],Locaties[#All],6,FALSE)</f>
        <v>Nijmegen</v>
      </c>
      <c r="F182" s="241" t="s">
        <v>845</v>
      </c>
      <c r="G182" s="200" t="s">
        <v>646</v>
      </c>
      <c r="H182" s="200" t="s">
        <v>468</v>
      </c>
      <c r="I182" s="241" t="s">
        <v>677</v>
      </c>
      <c r="J182" s="213">
        <v>6</v>
      </c>
      <c r="K182" s="256" t="str">
        <f>VLOOKUP(Ruimtestaat[[#This Row],[Ruimte code]],Ruimtegroepen[#All],2,FALSE)</f>
        <v>Gangen/hallen</v>
      </c>
      <c r="L182" s="213" t="s">
        <v>110</v>
      </c>
      <c r="M182" s="268" t="s">
        <v>644</v>
      </c>
      <c r="N182" s="269">
        <v>16</v>
      </c>
      <c r="O182" s="212"/>
      <c r="P182" s="240" t="str">
        <f>VLOOKUP(Ruimtestaat[[#This Row],[Ruimte code]],Ruimtegroepen[#All],4,FALSE)</f>
        <v>V  (Verkeersruimte)</v>
      </c>
      <c r="Q182" s="213">
        <v>40</v>
      </c>
      <c r="R182" s="213" t="s">
        <v>2</v>
      </c>
      <c r="S182" s="213">
        <f>IF(Q182&gt;0,IF(RIGHT(Ruimtestaat[[#This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2" s="213">
        <f>IF(S182&gt;0,VLOOKUP($J182,Ruimtegroepen[],3,FALSE)*VLOOKUP($L182,Vloersoorten[],3,FALSE)*VLOOKUP($R182,Frequenties[],3,FALSE)*VLOOKUP($A182,Locaties[],3,FALSE),0)</f>
        <v>0</v>
      </c>
      <c r="U182" s="213">
        <f>Ruimtestaat[[#This Row],[Uitvoeringen werkdagen]]*Ruimtestaat[[#This Row],[Oppervlak (netto)]]</f>
        <v>3200</v>
      </c>
      <c r="V182" s="253">
        <f>IF(T182&gt;0,Ruimtestaat[[#This Row],[Prest. (m2 /jaar) werkdagen]]/Ruimtestaat[[#This Row],[Norm (m2/uur) werkdagen]],0)</f>
        <v>0</v>
      </c>
      <c r="W182" s="254">
        <f>Ruimtestaat[[#This Row],[uren / jaar werkdagen]]*Tariefsopbouw!$D$38</f>
        <v>0</v>
      </c>
      <c r="X182" s="33"/>
      <c r="Y182" s="33">
        <f>IF(Ruimtestaat[[#This Row],[Frequentie weekend]]&gt;0,VALUE(LEFT(X182,1))*Q182,0)</f>
        <v>0</v>
      </c>
      <c r="Z182" s="33">
        <f>IF($Y182&gt;0,VLOOKUP($J182,Ruimtegroepen[],3,FALSE)*VLOOKUP($L182,Vloersoorten[],3,FALSE)*VLOOKUP($X182,Frequenties[],3,FALSE)*VLOOKUP(#REF!,Locaties[],3,FALSE),0)</f>
        <v>0</v>
      </c>
      <c r="AA182" s="33"/>
      <c r="AB182" s="33"/>
      <c r="AC182" s="33">
        <f>Ruimtestaat[[#This Row],[uren / jaar weekend]]*Tariefsopbouw!$D$40</f>
        <v>0</v>
      </c>
      <c r="AD182" s="88">
        <f>Ruimtestaat[[#This Row],[Prest. (m2 /jaar) weekend]]+Ruimtestaat[[#This Row],[Prest. (m2 /jaar) werkdagen]]</f>
        <v>3200</v>
      </c>
      <c r="AE182" s="88">
        <f>Ruimtestaat[[#This Row],[uren / jaar weekend]]+Ruimtestaat[[#This Row],[uren / jaar werkdagen]]</f>
        <v>0</v>
      </c>
      <c r="AF182" s="89">
        <f>Ruimtestaat[[#This Row],[kosten / jaar weekend]]+Ruimtestaat[[#This Row],[kosten / jaar werkdagen]]</f>
        <v>0</v>
      </c>
    </row>
    <row r="183" spans="1:32" ht="15" customHeight="1">
      <c r="A183" s="213">
        <v>3</v>
      </c>
      <c r="B183" s="200" t="str">
        <f>VLOOKUP(Ruimtestaat[[#This Row],[Code]],Locaties[#All],2,FALSE)</f>
        <v>Karel de Grote College</v>
      </c>
      <c r="C183" s="240" t="str">
        <f>VLOOKUP(Ruimtestaat[[#This Row],[Code]],Locaties[#All],4,FALSE)</f>
        <v>Wilhelminasingel 15</v>
      </c>
      <c r="D183" s="240" t="str">
        <f>VLOOKUP(Ruimtestaat[[#This Row],[Code]],Locaties[#All],5,FALSE)</f>
        <v>6524 AJ</v>
      </c>
      <c r="E183" s="240" t="str">
        <f>VLOOKUP(Ruimtestaat[[#This Row],[Code]],Locaties[#All],6,FALSE)</f>
        <v>Nijmegen</v>
      </c>
      <c r="F183" s="241" t="s">
        <v>845</v>
      </c>
      <c r="G183" s="200" t="s">
        <v>646</v>
      </c>
      <c r="H183" s="200" t="s">
        <v>468</v>
      </c>
      <c r="I183" s="241" t="s">
        <v>677</v>
      </c>
      <c r="J183" s="213">
        <v>6</v>
      </c>
      <c r="K183" s="256" t="str">
        <f>VLOOKUP(Ruimtestaat[[#This Row],[Ruimte code]],Ruimtegroepen[#All],2,FALSE)</f>
        <v>Gangen/hallen</v>
      </c>
      <c r="L183" s="240" t="s">
        <v>109</v>
      </c>
      <c r="M183" s="268" t="s">
        <v>649</v>
      </c>
      <c r="N183" s="269">
        <v>38</v>
      </c>
      <c r="O183" s="212"/>
      <c r="P183" s="240" t="str">
        <f>VLOOKUP(Ruimtestaat[[#This Row],[Ruimte code]],Ruimtegroepen[#All],4,FALSE)</f>
        <v>V  (Verkeersruimte)</v>
      </c>
      <c r="Q183" s="213">
        <v>40</v>
      </c>
      <c r="R183" s="213" t="s">
        <v>2</v>
      </c>
      <c r="S183" s="213">
        <f>IF(Q183&gt;0,IF(RIGHT(Ruimtestaat[[#This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3" s="213">
        <f>IF(S183&gt;0,VLOOKUP($J183,Ruimtegroepen[],3,FALSE)*VLOOKUP($L183,Vloersoorten[],3,FALSE)*VLOOKUP($R183,Frequenties[],3,FALSE)*VLOOKUP($A183,Locaties[],3,FALSE),0)</f>
        <v>0</v>
      </c>
      <c r="U183" s="213">
        <f>Ruimtestaat[[#This Row],[Uitvoeringen werkdagen]]*Ruimtestaat[[#This Row],[Oppervlak (netto)]]</f>
        <v>7600</v>
      </c>
      <c r="V183" s="253">
        <f>IF(T183&gt;0,Ruimtestaat[[#This Row],[Prest. (m2 /jaar) werkdagen]]/Ruimtestaat[[#This Row],[Norm (m2/uur) werkdagen]],0)</f>
        <v>0</v>
      </c>
      <c r="W183" s="254">
        <f>Ruimtestaat[[#This Row],[uren / jaar werkdagen]]*Tariefsopbouw!$D$38</f>
        <v>0</v>
      </c>
      <c r="X183" s="33"/>
      <c r="Y183" s="33">
        <f>IF(Ruimtestaat[[#This Row],[Frequentie weekend]]&gt;0,VALUE(LEFT(X183,1))*Q183,0)</f>
        <v>0</v>
      </c>
      <c r="Z183" s="33">
        <f>IF($Y183&gt;0,VLOOKUP($J183,Ruimtegroepen[],3,FALSE)*VLOOKUP($L183,Vloersoorten[],3,FALSE)*VLOOKUP($X183,Frequenties[],3,FALSE)*VLOOKUP(#REF!,Locaties[],3,FALSE),0)</f>
        <v>0</v>
      </c>
      <c r="AA183" s="33"/>
      <c r="AB183" s="33"/>
      <c r="AC183" s="33">
        <f>Ruimtestaat[[#This Row],[uren / jaar weekend]]*Tariefsopbouw!$D$40</f>
        <v>0</v>
      </c>
      <c r="AD183" s="88">
        <f>Ruimtestaat[[#This Row],[Prest. (m2 /jaar) weekend]]+Ruimtestaat[[#This Row],[Prest. (m2 /jaar) werkdagen]]</f>
        <v>7600</v>
      </c>
      <c r="AE183" s="88">
        <f>Ruimtestaat[[#This Row],[uren / jaar weekend]]+Ruimtestaat[[#This Row],[uren / jaar werkdagen]]</f>
        <v>0</v>
      </c>
      <c r="AF183" s="89">
        <f>Ruimtestaat[[#This Row],[kosten / jaar weekend]]+Ruimtestaat[[#This Row],[kosten / jaar werkdagen]]</f>
        <v>0</v>
      </c>
    </row>
    <row r="184" spans="1:32" ht="15" customHeight="1">
      <c r="A184" s="213">
        <v>3</v>
      </c>
      <c r="B184" s="200" t="str">
        <f>VLOOKUP(Ruimtestaat[[#This Row],[Code]],Locaties[#All],2,FALSE)</f>
        <v>Karel de Grote College</v>
      </c>
      <c r="C184" s="240" t="str">
        <f>VLOOKUP(Ruimtestaat[[#This Row],[Code]],Locaties[#All],4,FALSE)</f>
        <v>Wilhelminasingel 15</v>
      </c>
      <c r="D184" s="240" t="str">
        <f>VLOOKUP(Ruimtestaat[[#This Row],[Code]],Locaties[#All],5,FALSE)</f>
        <v>6524 AJ</v>
      </c>
      <c r="E184" s="240" t="str">
        <f>VLOOKUP(Ruimtestaat[[#This Row],[Code]],Locaties[#All],6,FALSE)</f>
        <v>Nijmegen</v>
      </c>
      <c r="F184" s="241" t="s">
        <v>845</v>
      </c>
      <c r="G184" s="200" t="s">
        <v>646</v>
      </c>
      <c r="H184" s="200" t="s">
        <v>717</v>
      </c>
      <c r="I184" s="241" t="s">
        <v>678</v>
      </c>
      <c r="J184" s="240">
        <v>21</v>
      </c>
      <c r="K184" s="256" t="str">
        <f>VLOOKUP(Ruimtestaat[[#This Row],[Ruimte code]],Ruimtegroepen[#All],2,FALSE)</f>
        <v>Niet in onderhoud</v>
      </c>
      <c r="L184" s="213" t="s">
        <v>110</v>
      </c>
      <c r="M184" s="268" t="s">
        <v>644</v>
      </c>
      <c r="N184" s="269"/>
      <c r="O184" s="212">
        <v>2</v>
      </c>
      <c r="P184" s="240" t="str">
        <f>VLOOKUP(Ruimtestaat[[#This Row],[Ruimte code]],Ruimtegroepen[#All],4,FALSE)</f>
        <v>Niet in onderhoud</v>
      </c>
      <c r="Q184" s="213">
        <v>0</v>
      </c>
      <c r="R184" s="213"/>
      <c r="S184" s="213">
        <f>IF(Q184&gt;0,IF(RIGHT(Ruimtestaat[[#This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184" s="213">
        <f>IF(S184&gt;0,VLOOKUP($J184,Ruimtegroepen[],3,FALSE)*VLOOKUP($L184,Vloersoorten[],3,FALSE)*VLOOKUP($R184,Frequenties[],3,FALSE)*VLOOKUP($A184,Locaties[],3,FALSE),0)</f>
        <v>0</v>
      </c>
      <c r="U184" s="213">
        <f>Ruimtestaat[[#This Row],[Uitvoeringen werkdagen]]*Ruimtestaat[[#This Row],[Oppervlak (netto)]]</f>
        <v>0</v>
      </c>
      <c r="V184" s="253">
        <f>IF(T184&gt;0,Ruimtestaat[[#This Row],[Prest. (m2 /jaar) werkdagen]]/Ruimtestaat[[#This Row],[Norm (m2/uur) werkdagen]],0)</f>
        <v>0</v>
      </c>
      <c r="W184" s="254">
        <f>Ruimtestaat[[#This Row],[uren / jaar werkdagen]]*Tariefsopbouw!$D$38</f>
        <v>0</v>
      </c>
      <c r="X184" s="33"/>
      <c r="Y184" s="33">
        <f>IF(Ruimtestaat[[#This Row],[Frequentie weekend]]&gt;0,VALUE(LEFT(X184,1))*Q184,0)</f>
        <v>0</v>
      </c>
      <c r="Z184" s="33">
        <f>IF($Y184&gt;0,VLOOKUP($J184,Ruimtegroepen[],3,FALSE)*VLOOKUP($L184,Vloersoorten[],3,FALSE)*VLOOKUP($X184,Frequenties[],3,FALSE)*VLOOKUP(#REF!,Locaties[],3,FALSE),0)</f>
        <v>0</v>
      </c>
      <c r="AA184" s="33"/>
      <c r="AB184" s="33"/>
      <c r="AC184" s="33">
        <f>Ruimtestaat[[#This Row],[uren / jaar weekend]]*Tariefsopbouw!$D$40</f>
        <v>0</v>
      </c>
      <c r="AD184" s="88">
        <f>Ruimtestaat[[#This Row],[Prest. (m2 /jaar) weekend]]+Ruimtestaat[[#This Row],[Prest. (m2 /jaar) werkdagen]]</f>
        <v>0</v>
      </c>
      <c r="AE184" s="88">
        <f>Ruimtestaat[[#This Row],[uren / jaar weekend]]+Ruimtestaat[[#This Row],[uren / jaar werkdagen]]</f>
        <v>0</v>
      </c>
      <c r="AF184" s="89">
        <f>Ruimtestaat[[#This Row],[kosten / jaar weekend]]+Ruimtestaat[[#This Row],[kosten / jaar werkdagen]]</f>
        <v>0</v>
      </c>
    </row>
    <row r="185" spans="1:32" ht="15" customHeight="1">
      <c r="A185" s="213">
        <v>3</v>
      </c>
      <c r="B185" s="200" t="str">
        <f>VLOOKUP(Ruimtestaat[[#This Row],[Code]],Locaties[#All],2,FALSE)</f>
        <v>Karel de Grote College</v>
      </c>
      <c r="C185" s="240" t="str">
        <f>VLOOKUP(Ruimtestaat[[#This Row],[Code]],Locaties[#All],4,FALSE)</f>
        <v>Wilhelminasingel 15</v>
      </c>
      <c r="D185" s="240" t="str">
        <f>VLOOKUP(Ruimtestaat[[#This Row],[Code]],Locaties[#All],5,FALSE)</f>
        <v>6524 AJ</v>
      </c>
      <c r="E185" s="240" t="str">
        <f>VLOOKUP(Ruimtestaat[[#This Row],[Code]],Locaties[#All],6,FALSE)</f>
        <v>Nijmegen</v>
      </c>
      <c r="F185" s="241" t="s">
        <v>845</v>
      </c>
      <c r="G185" s="200" t="s">
        <v>646</v>
      </c>
      <c r="H185" s="200" t="s">
        <v>718</v>
      </c>
      <c r="I185" s="241" t="s">
        <v>679</v>
      </c>
      <c r="J185" s="240">
        <v>3</v>
      </c>
      <c r="K185" s="256" t="str">
        <f>VLOOKUP(Ruimtestaat[[#This Row],[Ruimte code]],Ruimtegroepen[#All],2,FALSE)</f>
        <v>Reproruimte</v>
      </c>
      <c r="L185" s="213" t="s">
        <v>110</v>
      </c>
      <c r="M185" s="268" t="s">
        <v>644</v>
      </c>
      <c r="N185" s="269">
        <v>7</v>
      </c>
      <c r="O185" s="212"/>
      <c r="P185" s="240" t="str">
        <f>VLOOKUP(Ruimtestaat[[#This Row],[Ruimte code]],Ruimtegroepen[#All],4,FALSE)</f>
        <v>V  (Verkeersruimte)</v>
      </c>
      <c r="Q185" s="213">
        <v>40</v>
      </c>
      <c r="R185" s="213" t="s">
        <v>18</v>
      </c>
      <c r="S185" s="213">
        <f>IF(Q185&gt;0,IF(RIGHT(Ruimtestaat[[#This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T185" s="213">
        <f>IF(S185&gt;0,VLOOKUP($J185,Ruimtegroepen[],3,FALSE)*VLOOKUP($L185,Vloersoorten[],3,FALSE)*VLOOKUP($R185,Frequenties[],3,FALSE)*VLOOKUP($A185,Locaties[],3,FALSE),0)</f>
        <v>0</v>
      </c>
      <c r="U185" s="213">
        <f>Ruimtestaat[[#This Row],[Uitvoeringen werkdagen]]*Ruimtestaat[[#This Row],[Oppervlak (netto)]]</f>
        <v>840</v>
      </c>
      <c r="V185" s="253">
        <f>IF(T185&gt;0,Ruimtestaat[[#This Row],[Prest. (m2 /jaar) werkdagen]]/Ruimtestaat[[#This Row],[Norm (m2/uur) werkdagen]],0)</f>
        <v>0</v>
      </c>
      <c r="W185" s="254">
        <f>Ruimtestaat[[#This Row],[uren / jaar werkdagen]]*Tariefsopbouw!$D$38</f>
        <v>0</v>
      </c>
      <c r="X185" s="33"/>
      <c r="Y185" s="33">
        <f>IF(Ruimtestaat[[#This Row],[Frequentie weekend]]&gt;0,VALUE(LEFT(X185,1))*Q185,0)</f>
        <v>0</v>
      </c>
      <c r="Z185" s="33">
        <f>IF($Y185&gt;0,VLOOKUP($J185,Ruimtegroepen[],3,FALSE)*VLOOKUP($L185,Vloersoorten[],3,FALSE)*VLOOKUP($X185,Frequenties[],3,FALSE)*VLOOKUP(#REF!,Locaties[],3,FALSE),0)</f>
        <v>0</v>
      </c>
      <c r="AA185" s="33"/>
      <c r="AB185" s="33"/>
      <c r="AC185" s="33">
        <f>Ruimtestaat[[#This Row],[uren / jaar weekend]]*Tariefsopbouw!$D$40</f>
        <v>0</v>
      </c>
      <c r="AD185" s="88">
        <f>Ruimtestaat[[#This Row],[Prest. (m2 /jaar) weekend]]+Ruimtestaat[[#This Row],[Prest. (m2 /jaar) werkdagen]]</f>
        <v>840</v>
      </c>
      <c r="AE185" s="88">
        <f>Ruimtestaat[[#This Row],[uren / jaar weekend]]+Ruimtestaat[[#This Row],[uren / jaar werkdagen]]</f>
        <v>0</v>
      </c>
      <c r="AF185" s="89">
        <f>Ruimtestaat[[#This Row],[kosten / jaar weekend]]+Ruimtestaat[[#This Row],[kosten / jaar werkdagen]]</f>
        <v>0</v>
      </c>
    </row>
    <row r="186" spans="1:32" ht="15" customHeight="1">
      <c r="A186" s="213">
        <v>3</v>
      </c>
      <c r="B186" s="200" t="str">
        <f>VLOOKUP(Ruimtestaat[[#This Row],[Code]],Locaties[#All],2,FALSE)</f>
        <v>Karel de Grote College</v>
      </c>
      <c r="C186" s="240" t="str">
        <f>VLOOKUP(Ruimtestaat[[#This Row],[Code]],Locaties[#All],4,FALSE)</f>
        <v>Wilhelminasingel 15</v>
      </c>
      <c r="D186" s="240" t="str">
        <f>VLOOKUP(Ruimtestaat[[#This Row],[Code]],Locaties[#All],5,FALSE)</f>
        <v>6524 AJ</v>
      </c>
      <c r="E186" s="240" t="str">
        <f>VLOOKUP(Ruimtestaat[[#This Row],[Code]],Locaties[#All],6,FALSE)</f>
        <v>Nijmegen</v>
      </c>
      <c r="F186" s="241" t="s">
        <v>845</v>
      </c>
      <c r="G186" s="200" t="s">
        <v>646</v>
      </c>
      <c r="H186" s="200" t="s">
        <v>719</v>
      </c>
      <c r="I186" s="241" t="s">
        <v>665</v>
      </c>
      <c r="J186" s="200">
        <v>5</v>
      </c>
      <c r="K186" s="256" t="str">
        <f>VLOOKUP(Ruimtestaat[[#This Row],[Ruimte code]],Ruimtegroepen[#All],2,FALSE)</f>
        <v>Sanitair</v>
      </c>
      <c r="L186" s="240" t="s">
        <v>111</v>
      </c>
      <c r="M186" s="268" t="s">
        <v>647</v>
      </c>
      <c r="N186" s="269">
        <v>4</v>
      </c>
      <c r="O186" s="212"/>
      <c r="P186" s="240" t="str">
        <f>VLOOKUP(Ruimtestaat[[#This Row],[Ruimte code]],Ruimtegroepen[#All],4,FALSE)</f>
        <v>S  (Sanitair)</v>
      </c>
      <c r="Q186" s="213">
        <v>40</v>
      </c>
      <c r="R186" s="213" t="s">
        <v>2</v>
      </c>
      <c r="S186" s="213">
        <f>IF(Q186&gt;0,IF(RIGHT(Ruimtestaat[[#This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6" s="213">
        <f>IF(S186&gt;0,VLOOKUP($J186,Ruimtegroepen[],3,FALSE)*VLOOKUP($L186,Vloersoorten[],3,FALSE)*VLOOKUP($R186,Frequenties[],3,FALSE)*VLOOKUP($A186,Locaties[],3,FALSE),0)</f>
        <v>0</v>
      </c>
      <c r="U186" s="213">
        <f>Ruimtestaat[[#This Row],[Uitvoeringen werkdagen]]*Ruimtestaat[[#This Row],[Oppervlak (netto)]]</f>
        <v>800</v>
      </c>
      <c r="V186" s="253">
        <f>IF(T186&gt;0,Ruimtestaat[[#This Row],[Prest. (m2 /jaar) werkdagen]]/Ruimtestaat[[#This Row],[Norm (m2/uur) werkdagen]],0)</f>
        <v>0</v>
      </c>
      <c r="W186" s="254">
        <f>Ruimtestaat[[#This Row],[uren / jaar werkdagen]]*Tariefsopbouw!$D$38</f>
        <v>0</v>
      </c>
      <c r="X186" s="33"/>
      <c r="Y186" s="33">
        <f>IF(Ruimtestaat[[#This Row],[Frequentie weekend]]&gt;0,VALUE(LEFT(X186,1))*Q186,0)</f>
        <v>0</v>
      </c>
      <c r="Z186" s="33">
        <f>IF($Y186&gt;0,VLOOKUP($J186,Ruimtegroepen[],3,FALSE)*VLOOKUP($L186,Vloersoorten[],3,FALSE)*VLOOKUP($X186,Frequenties[],3,FALSE)*VLOOKUP(#REF!,Locaties[],3,FALSE),0)</f>
        <v>0</v>
      </c>
      <c r="AA186" s="33"/>
      <c r="AB186" s="33"/>
      <c r="AC186" s="33">
        <f>Ruimtestaat[[#This Row],[uren / jaar weekend]]*Tariefsopbouw!$D$40</f>
        <v>0</v>
      </c>
      <c r="AD186" s="88">
        <f>Ruimtestaat[[#This Row],[Prest. (m2 /jaar) weekend]]+Ruimtestaat[[#This Row],[Prest. (m2 /jaar) werkdagen]]</f>
        <v>800</v>
      </c>
      <c r="AE186" s="88">
        <f>Ruimtestaat[[#This Row],[uren / jaar weekend]]+Ruimtestaat[[#This Row],[uren / jaar werkdagen]]</f>
        <v>0</v>
      </c>
      <c r="AF186" s="89">
        <f>Ruimtestaat[[#This Row],[kosten / jaar weekend]]+Ruimtestaat[[#This Row],[kosten / jaar werkdagen]]</f>
        <v>0</v>
      </c>
    </row>
    <row r="187" spans="1:32" ht="15" customHeight="1">
      <c r="A187" s="213">
        <v>3</v>
      </c>
      <c r="B187" s="200" t="str">
        <f>VLOOKUP(Ruimtestaat[[#This Row],[Code]],Locaties[#All],2,FALSE)</f>
        <v>Karel de Grote College</v>
      </c>
      <c r="C187" s="240" t="str">
        <f>VLOOKUP(Ruimtestaat[[#This Row],[Code]],Locaties[#All],4,FALSE)</f>
        <v>Wilhelminasingel 15</v>
      </c>
      <c r="D187" s="240" t="str">
        <f>VLOOKUP(Ruimtestaat[[#This Row],[Code]],Locaties[#All],5,FALSE)</f>
        <v>6524 AJ</v>
      </c>
      <c r="E187" s="240" t="str">
        <f>VLOOKUP(Ruimtestaat[[#This Row],[Code]],Locaties[#All],6,FALSE)</f>
        <v>Nijmegen</v>
      </c>
      <c r="F187" s="241" t="s">
        <v>845</v>
      </c>
      <c r="G187" s="200" t="s">
        <v>646</v>
      </c>
      <c r="H187" s="200" t="s">
        <v>720</v>
      </c>
      <c r="I187" s="241" t="s">
        <v>680</v>
      </c>
      <c r="J187" s="200">
        <v>5</v>
      </c>
      <c r="K187" s="256" t="str">
        <f>VLOOKUP(Ruimtestaat[[#This Row],[Ruimte code]],Ruimtegroepen[#All],2,FALSE)</f>
        <v>Sanitair</v>
      </c>
      <c r="L187" s="240" t="s">
        <v>111</v>
      </c>
      <c r="M187" s="268" t="s">
        <v>647</v>
      </c>
      <c r="N187" s="269">
        <v>3</v>
      </c>
      <c r="O187" s="212"/>
      <c r="P187" s="240" t="str">
        <f>VLOOKUP(Ruimtestaat[[#This Row],[Ruimte code]],Ruimtegroepen[#All],4,FALSE)</f>
        <v>S  (Sanitair)</v>
      </c>
      <c r="Q187" s="213">
        <v>40</v>
      </c>
      <c r="R187" s="213" t="s">
        <v>2</v>
      </c>
      <c r="S187" s="213">
        <f>IF(Q187&gt;0,IF(RIGHT(Ruimtestaat[[#This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7" s="213">
        <f>IF(S187&gt;0,VLOOKUP($J187,Ruimtegroepen[],3,FALSE)*VLOOKUP($L187,Vloersoorten[],3,FALSE)*VLOOKUP($R187,Frequenties[],3,FALSE)*VLOOKUP($A187,Locaties[],3,FALSE),0)</f>
        <v>0</v>
      </c>
      <c r="U187" s="213">
        <f>Ruimtestaat[[#This Row],[Uitvoeringen werkdagen]]*Ruimtestaat[[#This Row],[Oppervlak (netto)]]</f>
        <v>600</v>
      </c>
      <c r="V187" s="253">
        <f>IF(T187&gt;0,Ruimtestaat[[#This Row],[Prest. (m2 /jaar) werkdagen]]/Ruimtestaat[[#This Row],[Norm (m2/uur) werkdagen]],0)</f>
        <v>0</v>
      </c>
      <c r="W187" s="254">
        <f>Ruimtestaat[[#This Row],[uren / jaar werkdagen]]*Tariefsopbouw!$D$38</f>
        <v>0</v>
      </c>
      <c r="X187" s="33"/>
      <c r="Y187" s="33">
        <f>IF(Ruimtestaat[[#This Row],[Frequentie weekend]]&gt;0,VALUE(LEFT(X187,1))*Q187,0)</f>
        <v>0</v>
      </c>
      <c r="Z187" s="33">
        <f>IF($Y187&gt;0,VLOOKUP($J187,Ruimtegroepen[],3,FALSE)*VLOOKUP($L187,Vloersoorten[],3,FALSE)*VLOOKUP($X187,Frequenties[],3,FALSE)*VLOOKUP(#REF!,Locaties[],3,FALSE),0)</f>
        <v>0</v>
      </c>
      <c r="AA187" s="33"/>
      <c r="AB187" s="33"/>
      <c r="AC187" s="33">
        <f>Ruimtestaat[[#This Row],[uren / jaar weekend]]*Tariefsopbouw!$D$40</f>
        <v>0</v>
      </c>
      <c r="AD187" s="88">
        <f>Ruimtestaat[[#This Row],[Prest. (m2 /jaar) weekend]]+Ruimtestaat[[#This Row],[Prest. (m2 /jaar) werkdagen]]</f>
        <v>600</v>
      </c>
      <c r="AE187" s="88">
        <f>Ruimtestaat[[#This Row],[uren / jaar weekend]]+Ruimtestaat[[#This Row],[uren / jaar werkdagen]]</f>
        <v>0</v>
      </c>
      <c r="AF187" s="89">
        <f>Ruimtestaat[[#This Row],[kosten / jaar weekend]]+Ruimtestaat[[#This Row],[kosten / jaar werkdagen]]</f>
        <v>0</v>
      </c>
    </row>
    <row r="188" spans="1:32" ht="15" customHeight="1">
      <c r="A188" s="213">
        <v>3</v>
      </c>
      <c r="B188" s="200" t="str">
        <f>VLOOKUP(Ruimtestaat[[#This Row],[Code]],Locaties[#All],2,FALSE)</f>
        <v>Karel de Grote College</v>
      </c>
      <c r="C188" s="240" t="str">
        <f>VLOOKUP(Ruimtestaat[[#This Row],[Code]],Locaties[#All],4,FALSE)</f>
        <v>Wilhelminasingel 15</v>
      </c>
      <c r="D188" s="240" t="str">
        <f>VLOOKUP(Ruimtestaat[[#This Row],[Code]],Locaties[#All],5,FALSE)</f>
        <v>6524 AJ</v>
      </c>
      <c r="E188" s="240" t="str">
        <f>VLOOKUP(Ruimtestaat[[#This Row],[Code]],Locaties[#All],6,FALSE)</f>
        <v>Nijmegen</v>
      </c>
      <c r="F188" s="241" t="s">
        <v>845</v>
      </c>
      <c r="G188" s="200" t="s">
        <v>646</v>
      </c>
      <c r="H188" s="200" t="s">
        <v>721</v>
      </c>
      <c r="I188" s="241" t="s">
        <v>681</v>
      </c>
      <c r="J188" s="213">
        <v>6</v>
      </c>
      <c r="K188" s="256" t="str">
        <f>VLOOKUP(Ruimtestaat[[#This Row],[Ruimte code]],Ruimtegroepen[#All],2,FALSE)</f>
        <v>Gangen/hallen</v>
      </c>
      <c r="L188" s="240" t="s">
        <v>111</v>
      </c>
      <c r="M188" s="268" t="s">
        <v>554</v>
      </c>
      <c r="N188" s="269">
        <v>21</v>
      </c>
      <c r="O188" s="212"/>
      <c r="P188" s="240" t="str">
        <f>VLOOKUP(Ruimtestaat[[#This Row],[Ruimte code]],Ruimtegroepen[#All],4,FALSE)</f>
        <v>V  (Verkeersruimte)</v>
      </c>
      <c r="Q188" s="213">
        <v>40</v>
      </c>
      <c r="R188" s="213" t="s">
        <v>2</v>
      </c>
      <c r="S188" s="213">
        <f>IF(Q188&gt;0,IF(RIGHT(Ruimtestaat[[#This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88" s="213">
        <f>IF(S188&gt;0,VLOOKUP($J188,Ruimtegroepen[],3,FALSE)*VLOOKUP($L188,Vloersoorten[],3,FALSE)*VLOOKUP($R188,Frequenties[],3,FALSE)*VLOOKUP($A188,Locaties[],3,FALSE),0)</f>
        <v>0</v>
      </c>
      <c r="U188" s="213">
        <f>Ruimtestaat[[#This Row],[Uitvoeringen werkdagen]]*Ruimtestaat[[#This Row],[Oppervlak (netto)]]</f>
        <v>4200</v>
      </c>
      <c r="V188" s="253">
        <f>IF(T188&gt;0,Ruimtestaat[[#This Row],[Prest. (m2 /jaar) werkdagen]]/Ruimtestaat[[#This Row],[Norm (m2/uur) werkdagen]],0)</f>
        <v>0</v>
      </c>
      <c r="W188" s="254">
        <f>Ruimtestaat[[#This Row],[uren / jaar werkdagen]]*Tariefsopbouw!$D$38</f>
        <v>0</v>
      </c>
      <c r="X188" s="33"/>
      <c r="Y188" s="33">
        <f>IF(Ruimtestaat[[#This Row],[Frequentie weekend]]&gt;0,VALUE(LEFT(X188,1))*Q188,0)</f>
        <v>0</v>
      </c>
      <c r="Z188" s="33">
        <f>IF($Y188&gt;0,VLOOKUP($J188,Ruimtegroepen[],3,FALSE)*VLOOKUP($L188,Vloersoorten[],3,FALSE)*VLOOKUP($X188,Frequenties[],3,FALSE)*VLOOKUP(#REF!,Locaties[],3,FALSE),0)</f>
        <v>0</v>
      </c>
      <c r="AA188" s="33"/>
      <c r="AB188" s="33"/>
      <c r="AC188" s="33">
        <f>Ruimtestaat[[#This Row],[uren / jaar weekend]]*Tariefsopbouw!$D$40</f>
        <v>0</v>
      </c>
      <c r="AD188" s="88">
        <f>Ruimtestaat[[#This Row],[Prest. (m2 /jaar) weekend]]+Ruimtestaat[[#This Row],[Prest. (m2 /jaar) werkdagen]]</f>
        <v>4200</v>
      </c>
      <c r="AE188" s="88">
        <f>Ruimtestaat[[#This Row],[uren / jaar weekend]]+Ruimtestaat[[#This Row],[uren / jaar werkdagen]]</f>
        <v>0</v>
      </c>
      <c r="AF188" s="89">
        <f>Ruimtestaat[[#This Row],[kosten / jaar weekend]]+Ruimtestaat[[#This Row],[kosten / jaar werkdagen]]</f>
        <v>0</v>
      </c>
    </row>
    <row r="189" spans="1:32" ht="15" customHeight="1">
      <c r="A189" s="213">
        <v>3</v>
      </c>
      <c r="B189" s="200" t="str">
        <f>VLOOKUP(Ruimtestaat[[#This Row],[Code]],Locaties[#All],2,FALSE)</f>
        <v>Karel de Grote College</v>
      </c>
      <c r="C189" s="240" t="str">
        <f>VLOOKUP(Ruimtestaat[[#This Row],[Code]],Locaties[#All],4,FALSE)</f>
        <v>Wilhelminasingel 15</v>
      </c>
      <c r="D189" s="240" t="str">
        <f>VLOOKUP(Ruimtestaat[[#This Row],[Code]],Locaties[#All],5,FALSE)</f>
        <v>6524 AJ</v>
      </c>
      <c r="E189" s="240" t="str">
        <f>VLOOKUP(Ruimtestaat[[#This Row],[Code]],Locaties[#All],6,FALSE)</f>
        <v>Nijmegen</v>
      </c>
      <c r="F189" s="241" t="s">
        <v>845</v>
      </c>
      <c r="G189" s="200" t="s">
        <v>646</v>
      </c>
      <c r="H189" s="200" t="s">
        <v>722</v>
      </c>
      <c r="I189" s="241" t="s">
        <v>682</v>
      </c>
      <c r="J189" s="240">
        <v>2</v>
      </c>
      <c r="K189" s="256" t="str">
        <f>VLOOKUP(Ruimtestaat[[#This Row],[Ruimte code]],Ruimtegroepen[#All],2,FALSE)</f>
        <v>Kantoren</v>
      </c>
      <c r="L189" s="213" t="s">
        <v>110</v>
      </c>
      <c r="M189" s="268" t="s">
        <v>644</v>
      </c>
      <c r="N189" s="269">
        <v>21</v>
      </c>
      <c r="O189" s="212"/>
      <c r="P189" s="240" t="str">
        <f>VLOOKUP(Ruimtestaat[[#This Row],[Ruimte code]],Ruimtegroepen[#All],4,FALSE)</f>
        <v>B  (Bureauruimte)</v>
      </c>
      <c r="Q189" s="213">
        <v>40</v>
      </c>
      <c r="R189" s="213" t="s">
        <v>17</v>
      </c>
      <c r="S189" s="213">
        <f>IF(Q189&gt;0,IF(RIGHT(Ruimtestaat[[#This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89" s="213">
        <f>IF(S189&gt;0,VLOOKUP($J189,Ruimtegroepen[],3,FALSE)*VLOOKUP($L189,Vloersoorten[],3,FALSE)*VLOOKUP($R189,Frequenties[],3,FALSE)*VLOOKUP($A189,Locaties[],3,FALSE),0)</f>
        <v>0</v>
      </c>
      <c r="U189" s="213">
        <f>Ruimtestaat[[#This Row],[Uitvoeringen werkdagen]]*Ruimtestaat[[#This Row],[Oppervlak (netto)]]</f>
        <v>1680</v>
      </c>
      <c r="V189" s="253">
        <f>IF(T189&gt;0,Ruimtestaat[[#This Row],[Prest. (m2 /jaar) werkdagen]]/Ruimtestaat[[#This Row],[Norm (m2/uur) werkdagen]],0)</f>
        <v>0</v>
      </c>
      <c r="W189" s="254">
        <f>Ruimtestaat[[#This Row],[uren / jaar werkdagen]]*Tariefsopbouw!$D$38</f>
        <v>0</v>
      </c>
      <c r="X189" s="33"/>
      <c r="Y189" s="33">
        <f>IF(Ruimtestaat[[#This Row],[Frequentie weekend]]&gt;0,VALUE(LEFT(X189,1))*Q189,0)</f>
        <v>0</v>
      </c>
      <c r="Z189" s="33">
        <f>IF($Y189&gt;0,VLOOKUP($J189,Ruimtegroepen[],3,FALSE)*VLOOKUP($L189,Vloersoorten[],3,FALSE)*VLOOKUP($X189,Frequenties[],3,FALSE)*VLOOKUP(#REF!,Locaties[],3,FALSE),0)</f>
        <v>0</v>
      </c>
      <c r="AA189" s="33"/>
      <c r="AB189" s="33"/>
      <c r="AC189" s="33">
        <f>Ruimtestaat[[#This Row],[uren / jaar weekend]]*Tariefsopbouw!$D$40</f>
        <v>0</v>
      </c>
      <c r="AD189" s="88">
        <f>Ruimtestaat[[#This Row],[Prest. (m2 /jaar) weekend]]+Ruimtestaat[[#This Row],[Prest. (m2 /jaar) werkdagen]]</f>
        <v>1680</v>
      </c>
      <c r="AE189" s="88">
        <f>Ruimtestaat[[#This Row],[uren / jaar weekend]]+Ruimtestaat[[#This Row],[uren / jaar werkdagen]]</f>
        <v>0</v>
      </c>
      <c r="AF189" s="89">
        <f>Ruimtestaat[[#This Row],[kosten / jaar weekend]]+Ruimtestaat[[#This Row],[kosten / jaar werkdagen]]</f>
        <v>0</v>
      </c>
    </row>
    <row r="190" spans="1:32" ht="15" customHeight="1">
      <c r="A190" s="213">
        <v>3</v>
      </c>
      <c r="B190" s="200" t="str">
        <f>VLOOKUP(Ruimtestaat[[#This Row],[Code]],Locaties[#All],2,FALSE)</f>
        <v>Karel de Grote College</v>
      </c>
      <c r="C190" s="240" t="str">
        <f>VLOOKUP(Ruimtestaat[[#This Row],[Code]],Locaties[#All],4,FALSE)</f>
        <v>Wilhelminasingel 15</v>
      </c>
      <c r="D190" s="240" t="str">
        <f>VLOOKUP(Ruimtestaat[[#This Row],[Code]],Locaties[#All],5,FALSE)</f>
        <v>6524 AJ</v>
      </c>
      <c r="E190" s="240" t="str">
        <f>VLOOKUP(Ruimtestaat[[#This Row],[Code]],Locaties[#All],6,FALSE)</f>
        <v>Nijmegen</v>
      </c>
      <c r="F190" s="241" t="s">
        <v>845</v>
      </c>
      <c r="G190" s="200" t="s">
        <v>646</v>
      </c>
      <c r="H190" s="200" t="s">
        <v>469</v>
      </c>
      <c r="I190" s="241" t="s">
        <v>683</v>
      </c>
      <c r="J190" s="240">
        <v>2</v>
      </c>
      <c r="K190" s="256" t="str">
        <f>VLOOKUP(Ruimtestaat[[#This Row],[Ruimte code]],Ruimtegroepen[#All],2,FALSE)</f>
        <v>Kantoren</v>
      </c>
      <c r="L190" s="240" t="s">
        <v>109</v>
      </c>
      <c r="M190" s="268" t="s">
        <v>649</v>
      </c>
      <c r="N190" s="269">
        <v>18</v>
      </c>
      <c r="O190" s="212"/>
      <c r="P190" s="240" t="str">
        <f>VLOOKUP(Ruimtestaat[[#This Row],[Ruimte code]],Ruimtegroepen[#All],4,FALSE)</f>
        <v>B  (Bureauruimte)</v>
      </c>
      <c r="Q190" s="213">
        <v>40</v>
      </c>
      <c r="R190" s="213" t="s">
        <v>17</v>
      </c>
      <c r="S190" s="213">
        <f>IF(Q190&gt;0,IF(RIGHT(Ruimtestaat[[#This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90" s="213">
        <f>IF(S190&gt;0,VLOOKUP($J190,Ruimtegroepen[],3,FALSE)*VLOOKUP($L190,Vloersoorten[],3,FALSE)*VLOOKUP($R190,Frequenties[],3,FALSE)*VLOOKUP($A190,Locaties[],3,FALSE),0)</f>
        <v>0</v>
      </c>
      <c r="U190" s="213">
        <f>Ruimtestaat[[#This Row],[Uitvoeringen werkdagen]]*Ruimtestaat[[#This Row],[Oppervlak (netto)]]</f>
        <v>1440</v>
      </c>
      <c r="V190" s="253">
        <f>IF(T190&gt;0,Ruimtestaat[[#This Row],[Prest. (m2 /jaar) werkdagen]]/Ruimtestaat[[#This Row],[Norm (m2/uur) werkdagen]],0)</f>
        <v>0</v>
      </c>
      <c r="W190" s="254">
        <f>Ruimtestaat[[#This Row],[uren / jaar werkdagen]]*Tariefsopbouw!$D$38</f>
        <v>0</v>
      </c>
      <c r="X190" s="33"/>
      <c r="Y190" s="33">
        <f>IF(Ruimtestaat[[#This Row],[Frequentie weekend]]&gt;0,VALUE(LEFT(X190,1))*Q190,0)</f>
        <v>0</v>
      </c>
      <c r="Z190" s="33">
        <f>IF($Y190&gt;0,VLOOKUP($J190,Ruimtegroepen[],3,FALSE)*VLOOKUP($L190,Vloersoorten[],3,FALSE)*VLOOKUP($X190,Frequenties[],3,FALSE)*VLOOKUP(#REF!,Locaties[],3,FALSE),0)</f>
        <v>0</v>
      </c>
      <c r="AA190" s="33"/>
      <c r="AB190" s="33"/>
      <c r="AC190" s="33">
        <f>Ruimtestaat[[#This Row],[uren / jaar weekend]]*Tariefsopbouw!$D$40</f>
        <v>0</v>
      </c>
      <c r="AD190" s="88">
        <f>Ruimtestaat[[#This Row],[Prest. (m2 /jaar) weekend]]+Ruimtestaat[[#This Row],[Prest. (m2 /jaar) werkdagen]]</f>
        <v>1440</v>
      </c>
      <c r="AE190" s="88">
        <f>Ruimtestaat[[#This Row],[uren / jaar weekend]]+Ruimtestaat[[#This Row],[uren / jaar werkdagen]]</f>
        <v>0</v>
      </c>
      <c r="AF190" s="89">
        <f>Ruimtestaat[[#This Row],[kosten / jaar weekend]]+Ruimtestaat[[#This Row],[kosten / jaar werkdagen]]</f>
        <v>0</v>
      </c>
    </row>
    <row r="191" spans="1:32" ht="15" customHeight="1">
      <c r="A191" s="213">
        <v>3</v>
      </c>
      <c r="B191" s="200" t="str">
        <f>VLOOKUP(Ruimtestaat[[#This Row],[Code]],Locaties[#All],2,FALSE)</f>
        <v>Karel de Grote College</v>
      </c>
      <c r="C191" s="240" t="str">
        <f>VLOOKUP(Ruimtestaat[[#This Row],[Code]],Locaties[#All],4,FALSE)</f>
        <v>Wilhelminasingel 15</v>
      </c>
      <c r="D191" s="240" t="str">
        <f>VLOOKUP(Ruimtestaat[[#This Row],[Code]],Locaties[#All],5,FALSE)</f>
        <v>6524 AJ</v>
      </c>
      <c r="E191" s="240" t="str">
        <f>VLOOKUP(Ruimtestaat[[#This Row],[Code]],Locaties[#All],6,FALSE)</f>
        <v>Nijmegen</v>
      </c>
      <c r="F191" s="241" t="s">
        <v>845</v>
      </c>
      <c r="G191" s="200" t="s">
        <v>646</v>
      </c>
      <c r="H191" s="200" t="s">
        <v>470</v>
      </c>
      <c r="I191" s="241" t="s">
        <v>684</v>
      </c>
      <c r="J191" s="240">
        <v>2</v>
      </c>
      <c r="K191" s="256" t="str">
        <f>VLOOKUP(Ruimtestaat[[#This Row],[Ruimte code]],Ruimtegroepen[#All],2,FALSE)</f>
        <v>Kantoren</v>
      </c>
      <c r="L191" s="240" t="s">
        <v>109</v>
      </c>
      <c r="M191" s="268" t="s">
        <v>649</v>
      </c>
      <c r="N191" s="269">
        <v>20</v>
      </c>
      <c r="O191" s="212"/>
      <c r="P191" s="240" t="str">
        <f>VLOOKUP(Ruimtestaat[[#This Row],[Ruimte code]],Ruimtegroepen[#All],4,FALSE)</f>
        <v>B  (Bureauruimte)</v>
      </c>
      <c r="Q191" s="213">
        <v>40</v>
      </c>
      <c r="R191" s="213" t="s">
        <v>17</v>
      </c>
      <c r="S191" s="213">
        <f>IF(Q191&gt;0,IF(RIGHT(Ruimtestaat[[#This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91" s="213">
        <f>IF(S191&gt;0,VLOOKUP($J191,Ruimtegroepen[],3,FALSE)*VLOOKUP($L191,Vloersoorten[],3,FALSE)*VLOOKUP($R191,Frequenties[],3,FALSE)*VLOOKUP($A191,Locaties[],3,FALSE),0)</f>
        <v>0</v>
      </c>
      <c r="U191" s="213">
        <f>Ruimtestaat[[#This Row],[Uitvoeringen werkdagen]]*Ruimtestaat[[#This Row],[Oppervlak (netto)]]</f>
        <v>1600</v>
      </c>
      <c r="V191" s="253">
        <f>IF(T191&gt;0,Ruimtestaat[[#This Row],[Prest. (m2 /jaar) werkdagen]]/Ruimtestaat[[#This Row],[Norm (m2/uur) werkdagen]],0)</f>
        <v>0</v>
      </c>
      <c r="W191" s="254">
        <f>Ruimtestaat[[#This Row],[uren / jaar werkdagen]]*Tariefsopbouw!$D$38</f>
        <v>0</v>
      </c>
      <c r="X191" s="33"/>
      <c r="Y191" s="33">
        <f>IF(Ruimtestaat[[#This Row],[Frequentie weekend]]&gt;0,VALUE(LEFT(X191,1))*Q191,0)</f>
        <v>0</v>
      </c>
      <c r="Z191" s="33">
        <f>IF($Y191&gt;0,VLOOKUP($J191,Ruimtegroepen[],3,FALSE)*VLOOKUP($L191,Vloersoorten[],3,FALSE)*VLOOKUP($X191,Frequenties[],3,FALSE)*VLOOKUP(#REF!,Locaties[],3,FALSE),0)</f>
        <v>0</v>
      </c>
      <c r="AA191" s="33"/>
      <c r="AB191" s="33"/>
      <c r="AC191" s="33">
        <f>Ruimtestaat[[#This Row],[uren / jaar weekend]]*Tariefsopbouw!$D$40</f>
        <v>0</v>
      </c>
      <c r="AD191" s="88">
        <f>Ruimtestaat[[#This Row],[Prest. (m2 /jaar) weekend]]+Ruimtestaat[[#This Row],[Prest. (m2 /jaar) werkdagen]]</f>
        <v>1600</v>
      </c>
      <c r="AE191" s="88">
        <f>Ruimtestaat[[#This Row],[uren / jaar weekend]]+Ruimtestaat[[#This Row],[uren / jaar werkdagen]]</f>
        <v>0</v>
      </c>
      <c r="AF191" s="89">
        <f>Ruimtestaat[[#This Row],[kosten / jaar weekend]]+Ruimtestaat[[#This Row],[kosten / jaar werkdagen]]</f>
        <v>0</v>
      </c>
    </row>
    <row r="192" spans="1:32" ht="15" customHeight="1">
      <c r="A192" s="213">
        <v>3</v>
      </c>
      <c r="B192" s="200" t="str">
        <f>VLOOKUP(Ruimtestaat[[#This Row],[Code]],Locaties[#All],2,FALSE)</f>
        <v>Karel de Grote College</v>
      </c>
      <c r="C192" s="240" t="str">
        <f>VLOOKUP(Ruimtestaat[[#This Row],[Code]],Locaties[#All],4,FALSE)</f>
        <v>Wilhelminasingel 15</v>
      </c>
      <c r="D192" s="240" t="str">
        <f>VLOOKUP(Ruimtestaat[[#This Row],[Code]],Locaties[#All],5,FALSE)</f>
        <v>6524 AJ</v>
      </c>
      <c r="E192" s="240" t="str">
        <f>VLOOKUP(Ruimtestaat[[#This Row],[Code]],Locaties[#All],6,FALSE)</f>
        <v>Nijmegen</v>
      </c>
      <c r="F192" s="241" t="s">
        <v>845</v>
      </c>
      <c r="G192" s="200" t="s">
        <v>646</v>
      </c>
      <c r="H192" s="200" t="s">
        <v>723</v>
      </c>
      <c r="I192" s="241" t="s">
        <v>685</v>
      </c>
      <c r="J192" s="240">
        <v>2</v>
      </c>
      <c r="K192" s="256" t="str">
        <f>VLOOKUP(Ruimtestaat[[#This Row],[Ruimte code]],Ruimtegroepen[#All],2,FALSE)</f>
        <v>Kantoren</v>
      </c>
      <c r="L192" s="240" t="s">
        <v>109</v>
      </c>
      <c r="M192" s="268" t="s">
        <v>649</v>
      </c>
      <c r="N192" s="269">
        <v>7</v>
      </c>
      <c r="O192" s="212"/>
      <c r="P192" s="240" t="str">
        <f>VLOOKUP(Ruimtestaat[[#This Row],[Ruimte code]],Ruimtegroepen[#All],4,FALSE)</f>
        <v>B  (Bureauruimte)</v>
      </c>
      <c r="Q192" s="213">
        <v>40</v>
      </c>
      <c r="R192" s="213" t="s">
        <v>17</v>
      </c>
      <c r="S192" s="213">
        <f>IF(Q192&gt;0,IF(RIGHT(Ruimtestaat[[#This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92" s="213">
        <f>IF(S192&gt;0,VLOOKUP($J192,Ruimtegroepen[],3,FALSE)*VLOOKUP($L192,Vloersoorten[],3,FALSE)*VLOOKUP($R192,Frequenties[],3,FALSE)*VLOOKUP($A192,Locaties[],3,FALSE),0)</f>
        <v>0</v>
      </c>
      <c r="U192" s="213">
        <f>Ruimtestaat[[#This Row],[Uitvoeringen werkdagen]]*Ruimtestaat[[#This Row],[Oppervlak (netto)]]</f>
        <v>560</v>
      </c>
      <c r="V192" s="253">
        <f>IF(T192&gt;0,Ruimtestaat[[#This Row],[Prest. (m2 /jaar) werkdagen]]/Ruimtestaat[[#This Row],[Norm (m2/uur) werkdagen]],0)</f>
        <v>0</v>
      </c>
      <c r="W192" s="254">
        <f>Ruimtestaat[[#This Row],[uren / jaar werkdagen]]*Tariefsopbouw!$D$38</f>
        <v>0</v>
      </c>
      <c r="X192" s="33"/>
      <c r="Y192" s="33">
        <f>IF(Ruimtestaat[[#This Row],[Frequentie weekend]]&gt;0,VALUE(LEFT(X192,1))*Q192,0)</f>
        <v>0</v>
      </c>
      <c r="Z192" s="33">
        <f>IF($Y192&gt;0,VLOOKUP($J192,Ruimtegroepen[],3,FALSE)*VLOOKUP($L192,Vloersoorten[],3,FALSE)*VLOOKUP($X192,Frequenties[],3,FALSE)*VLOOKUP(#REF!,Locaties[],3,FALSE),0)</f>
        <v>0</v>
      </c>
      <c r="AA192" s="33"/>
      <c r="AB192" s="33"/>
      <c r="AC192" s="33">
        <f>Ruimtestaat[[#This Row],[uren / jaar weekend]]*Tariefsopbouw!$D$40</f>
        <v>0</v>
      </c>
      <c r="AD192" s="88">
        <f>Ruimtestaat[[#This Row],[Prest. (m2 /jaar) weekend]]+Ruimtestaat[[#This Row],[Prest. (m2 /jaar) werkdagen]]</f>
        <v>560</v>
      </c>
      <c r="AE192" s="88">
        <f>Ruimtestaat[[#This Row],[uren / jaar weekend]]+Ruimtestaat[[#This Row],[uren / jaar werkdagen]]</f>
        <v>0</v>
      </c>
      <c r="AF192" s="89">
        <f>Ruimtestaat[[#This Row],[kosten / jaar weekend]]+Ruimtestaat[[#This Row],[kosten / jaar werkdagen]]</f>
        <v>0</v>
      </c>
    </row>
    <row r="193" spans="1:32" ht="15" customHeight="1">
      <c r="A193" s="213">
        <v>3</v>
      </c>
      <c r="B193" s="200" t="str">
        <f>VLOOKUP(Ruimtestaat[[#This Row],[Code]],Locaties[#All],2,FALSE)</f>
        <v>Karel de Grote College</v>
      </c>
      <c r="C193" s="240" t="str">
        <f>VLOOKUP(Ruimtestaat[[#This Row],[Code]],Locaties[#All],4,FALSE)</f>
        <v>Wilhelminasingel 15</v>
      </c>
      <c r="D193" s="240" t="str">
        <f>VLOOKUP(Ruimtestaat[[#This Row],[Code]],Locaties[#All],5,FALSE)</f>
        <v>6524 AJ</v>
      </c>
      <c r="E193" s="240" t="str">
        <f>VLOOKUP(Ruimtestaat[[#This Row],[Code]],Locaties[#All],6,FALSE)</f>
        <v>Nijmegen</v>
      </c>
      <c r="F193" s="241" t="s">
        <v>845</v>
      </c>
      <c r="G193" s="200" t="s">
        <v>646</v>
      </c>
      <c r="H193" s="200" t="s">
        <v>724</v>
      </c>
      <c r="I193" s="241" t="s">
        <v>686</v>
      </c>
      <c r="J193" s="240">
        <v>7</v>
      </c>
      <c r="K193" s="256" t="str">
        <f>VLOOKUP(Ruimtestaat[[#This Row],[Ruimte code]],Ruimtegroepen[#All],2,FALSE)</f>
        <v>Entree</v>
      </c>
      <c r="L193" s="240" t="s">
        <v>109</v>
      </c>
      <c r="M193" s="200" t="s">
        <v>549</v>
      </c>
      <c r="N193" s="269">
        <v>3</v>
      </c>
      <c r="O193" s="212"/>
      <c r="P193" s="240" t="str">
        <f>VLOOKUP(Ruimtestaat[[#This Row],[Ruimte code]],Ruimtegroepen[#All],4,FALSE)</f>
        <v>V  (Verkeersruimte)</v>
      </c>
      <c r="Q193" s="213">
        <v>40</v>
      </c>
      <c r="R193" s="213" t="s">
        <v>2</v>
      </c>
      <c r="S193" s="213">
        <f>IF(Q193&gt;0,IF(RIGHT(Ruimtestaat[[#This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3" s="213">
        <f>IF(S193&gt;0,VLOOKUP($J193,Ruimtegroepen[],3,FALSE)*VLOOKUP($L193,Vloersoorten[],3,FALSE)*VLOOKUP($R193,Frequenties[],3,FALSE)*VLOOKUP($A193,Locaties[],3,FALSE),0)</f>
        <v>0</v>
      </c>
      <c r="U193" s="213">
        <f>Ruimtestaat[[#This Row],[Uitvoeringen werkdagen]]*Ruimtestaat[[#This Row],[Oppervlak (netto)]]</f>
        <v>600</v>
      </c>
      <c r="V193" s="253">
        <f>IF(T193&gt;0,Ruimtestaat[[#This Row],[Prest. (m2 /jaar) werkdagen]]/Ruimtestaat[[#This Row],[Norm (m2/uur) werkdagen]],0)</f>
        <v>0</v>
      </c>
      <c r="W193" s="254">
        <f>Ruimtestaat[[#This Row],[uren / jaar werkdagen]]*Tariefsopbouw!$D$38</f>
        <v>0</v>
      </c>
      <c r="X193" s="33"/>
      <c r="Y193" s="33">
        <f>IF(Ruimtestaat[[#This Row],[Frequentie weekend]]&gt;0,VALUE(LEFT(X193,1))*Q193,0)</f>
        <v>0</v>
      </c>
      <c r="Z193" s="33">
        <f>IF($Y193&gt;0,VLOOKUP($J193,Ruimtegroepen[],3,FALSE)*VLOOKUP($L193,Vloersoorten[],3,FALSE)*VLOOKUP($X193,Frequenties[],3,FALSE)*VLOOKUP(#REF!,Locaties[],3,FALSE),0)</f>
        <v>0</v>
      </c>
      <c r="AA193" s="33"/>
      <c r="AB193" s="33"/>
      <c r="AC193" s="33">
        <f>Ruimtestaat[[#This Row],[uren / jaar weekend]]*Tariefsopbouw!$D$40</f>
        <v>0</v>
      </c>
      <c r="AD193" s="88">
        <f>Ruimtestaat[[#This Row],[Prest. (m2 /jaar) weekend]]+Ruimtestaat[[#This Row],[Prest. (m2 /jaar) werkdagen]]</f>
        <v>600</v>
      </c>
      <c r="AE193" s="88">
        <f>Ruimtestaat[[#This Row],[uren / jaar weekend]]+Ruimtestaat[[#This Row],[uren / jaar werkdagen]]</f>
        <v>0</v>
      </c>
      <c r="AF193" s="89">
        <f>Ruimtestaat[[#This Row],[kosten / jaar weekend]]+Ruimtestaat[[#This Row],[kosten / jaar werkdagen]]</f>
        <v>0</v>
      </c>
    </row>
    <row r="194" spans="1:32" ht="15" customHeight="1">
      <c r="A194" s="213">
        <v>3</v>
      </c>
      <c r="B194" s="200" t="str">
        <f>VLOOKUP(Ruimtestaat[[#This Row],[Code]],Locaties[#All],2,FALSE)</f>
        <v>Karel de Grote College</v>
      </c>
      <c r="C194" s="240" t="str">
        <f>VLOOKUP(Ruimtestaat[[#This Row],[Code]],Locaties[#All],4,FALSE)</f>
        <v>Wilhelminasingel 15</v>
      </c>
      <c r="D194" s="240" t="str">
        <f>VLOOKUP(Ruimtestaat[[#This Row],[Code]],Locaties[#All],5,FALSE)</f>
        <v>6524 AJ</v>
      </c>
      <c r="E194" s="240" t="str">
        <f>VLOOKUP(Ruimtestaat[[#This Row],[Code]],Locaties[#All],6,FALSE)</f>
        <v>Nijmegen</v>
      </c>
      <c r="F194" s="241" t="s">
        <v>845</v>
      </c>
      <c r="G194" s="200" t="s">
        <v>646</v>
      </c>
      <c r="H194" s="200" t="s">
        <v>471</v>
      </c>
      <c r="I194" s="241" t="s">
        <v>673</v>
      </c>
      <c r="J194" s="200">
        <v>16</v>
      </c>
      <c r="K194" s="256" t="str">
        <f>VLOOKUP(Ruimtestaat[[#This Row],[Ruimte code]],Ruimtegroepen[#All],2,FALSE)</f>
        <v>Lokaal</v>
      </c>
      <c r="L194" s="213" t="s">
        <v>110</v>
      </c>
      <c r="M194" s="268" t="s">
        <v>644</v>
      </c>
      <c r="N194" s="269">
        <v>66</v>
      </c>
      <c r="O194" s="212"/>
      <c r="P194" s="240" t="str">
        <f>VLOOKUP(Ruimtestaat[[#This Row],[Ruimte code]],Ruimtegroepen[#All],4,FALSE)</f>
        <v>L  (Lesruimte)</v>
      </c>
      <c r="Q194" s="213">
        <v>40</v>
      </c>
      <c r="R194" s="213" t="s">
        <v>2</v>
      </c>
      <c r="S194" s="213">
        <f>IF(Q194&gt;0,IF(RIGHT(Ruimtestaat[[#This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4" s="213">
        <f>IF(S194&gt;0,VLOOKUP($J194,Ruimtegroepen[],3,FALSE)*VLOOKUP($L194,Vloersoorten[],3,FALSE)*VLOOKUP($R194,Frequenties[],3,FALSE)*VLOOKUP($A194,Locaties[],3,FALSE),0)</f>
        <v>0</v>
      </c>
      <c r="U194" s="213">
        <f>Ruimtestaat[[#This Row],[Uitvoeringen werkdagen]]*Ruimtestaat[[#This Row],[Oppervlak (netto)]]</f>
        <v>13200</v>
      </c>
      <c r="V194" s="253">
        <f>IF(T194&gt;0,Ruimtestaat[[#This Row],[Prest. (m2 /jaar) werkdagen]]/Ruimtestaat[[#This Row],[Norm (m2/uur) werkdagen]],0)</f>
        <v>0</v>
      </c>
      <c r="W194" s="254">
        <f>Ruimtestaat[[#This Row],[uren / jaar werkdagen]]*Tariefsopbouw!$D$38</f>
        <v>0</v>
      </c>
      <c r="X194" s="33"/>
      <c r="Y194" s="33">
        <f>IF(Ruimtestaat[[#This Row],[Frequentie weekend]]&gt;0,VALUE(LEFT(X194,1))*Q194,0)</f>
        <v>0</v>
      </c>
      <c r="Z194" s="33">
        <f>IF($Y194&gt;0,VLOOKUP($J194,Ruimtegroepen[],3,FALSE)*VLOOKUP($L194,Vloersoorten[],3,FALSE)*VLOOKUP($X194,Frequenties[],3,FALSE)*VLOOKUP(#REF!,Locaties[],3,FALSE),0)</f>
        <v>0</v>
      </c>
      <c r="AA194" s="33"/>
      <c r="AB194" s="33"/>
      <c r="AC194" s="33">
        <f>Ruimtestaat[[#This Row],[uren / jaar weekend]]*Tariefsopbouw!$D$40</f>
        <v>0</v>
      </c>
      <c r="AD194" s="88">
        <f>Ruimtestaat[[#This Row],[Prest. (m2 /jaar) weekend]]+Ruimtestaat[[#This Row],[Prest. (m2 /jaar) werkdagen]]</f>
        <v>13200</v>
      </c>
      <c r="AE194" s="88">
        <f>Ruimtestaat[[#This Row],[uren / jaar weekend]]+Ruimtestaat[[#This Row],[uren / jaar werkdagen]]</f>
        <v>0</v>
      </c>
      <c r="AF194" s="89">
        <f>Ruimtestaat[[#This Row],[kosten / jaar weekend]]+Ruimtestaat[[#This Row],[kosten / jaar werkdagen]]</f>
        <v>0</v>
      </c>
    </row>
    <row r="195" spans="1:32" ht="15" customHeight="1">
      <c r="A195" s="213">
        <v>3</v>
      </c>
      <c r="B195" s="200" t="str">
        <f>VLOOKUP(Ruimtestaat[[#This Row],[Code]],Locaties[#All],2,FALSE)</f>
        <v>Karel de Grote College</v>
      </c>
      <c r="C195" s="240" t="str">
        <f>VLOOKUP(Ruimtestaat[[#This Row],[Code]],Locaties[#All],4,FALSE)</f>
        <v>Wilhelminasingel 15</v>
      </c>
      <c r="D195" s="240" t="str">
        <f>VLOOKUP(Ruimtestaat[[#This Row],[Code]],Locaties[#All],5,FALSE)</f>
        <v>6524 AJ</v>
      </c>
      <c r="E195" s="240" t="str">
        <f>VLOOKUP(Ruimtestaat[[#This Row],[Code]],Locaties[#All],6,FALSE)</f>
        <v>Nijmegen</v>
      </c>
      <c r="F195" s="241" t="s">
        <v>845</v>
      </c>
      <c r="G195" s="200" t="s">
        <v>646</v>
      </c>
      <c r="H195" s="200" t="s">
        <v>725</v>
      </c>
      <c r="I195" s="241" t="s">
        <v>673</v>
      </c>
      <c r="J195" s="200">
        <v>16</v>
      </c>
      <c r="K195" s="256" t="str">
        <f>VLOOKUP(Ruimtestaat[[#This Row],[Ruimte code]],Ruimtegroepen[#All],2,FALSE)</f>
        <v>Lokaal</v>
      </c>
      <c r="L195" s="213" t="s">
        <v>110</v>
      </c>
      <c r="M195" s="268" t="s">
        <v>644</v>
      </c>
      <c r="N195" s="269">
        <v>65</v>
      </c>
      <c r="O195" s="212"/>
      <c r="P195" s="240" t="str">
        <f>VLOOKUP(Ruimtestaat[[#This Row],[Ruimte code]],Ruimtegroepen[#All],4,FALSE)</f>
        <v>L  (Lesruimte)</v>
      </c>
      <c r="Q195" s="213">
        <v>40</v>
      </c>
      <c r="R195" s="213" t="s">
        <v>2</v>
      </c>
      <c r="S195" s="213">
        <f>IF(Q195&gt;0,IF(RIGHT(Ruimtestaat[[#This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5" s="213">
        <f>IF(S195&gt;0,VLOOKUP($J195,Ruimtegroepen[],3,FALSE)*VLOOKUP($L195,Vloersoorten[],3,FALSE)*VLOOKUP($R195,Frequenties[],3,FALSE)*VLOOKUP($A195,Locaties[],3,FALSE),0)</f>
        <v>0</v>
      </c>
      <c r="U195" s="213">
        <f>Ruimtestaat[[#This Row],[Uitvoeringen werkdagen]]*Ruimtestaat[[#This Row],[Oppervlak (netto)]]</f>
        <v>13000</v>
      </c>
      <c r="V195" s="253">
        <f>IF(T195&gt;0,Ruimtestaat[[#This Row],[Prest. (m2 /jaar) werkdagen]]/Ruimtestaat[[#This Row],[Norm (m2/uur) werkdagen]],0)</f>
        <v>0</v>
      </c>
      <c r="W195" s="254">
        <f>Ruimtestaat[[#This Row],[uren / jaar werkdagen]]*Tariefsopbouw!$D$38</f>
        <v>0</v>
      </c>
      <c r="X195" s="33"/>
      <c r="Y195" s="33">
        <f>IF(Ruimtestaat[[#This Row],[Frequentie weekend]]&gt;0,VALUE(LEFT(X195,1))*Q195,0)</f>
        <v>0</v>
      </c>
      <c r="Z195" s="33">
        <f>IF($Y195&gt;0,VLOOKUP($J195,Ruimtegroepen[],3,FALSE)*VLOOKUP($L195,Vloersoorten[],3,FALSE)*VLOOKUP($X195,Frequenties[],3,FALSE)*VLOOKUP(#REF!,Locaties[],3,FALSE),0)</f>
        <v>0</v>
      </c>
      <c r="AA195" s="33"/>
      <c r="AB195" s="33"/>
      <c r="AC195" s="33">
        <f>Ruimtestaat[[#This Row],[uren / jaar weekend]]*Tariefsopbouw!$D$40</f>
        <v>0</v>
      </c>
      <c r="AD195" s="88">
        <f>Ruimtestaat[[#This Row],[Prest. (m2 /jaar) weekend]]+Ruimtestaat[[#This Row],[Prest. (m2 /jaar) werkdagen]]</f>
        <v>13000</v>
      </c>
      <c r="AE195" s="88">
        <f>Ruimtestaat[[#This Row],[uren / jaar weekend]]+Ruimtestaat[[#This Row],[uren / jaar werkdagen]]</f>
        <v>0</v>
      </c>
      <c r="AF195" s="89">
        <f>Ruimtestaat[[#This Row],[kosten / jaar weekend]]+Ruimtestaat[[#This Row],[kosten / jaar werkdagen]]</f>
        <v>0</v>
      </c>
    </row>
    <row r="196" spans="1:32" ht="15" customHeight="1">
      <c r="A196" s="213">
        <v>3</v>
      </c>
      <c r="B196" s="200" t="str">
        <f>VLOOKUP(Ruimtestaat[[#This Row],[Code]],Locaties[#All],2,FALSE)</f>
        <v>Karel de Grote College</v>
      </c>
      <c r="C196" s="240" t="str">
        <f>VLOOKUP(Ruimtestaat[[#This Row],[Code]],Locaties[#All],4,FALSE)</f>
        <v>Wilhelminasingel 15</v>
      </c>
      <c r="D196" s="240" t="str">
        <f>VLOOKUP(Ruimtestaat[[#This Row],[Code]],Locaties[#All],5,FALSE)</f>
        <v>6524 AJ</v>
      </c>
      <c r="E196" s="240" t="str">
        <f>VLOOKUP(Ruimtestaat[[#This Row],[Code]],Locaties[#All],6,FALSE)</f>
        <v>Nijmegen</v>
      </c>
      <c r="F196" s="241" t="s">
        <v>845</v>
      </c>
      <c r="G196" s="200" t="s">
        <v>646</v>
      </c>
      <c r="H196" s="200" t="s">
        <v>726</v>
      </c>
      <c r="I196" s="241" t="s">
        <v>673</v>
      </c>
      <c r="J196" s="200">
        <v>16</v>
      </c>
      <c r="K196" s="256" t="str">
        <f>VLOOKUP(Ruimtestaat[[#This Row],[Ruimte code]],Ruimtegroepen[#All],2,FALSE)</f>
        <v>Lokaal</v>
      </c>
      <c r="L196" s="213" t="s">
        <v>110</v>
      </c>
      <c r="M196" s="268" t="s">
        <v>644</v>
      </c>
      <c r="N196" s="269">
        <v>48</v>
      </c>
      <c r="O196" s="212"/>
      <c r="P196" s="240" t="str">
        <f>VLOOKUP(Ruimtestaat[[#This Row],[Ruimte code]],Ruimtegroepen[#All],4,FALSE)</f>
        <v>L  (Lesruimte)</v>
      </c>
      <c r="Q196" s="213">
        <v>40</v>
      </c>
      <c r="R196" s="213" t="s">
        <v>2</v>
      </c>
      <c r="S196" s="213">
        <f>IF(Q196&gt;0,IF(RIGHT(Ruimtestaat[[#This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6" s="213">
        <f>IF(S196&gt;0,VLOOKUP($J196,Ruimtegroepen[],3,FALSE)*VLOOKUP($L196,Vloersoorten[],3,FALSE)*VLOOKUP($R196,Frequenties[],3,FALSE)*VLOOKUP($A196,Locaties[],3,FALSE),0)</f>
        <v>0</v>
      </c>
      <c r="U196" s="213">
        <f>Ruimtestaat[[#This Row],[Uitvoeringen werkdagen]]*Ruimtestaat[[#This Row],[Oppervlak (netto)]]</f>
        <v>9600</v>
      </c>
      <c r="V196" s="253">
        <f>IF(T196&gt;0,Ruimtestaat[[#This Row],[Prest. (m2 /jaar) werkdagen]]/Ruimtestaat[[#This Row],[Norm (m2/uur) werkdagen]],0)</f>
        <v>0</v>
      </c>
      <c r="W196" s="254">
        <f>Ruimtestaat[[#This Row],[uren / jaar werkdagen]]*Tariefsopbouw!$D$38</f>
        <v>0</v>
      </c>
      <c r="X196" s="33"/>
      <c r="Y196" s="33">
        <f>IF(Ruimtestaat[[#This Row],[Frequentie weekend]]&gt;0,VALUE(LEFT(X196,1))*Q196,0)</f>
        <v>0</v>
      </c>
      <c r="Z196" s="33">
        <f>IF($Y196&gt;0,VLOOKUP($J196,Ruimtegroepen[],3,FALSE)*VLOOKUP($L196,Vloersoorten[],3,FALSE)*VLOOKUP($X196,Frequenties[],3,FALSE)*VLOOKUP(#REF!,Locaties[],3,FALSE),0)</f>
        <v>0</v>
      </c>
      <c r="AA196" s="33"/>
      <c r="AB196" s="33"/>
      <c r="AC196" s="33">
        <f>Ruimtestaat[[#This Row],[uren / jaar weekend]]*Tariefsopbouw!$D$40</f>
        <v>0</v>
      </c>
      <c r="AD196" s="88">
        <f>Ruimtestaat[[#This Row],[Prest. (m2 /jaar) weekend]]+Ruimtestaat[[#This Row],[Prest. (m2 /jaar) werkdagen]]</f>
        <v>9600</v>
      </c>
      <c r="AE196" s="88">
        <f>Ruimtestaat[[#This Row],[uren / jaar weekend]]+Ruimtestaat[[#This Row],[uren / jaar werkdagen]]</f>
        <v>0</v>
      </c>
      <c r="AF196" s="89">
        <f>Ruimtestaat[[#This Row],[kosten / jaar weekend]]+Ruimtestaat[[#This Row],[kosten / jaar werkdagen]]</f>
        <v>0</v>
      </c>
    </row>
    <row r="197" spans="1:32" ht="15" customHeight="1">
      <c r="A197" s="213">
        <v>3</v>
      </c>
      <c r="B197" s="200" t="str">
        <f>VLOOKUP(Ruimtestaat[[#This Row],[Code]],Locaties[#All],2,FALSE)</f>
        <v>Karel de Grote College</v>
      </c>
      <c r="C197" s="240" t="str">
        <f>VLOOKUP(Ruimtestaat[[#This Row],[Code]],Locaties[#All],4,FALSE)</f>
        <v>Wilhelminasingel 15</v>
      </c>
      <c r="D197" s="240" t="str">
        <f>VLOOKUP(Ruimtestaat[[#This Row],[Code]],Locaties[#All],5,FALSE)</f>
        <v>6524 AJ</v>
      </c>
      <c r="E197" s="240" t="str">
        <f>VLOOKUP(Ruimtestaat[[#This Row],[Code]],Locaties[#All],6,FALSE)</f>
        <v>Nijmegen</v>
      </c>
      <c r="F197" s="241" t="s">
        <v>845</v>
      </c>
      <c r="G197" s="200" t="s">
        <v>646</v>
      </c>
      <c r="H197" s="200" t="s">
        <v>727</v>
      </c>
      <c r="I197" s="241" t="s">
        <v>673</v>
      </c>
      <c r="J197" s="200">
        <v>16</v>
      </c>
      <c r="K197" s="256" t="str">
        <f>VLOOKUP(Ruimtestaat[[#This Row],[Ruimte code]],Ruimtegroepen[#All],2,FALSE)</f>
        <v>Lokaal</v>
      </c>
      <c r="L197" s="213" t="s">
        <v>110</v>
      </c>
      <c r="M197" s="268" t="s">
        <v>644</v>
      </c>
      <c r="N197" s="269">
        <v>48</v>
      </c>
      <c r="O197" s="212"/>
      <c r="P197" s="240" t="str">
        <f>VLOOKUP(Ruimtestaat[[#This Row],[Ruimte code]],Ruimtegroepen[#All],4,FALSE)</f>
        <v>L  (Lesruimte)</v>
      </c>
      <c r="Q197" s="213">
        <v>40</v>
      </c>
      <c r="R197" s="213" t="s">
        <v>2</v>
      </c>
      <c r="S197" s="213">
        <f>IF(Q197&gt;0,IF(RIGHT(Ruimtestaat[[#This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197" s="213">
        <f>IF(S197&gt;0,VLOOKUP($J197,Ruimtegroepen[],3,FALSE)*VLOOKUP($L197,Vloersoorten[],3,FALSE)*VLOOKUP($R197,Frequenties[],3,FALSE)*VLOOKUP($A197,Locaties[],3,FALSE),0)</f>
        <v>0</v>
      </c>
      <c r="U197" s="213">
        <f>Ruimtestaat[[#This Row],[Uitvoeringen werkdagen]]*Ruimtestaat[[#This Row],[Oppervlak (netto)]]</f>
        <v>9600</v>
      </c>
      <c r="V197" s="253">
        <f>IF(T197&gt;0,Ruimtestaat[[#This Row],[Prest. (m2 /jaar) werkdagen]]/Ruimtestaat[[#This Row],[Norm (m2/uur) werkdagen]],0)</f>
        <v>0</v>
      </c>
      <c r="W197" s="254">
        <f>Ruimtestaat[[#This Row],[uren / jaar werkdagen]]*Tariefsopbouw!$D$38</f>
        <v>0</v>
      </c>
      <c r="X197" s="33"/>
      <c r="Y197" s="33">
        <f>IF(Ruimtestaat[[#This Row],[Frequentie weekend]]&gt;0,VALUE(LEFT(X197,1))*Q197,0)</f>
        <v>0</v>
      </c>
      <c r="Z197" s="33">
        <f>IF($Y197&gt;0,VLOOKUP($J197,Ruimtegroepen[],3,FALSE)*VLOOKUP($L197,Vloersoorten[],3,FALSE)*VLOOKUP($X197,Frequenties[],3,FALSE)*VLOOKUP(#REF!,Locaties[],3,FALSE),0)</f>
        <v>0</v>
      </c>
      <c r="AA197" s="33"/>
      <c r="AB197" s="33"/>
      <c r="AC197" s="33">
        <f>Ruimtestaat[[#This Row],[uren / jaar weekend]]*Tariefsopbouw!$D$40</f>
        <v>0</v>
      </c>
      <c r="AD197" s="88">
        <f>Ruimtestaat[[#This Row],[Prest. (m2 /jaar) weekend]]+Ruimtestaat[[#This Row],[Prest. (m2 /jaar) werkdagen]]</f>
        <v>9600</v>
      </c>
      <c r="AE197" s="88">
        <f>Ruimtestaat[[#This Row],[uren / jaar weekend]]+Ruimtestaat[[#This Row],[uren / jaar werkdagen]]</f>
        <v>0</v>
      </c>
      <c r="AF197" s="89">
        <f>Ruimtestaat[[#This Row],[kosten / jaar weekend]]+Ruimtestaat[[#This Row],[kosten / jaar werkdagen]]</f>
        <v>0</v>
      </c>
    </row>
    <row r="198" spans="1:32" ht="15" customHeight="1">
      <c r="A198" s="213">
        <v>3</v>
      </c>
      <c r="B198" s="200" t="str">
        <f>VLOOKUP(Ruimtestaat[[#This Row],[Code]],Locaties[#All],2,FALSE)</f>
        <v>Karel de Grote College</v>
      </c>
      <c r="C198" s="240" t="str">
        <f>VLOOKUP(Ruimtestaat[[#This Row],[Code]],Locaties[#All],4,FALSE)</f>
        <v>Wilhelminasingel 15</v>
      </c>
      <c r="D198" s="240" t="str">
        <f>VLOOKUP(Ruimtestaat[[#This Row],[Code]],Locaties[#All],5,FALSE)</f>
        <v>6524 AJ</v>
      </c>
      <c r="E198" s="240" t="str">
        <f>VLOOKUP(Ruimtestaat[[#This Row],[Code]],Locaties[#All],6,FALSE)</f>
        <v>Nijmegen</v>
      </c>
      <c r="F198" s="241" t="s">
        <v>763</v>
      </c>
      <c r="G198" s="200" t="s">
        <v>646</v>
      </c>
      <c r="H198" s="200" t="s">
        <v>728</v>
      </c>
      <c r="I198" s="241" t="s">
        <v>684</v>
      </c>
      <c r="J198" s="240">
        <v>2</v>
      </c>
      <c r="K198" s="256" t="str">
        <f>VLOOKUP(Ruimtestaat[[#This Row],[Ruimte code]],Ruimtegroepen[#All],2,FALSE)</f>
        <v>Kantoren</v>
      </c>
      <c r="L198" s="240" t="s">
        <v>109</v>
      </c>
      <c r="M198" s="268" t="s">
        <v>649</v>
      </c>
      <c r="N198" s="269">
        <v>15</v>
      </c>
      <c r="O198" s="212"/>
      <c r="P198" s="240" t="str">
        <f>VLOOKUP(Ruimtestaat[[#This Row],[Ruimte code]],Ruimtegroepen[#All],4,FALSE)</f>
        <v>B  (Bureauruimte)</v>
      </c>
      <c r="Q198" s="213">
        <v>40</v>
      </c>
      <c r="R198" s="213" t="s">
        <v>17</v>
      </c>
      <c r="S198" s="213">
        <f>IF(Q198&gt;0,IF(RIGHT(Ruimtestaat[[#This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98" s="213">
        <f>IF(S198&gt;0,VLOOKUP($J198,Ruimtegroepen[],3,FALSE)*VLOOKUP($L198,Vloersoorten[],3,FALSE)*VLOOKUP($R198,Frequenties[],3,FALSE)*VLOOKUP($A198,Locaties[],3,FALSE),0)</f>
        <v>0</v>
      </c>
      <c r="U198" s="213">
        <f>Ruimtestaat[[#This Row],[Uitvoeringen werkdagen]]*Ruimtestaat[[#This Row],[Oppervlak (netto)]]</f>
        <v>1200</v>
      </c>
      <c r="V198" s="253">
        <f>IF(T198&gt;0,Ruimtestaat[[#This Row],[Prest. (m2 /jaar) werkdagen]]/Ruimtestaat[[#This Row],[Norm (m2/uur) werkdagen]],0)</f>
        <v>0</v>
      </c>
      <c r="W198" s="254">
        <f>Ruimtestaat[[#This Row],[uren / jaar werkdagen]]*Tariefsopbouw!$D$38</f>
        <v>0</v>
      </c>
      <c r="X198" s="33"/>
      <c r="Y198" s="33">
        <f>IF(Ruimtestaat[[#This Row],[Frequentie weekend]]&gt;0,VALUE(LEFT(X198,1))*Q198,0)</f>
        <v>0</v>
      </c>
      <c r="Z198" s="33">
        <f>IF($Y198&gt;0,VLOOKUP($J198,Ruimtegroepen[],3,FALSE)*VLOOKUP($L198,Vloersoorten[],3,FALSE)*VLOOKUP($X198,Frequenties[],3,FALSE)*VLOOKUP(#REF!,Locaties[],3,FALSE),0)</f>
        <v>0</v>
      </c>
      <c r="AA198" s="33"/>
      <c r="AB198" s="33"/>
      <c r="AC198" s="33">
        <f>Ruimtestaat[[#This Row],[uren / jaar weekend]]*Tariefsopbouw!$D$40</f>
        <v>0</v>
      </c>
      <c r="AD198" s="88">
        <f>Ruimtestaat[[#This Row],[Prest. (m2 /jaar) weekend]]+Ruimtestaat[[#This Row],[Prest. (m2 /jaar) werkdagen]]</f>
        <v>1200</v>
      </c>
      <c r="AE198" s="88">
        <f>Ruimtestaat[[#This Row],[uren / jaar weekend]]+Ruimtestaat[[#This Row],[uren / jaar werkdagen]]</f>
        <v>0</v>
      </c>
      <c r="AF198" s="89">
        <f>Ruimtestaat[[#This Row],[kosten / jaar weekend]]+Ruimtestaat[[#This Row],[kosten / jaar werkdagen]]</f>
        <v>0</v>
      </c>
    </row>
    <row r="199" spans="1:32" ht="15" customHeight="1">
      <c r="A199" s="213">
        <v>3</v>
      </c>
      <c r="B199" s="200" t="str">
        <f>VLOOKUP(Ruimtestaat[[#This Row],[Code]],Locaties[#All],2,FALSE)</f>
        <v>Karel de Grote College</v>
      </c>
      <c r="C199" s="240" t="str">
        <f>VLOOKUP(Ruimtestaat[[#This Row],[Code]],Locaties[#All],4,FALSE)</f>
        <v>Wilhelminasingel 15</v>
      </c>
      <c r="D199" s="240" t="str">
        <f>VLOOKUP(Ruimtestaat[[#This Row],[Code]],Locaties[#All],5,FALSE)</f>
        <v>6524 AJ</v>
      </c>
      <c r="E199" s="240" t="str">
        <f>VLOOKUP(Ruimtestaat[[#This Row],[Code]],Locaties[#All],6,FALSE)</f>
        <v>Nijmegen</v>
      </c>
      <c r="F199" s="241" t="s">
        <v>763</v>
      </c>
      <c r="G199" s="200" t="s">
        <v>646</v>
      </c>
      <c r="H199" s="200" t="s">
        <v>729</v>
      </c>
      <c r="I199" s="241" t="s">
        <v>687</v>
      </c>
      <c r="J199" s="240">
        <v>2</v>
      </c>
      <c r="K199" s="256" t="str">
        <f>VLOOKUP(Ruimtestaat[[#This Row],[Ruimte code]],Ruimtegroepen[#All],2,FALSE)</f>
        <v>Kantoren</v>
      </c>
      <c r="L199" s="240" t="s">
        <v>109</v>
      </c>
      <c r="M199" s="268" t="s">
        <v>649</v>
      </c>
      <c r="N199" s="269">
        <v>8</v>
      </c>
      <c r="O199" s="212"/>
      <c r="P199" s="240" t="str">
        <f>VLOOKUP(Ruimtestaat[[#This Row],[Ruimte code]],Ruimtegroepen[#All],4,FALSE)</f>
        <v>B  (Bureauruimte)</v>
      </c>
      <c r="Q199" s="213">
        <v>40</v>
      </c>
      <c r="R199" s="213" t="s">
        <v>17</v>
      </c>
      <c r="S199" s="213">
        <f>IF(Q199&gt;0,IF(RIGHT(Ruimtestaat[[#This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199" s="213">
        <f>IF(S199&gt;0,VLOOKUP($J199,Ruimtegroepen[],3,FALSE)*VLOOKUP($L199,Vloersoorten[],3,FALSE)*VLOOKUP($R199,Frequenties[],3,FALSE)*VLOOKUP($A199,Locaties[],3,FALSE),0)</f>
        <v>0</v>
      </c>
      <c r="U199" s="213">
        <f>Ruimtestaat[[#This Row],[Uitvoeringen werkdagen]]*Ruimtestaat[[#This Row],[Oppervlak (netto)]]</f>
        <v>640</v>
      </c>
      <c r="V199" s="253">
        <f>IF(T199&gt;0,Ruimtestaat[[#This Row],[Prest. (m2 /jaar) werkdagen]]/Ruimtestaat[[#This Row],[Norm (m2/uur) werkdagen]],0)</f>
        <v>0</v>
      </c>
      <c r="W199" s="254">
        <f>Ruimtestaat[[#This Row],[uren / jaar werkdagen]]*Tariefsopbouw!$D$38</f>
        <v>0</v>
      </c>
      <c r="X199" s="33"/>
      <c r="Y199" s="33">
        <f>IF(Ruimtestaat[[#This Row],[Frequentie weekend]]&gt;0,VALUE(LEFT(X199,1))*Q199,0)</f>
        <v>0</v>
      </c>
      <c r="Z199" s="33">
        <f>IF($Y199&gt;0,VLOOKUP($J199,Ruimtegroepen[],3,FALSE)*VLOOKUP($L199,Vloersoorten[],3,FALSE)*VLOOKUP($X199,Frequenties[],3,FALSE)*VLOOKUP(#REF!,Locaties[],3,FALSE),0)</f>
        <v>0</v>
      </c>
      <c r="AA199" s="33"/>
      <c r="AB199" s="33"/>
      <c r="AC199" s="33">
        <f>Ruimtestaat[[#This Row],[uren / jaar weekend]]*Tariefsopbouw!$D$40</f>
        <v>0</v>
      </c>
      <c r="AD199" s="88">
        <f>Ruimtestaat[[#This Row],[Prest. (m2 /jaar) weekend]]+Ruimtestaat[[#This Row],[Prest. (m2 /jaar) werkdagen]]</f>
        <v>640</v>
      </c>
      <c r="AE199" s="88">
        <f>Ruimtestaat[[#This Row],[uren / jaar weekend]]+Ruimtestaat[[#This Row],[uren / jaar werkdagen]]</f>
        <v>0</v>
      </c>
      <c r="AF199" s="89">
        <f>Ruimtestaat[[#This Row],[kosten / jaar weekend]]+Ruimtestaat[[#This Row],[kosten / jaar werkdagen]]</f>
        <v>0</v>
      </c>
    </row>
    <row r="200" spans="1:32" ht="15" customHeight="1">
      <c r="A200" s="213">
        <v>3</v>
      </c>
      <c r="B200" s="200" t="str">
        <f>VLOOKUP(Ruimtestaat[[#This Row],[Code]],Locaties[#All],2,FALSE)</f>
        <v>Karel de Grote College</v>
      </c>
      <c r="C200" s="240" t="str">
        <f>VLOOKUP(Ruimtestaat[[#This Row],[Code]],Locaties[#All],4,FALSE)</f>
        <v>Wilhelminasingel 15</v>
      </c>
      <c r="D200" s="240" t="str">
        <f>VLOOKUP(Ruimtestaat[[#This Row],[Code]],Locaties[#All],5,FALSE)</f>
        <v>6524 AJ</v>
      </c>
      <c r="E200" s="240" t="str">
        <f>VLOOKUP(Ruimtestaat[[#This Row],[Code]],Locaties[#All],6,FALSE)</f>
        <v>Nijmegen</v>
      </c>
      <c r="F200" s="241" t="s">
        <v>763</v>
      </c>
      <c r="G200" s="200" t="s">
        <v>646</v>
      </c>
      <c r="H200" s="200" t="s">
        <v>730</v>
      </c>
      <c r="I200" s="241" t="s">
        <v>659</v>
      </c>
      <c r="J200" s="213">
        <v>6</v>
      </c>
      <c r="K200" s="256" t="str">
        <f>VLOOKUP(Ruimtestaat[[#This Row],[Ruimte code]],Ruimtegroepen[#All],2,FALSE)</f>
        <v>Gangen/hallen</v>
      </c>
      <c r="L200" s="240" t="s">
        <v>111</v>
      </c>
      <c r="M200" s="268" t="s">
        <v>766</v>
      </c>
      <c r="N200" s="269">
        <v>20</v>
      </c>
      <c r="O200" s="212"/>
      <c r="P200" s="240" t="str">
        <f>VLOOKUP(Ruimtestaat[[#This Row],[Ruimte code]],Ruimtegroepen[#All],4,FALSE)</f>
        <v>V  (Verkeersruimte)</v>
      </c>
      <c r="Q200" s="213">
        <v>40</v>
      </c>
      <c r="R200" s="213" t="s">
        <v>2</v>
      </c>
      <c r="S200" s="213">
        <f>IF(Q200&gt;0,IF(RIGHT(Ruimtestaat[[#This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0" s="213">
        <f>IF(S200&gt;0,VLOOKUP($J200,Ruimtegroepen[],3,FALSE)*VLOOKUP($L200,Vloersoorten[],3,FALSE)*VLOOKUP($R200,Frequenties[],3,FALSE)*VLOOKUP($A200,Locaties[],3,FALSE),0)</f>
        <v>0</v>
      </c>
      <c r="U200" s="213">
        <f>Ruimtestaat[[#This Row],[Uitvoeringen werkdagen]]*Ruimtestaat[[#This Row],[Oppervlak (netto)]]</f>
        <v>4000</v>
      </c>
      <c r="V200" s="253">
        <f>IF(T200&gt;0,Ruimtestaat[[#This Row],[Prest. (m2 /jaar) werkdagen]]/Ruimtestaat[[#This Row],[Norm (m2/uur) werkdagen]],0)</f>
        <v>0</v>
      </c>
      <c r="W200" s="254">
        <f>Ruimtestaat[[#This Row],[uren / jaar werkdagen]]*Tariefsopbouw!$D$38</f>
        <v>0</v>
      </c>
      <c r="X200" s="33"/>
      <c r="Y200" s="33">
        <f>IF(Ruimtestaat[[#This Row],[Frequentie weekend]]&gt;0,VALUE(LEFT(X200,1))*Q200,0)</f>
        <v>0</v>
      </c>
      <c r="Z200" s="33">
        <f>IF($Y200&gt;0,VLOOKUP($J200,Ruimtegroepen[],3,FALSE)*VLOOKUP($L200,Vloersoorten[],3,FALSE)*VLOOKUP($X200,Frequenties[],3,FALSE)*VLOOKUP(#REF!,Locaties[],3,FALSE),0)</f>
        <v>0</v>
      </c>
      <c r="AA200" s="33"/>
      <c r="AB200" s="33"/>
      <c r="AC200" s="33">
        <f>Ruimtestaat[[#This Row],[uren / jaar weekend]]*Tariefsopbouw!$D$40</f>
        <v>0</v>
      </c>
      <c r="AD200" s="88">
        <f>Ruimtestaat[[#This Row],[Prest. (m2 /jaar) weekend]]+Ruimtestaat[[#This Row],[Prest. (m2 /jaar) werkdagen]]</f>
        <v>4000</v>
      </c>
      <c r="AE200" s="88">
        <f>Ruimtestaat[[#This Row],[uren / jaar weekend]]+Ruimtestaat[[#This Row],[uren / jaar werkdagen]]</f>
        <v>0</v>
      </c>
      <c r="AF200" s="89">
        <f>Ruimtestaat[[#This Row],[kosten / jaar weekend]]+Ruimtestaat[[#This Row],[kosten / jaar werkdagen]]</f>
        <v>0</v>
      </c>
    </row>
    <row r="201" spans="1:32" ht="15" customHeight="1">
      <c r="A201" s="213">
        <v>3</v>
      </c>
      <c r="B201" s="200" t="str">
        <f>VLOOKUP(Ruimtestaat[[#This Row],[Code]],Locaties[#All],2,FALSE)</f>
        <v>Karel de Grote College</v>
      </c>
      <c r="C201" s="240" t="str">
        <f>VLOOKUP(Ruimtestaat[[#This Row],[Code]],Locaties[#All],4,FALSE)</f>
        <v>Wilhelminasingel 15</v>
      </c>
      <c r="D201" s="240" t="str">
        <f>VLOOKUP(Ruimtestaat[[#This Row],[Code]],Locaties[#All],5,FALSE)</f>
        <v>6524 AJ</v>
      </c>
      <c r="E201" s="240" t="str">
        <f>VLOOKUP(Ruimtestaat[[#This Row],[Code]],Locaties[#All],6,FALSE)</f>
        <v>Nijmegen</v>
      </c>
      <c r="F201" s="241" t="s">
        <v>763</v>
      </c>
      <c r="G201" s="200" t="s">
        <v>646</v>
      </c>
      <c r="H201" s="200" t="s">
        <v>731</v>
      </c>
      <c r="I201" s="241" t="s">
        <v>688</v>
      </c>
      <c r="J201" s="213">
        <v>6</v>
      </c>
      <c r="K201" s="256" t="str">
        <f>VLOOKUP(Ruimtestaat[[#This Row],[Ruimte code]],Ruimtegroepen[#All],2,FALSE)</f>
        <v>Gangen/hallen</v>
      </c>
      <c r="L201" s="240" t="s">
        <v>111</v>
      </c>
      <c r="M201" s="268" t="s">
        <v>766</v>
      </c>
      <c r="N201" s="269">
        <v>40</v>
      </c>
      <c r="O201" s="212"/>
      <c r="P201" s="240" t="str">
        <f>VLOOKUP(Ruimtestaat[[#This Row],[Ruimte code]],Ruimtegroepen[#All],4,FALSE)</f>
        <v>V  (Verkeersruimte)</v>
      </c>
      <c r="Q201" s="213">
        <v>40</v>
      </c>
      <c r="R201" s="213" t="s">
        <v>2</v>
      </c>
      <c r="S201" s="213">
        <f>IF(Q201&gt;0,IF(RIGHT(Ruimtestaat[[#This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1" s="213">
        <f>IF(S201&gt;0,VLOOKUP($J201,Ruimtegroepen[],3,FALSE)*VLOOKUP($L201,Vloersoorten[],3,FALSE)*VLOOKUP($R201,Frequenties[],3,FALSE)*VLOOKUP($A201,Locaties[],3,FALSE),0)</f>
        <v>0</v>
      </c>
      <c r="U201" s="213">
        <f>Ruimtestaat[[#This Row],[Uitvoeringen werkdagen]]*Ruimtestaat[[#This Row],[Oppervlak (netto)]]</f>
        <v>8000</v>
      </c>
      <c r="V201" s="253">
        <f>IF(T201&gt;0,Ruimtestaat[[#This Row],[Prest. (m2 /jaar) werkdagen]]/Ruimtestaat[[#This Row],[Norm (m2/uur) werkdagen]],0)</f>
        <v>0</v>
      </c>
      <c r="W201" s="254">
        <f>Ruimtestaat[[#This Row],[uren / jaar werkdagen]]*Tariefsopbouw!$D$38</f>
        <v>0</v>
      </c>
      <c r="X201" s="33"/>
      <c r="Y201" s="33">
        <f>IF(Ruimtestaat[[#This Row],[Frequentie weekend]]&gt;0,VALUE(LEFT(X201,1))*Q201,0)</f>
        <v>0</v>
      </c>
      <c r="Z201" s="33">
        <f>IF($Y201&gt;0,VLOOKUP($J201,Ruimtegroepen[],3,FALSE)*VLOOKUP($L201,Vloersoorten[],3,FALSE)*VLOOKUP($X201,Frequenties[],3,FALSE)*VLOOKUP(#REF!,Locaties[],3,FALSE),0)</f>
        <v>0</v>
      </c>
      <c r="AA201" s="33"/>
      <c r="AB201" s="33"/>
      <c r="AC201" s="33">
        <f>Ruimtestaat[[#This Row],[uren / jaar weekend]]*Tariefsopbouw!$D$40</f>
        <v>0</v>
      </c>
      <c r="AD201" s="88">
        <f>Ruimtestaat[[#This Row],[Prest. (m2 /jaar) weekend]]+Ruimtestaat[[#This Row],[Prest. (m2 /jaar) werkdagen]]</f>
        <v>8000</v>
      </c>
      <c r="AE201" s="88">
        <f>Ruimtestaat[[#This Row],[uren / jaar weekend]]+Ruimtestaat[[#This Row],[uren / jaar werkdagen]]</f>
        <v>0</v>
      </c>
      <c r="AF201" s="89">
        <f>Ruimtestaat[[#This Row],[kosten / jaar weekend]]+Ruimtestaat[[#This Row],[kosten / jaar werkdagen]]</f>
        <v>0</v>
      </c>
    </row>
    <row r="202" spans="1:32" ht="15" customHeight="1">
      <c r="A202" s="213">
        <v>3</v>
      </c>
      <c r="B202" s="200" t="str">
        <f>VLOOKUP(Ruimtestaat[[#This Row],[Code]],Locaties[#All],2,FALSE)</f>
        <v>Karel de Grote College</v>
      </c>
      <c r="C202" s="240" t="str">
        <f>VLOOKUP(Ruimtestaat[[#This Row],[Code]],Locaties[#All],4,FALSE)</f>
        <v>Wilhelminasingel 15</v>
      </c>
      <c r="D202" s="240" t="str">
        <f>VLOOKUP(Ruimtestaat[[#This Row],[Code]],Locaties[#All],5,FALSE)</f>
        <v>6524 AJ</v>
      </c>
      <c r="E202" s="240" t="str">
        <f>VLOOKUP(Ruimtestaat[[#This Row],[Code]],Locaties[#All],6,FALSE)</f>
        <v>Nijmegen</v>
      </c>
      <c r="F202" s="241" t="s">
        <v>763</v>
      </c>
      <c r="G202" s="200" t="s">
        <v>646</v>
      </c>
      <c r="H202" s="200" t="s">
        <v>732</v>
      </c>
      <c r="I202" s="241" t="s">
        <v>678</v>
      </c>
      <c r="J202" s="240">
        <v>21</v>
      </c>
      <c r="K202" s="256" t="str">
        <f>VLOOKUP(Ruimtestaat[[#This Row],[Ruimte code]],Ruimtegroepen[#All],2,FALSE)</f>
        <v>Niet in onderhoud</v>
      </c>
      <c r="L202" s="240" t="s">
        <v>111</v>
      </c>
      <c r="M202" s="268" t="s">
        <v>643</v>
      </c>
      <c r="N202" s="269"/>
      <c r="O202" s="212">
        <v>2</v>
      </c>
      <c r="P202" s="240" t="str">
        <f>VLOOKUP(Ruimtestaat[[#This Row],[Ruimte code]],Ruimtegroepen[#All],4,FALSE)</f>
        <v>Niet in onderhoud</v>
      </c>
      <c r="Q202" s="213"/>
      <c r="R202" s="213"/>
      <c r="S202" s="213">
        <f>IF(Q202&gt;0,IF(RIGHT(Ruimtestaat[[#This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02" s="213">
        <f>IF(S202&gt;0,VLOOKUP($J202,Ruimtegroepen[],3,FALSE)*VLOOKUP($L202,Vloersoorten[],3,FALSE)*VLOOKUP($R202,Frequenties[],3,FALSE)*VLOOKUP($A202,Locaties[],3,FALSE),0)</f>
        <v>0</v>
      </c>
      <c r="U202" s="213">
        <f>Ruimtestaat[[#This Row],[Uitvoeringen werkdagen]]*Ruimtestaat[[#This Row],[Oppervlak (netto)]]</f>
        <v>0</v>
      </c>
      <c r="V202" s="253">
        <f>IF(T202&gt;0,Ruimtestaat[[#This Row],[Prest. (m2 /jaar) werkdagen]]/Ruimtestaat[[#This Row],[Norm (m2/uur) werkdagen]],0)</f>
        <v>0</v>
      </c>
      <c r="W202" s="254">
        <f>Ruimtestaat[[#This Row],[uren / jaar werkdagen]]*Tariefsopbouw!$D$38</f>
        <v>0</v>
      </c>
      <c r="X202" s="33"/>
      <c r="Y202" s="33">
        <f>IF(Ruimtestaat[[#This Row],[Frequentie weekend]]&gt;0,VALUE(LEFT(X202,1))*Q202,0)</f>
        <v>0</v>
      </c>
      <c r="Z202" s="33">
        <f>IF($Y202&gt;0,VLOOKUP($J202,Ruimtegroepen[],3,FALSE)*VLOOKUP($L202,Vloersoorten[],3,FALSE)*VLOOKUP($X202,Frequenties[],3,FALSE)*VLOOKUP(#REF!,Locaties[],3,FALSE),0)</f>
        <v>0</v>
      </c>
      <c r="AA202" s="33"/>
      <c r="AB202" s="33"/>
      <c r="AC202" s="33">
        <f>Ruimtestaat[[#This Row],[uren / jaar weekend]]*Tariefsopbouw!$D$40</f>
        <v>0</v>
      </c>
      <c r="AD202" s="88">
        <f>Ruimtestaat[[#This Row],[Prest. (m2 /jaar) weekend]]+Ruimtestaat[[#This Row],[Prest. (m2 /jaar) werkdagen]]</f>
        <v>0</v>
      </c>
      <c r="AE202" s="88">
        <f>Ruimtestaat[[#This Row],[uren / jaar weekend]]+Ruimtestaat[[#This Row],[uren / jaar werkdagen]]</f>
        <v>0</v>
      </c>
      <c r="AF202" s="89">
        <f>Ruimtestaat[[#This Row],[kosten / jaar weekend]]+Ruimtestaat[[#This Row],[kosten / jaar werkdagen]]</f>
        <v>0</v>
      </c>
    </row>
    <row r="203" spans="1:32" ht="15" customHeight="1">
      <c r="A203" s="213">
        <v>3</v>
      </c>
      <c r="B203" s="200" t="str">
        <f>VLOOKUP(Ruimtestaat[[#This Row],[Code]],Locaties[#All],2,FALSE)</f>
        <v>Karel de Grote College</v>
      </c>
      <c r="C203" s="240" t="str">
        <f>VLOOKUP(Ruimtestaat[[#This Row],[Code]],Locaties[#All],4,FALSE)</f>
        <v>Wilhelminasingel 15</v>
      </c>
      <c r="D203" s="240" t="str">
        <f>VLOOKUP(Ruimtestaat[[#This Row],[Code]],Locaties[#All],5,FALSE)</f>
        <v>6524 AJ</v>
      </c>
      <c r="E203" s="240" t="str">
        <f>VLOOKUP(Ruimtestaat[[#This Row],[Code]],Locaties[#All],6,FALSE)</f>
        <v>Nijmegen</v>
      </c>
      <c r="F203" s="241" t="s">
        <v>763</v>
      </c>
      <c r="G203" s="200" t="s">
        <v>646</v>
      </c>
      <c r="H203" s="200" t="s">
        <v>733</v>
      </c>
      <c r="I203" s="241" t="s">
        <v>689</v>
      </c>
      <c r="J203" s="200">
        <v>5</v>
      </c>
      <c r="K203" s="256" t="str">
        <f>VLOOKUP(Ruimtestaat[[#This Row],[Ruimte code]],Ruimtegroepen[#All],2,FALSE)</f>
        <v>Sanitair</v>
      </c>
      <c r="L203" s="240" t="s">
        <v>111</v>
      </c>
      <c r="M203" s="268" t="s">
        <v>647</v>
      </c>
      <c r="N203" s="269">
        <v>12</v>
      </c>
      <c r="O203" s="212"/>
      <c r="P203" s="240" t="str">
        <f>VLOOKUP(Ruimtestaat[[#This Row],[Ruimte code]],Ruimtegroepen[#All],4,FALSE)</f>
        <v>S  (Sanitair)</v>
      </c>
      <c r="Q203" s="213">
        <v>40</v>
      </c>
      <c r="R203" s="213" t="s">
        <v>2</v>
      </c>
      <c r="S203" s="213">
        <f>IF(Q203&gt;0,IF(RIGHT(Ruimtestaat[[#This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3" s="213">
        <f>IF(S203&gt;0,VLOOKUP($J203,Ruimtegroepen[],3,FALSE)*VLOOKUP($L203,Vloersoorten[],3,FALSE)*VLOOKUP($R203,Frequenties[],3,FALSE)*VLOOKUP($A203,Locaties[],3,FALSE),0)</f>
        <v>0</v>
      </c>
      <c r="U203" s="213">
        <f>Ruimtestaat[[#This Row],[Uitvoeringen werkdagen]]*Ruimtestaat[[#This Row],[Oppervlak (netto)]]</f>
        <v>2400</v>
      </c>
      <c r="V203" s="253">
        <f>IF(T203&gt;0,Ruimtestaat[[#This Row],[Prest. (m2 /jaar) werkdagen]]/Ruimtestaat[[#This Row],[Norm (m2/uur) werkdagen]],0)</f>
        <v>0</v>
      </c>
      <c r="W203" s="254">
        <f>Ruimtestaat[[#This Row],[uren / jaar werkdagen]]*Tariefsopbouw!$D$38</f>
        <v>0</v>
      </c>
      <c r="X203" s="33"/>
      <c r="Y203" s="33">
        <f>IF(Ruimtestaat[[#This Row],[Frequentie weekend]]&gt;0,VALUE(LEFT(X203,1))*Q203,0)</f>
        <v>0</v>
      </c>
      <c r="Z203" s="33">
        <f>IF($Y203&gt;0,VLOOKUP($J203,Ruimtegroepen[],3,FALSE)*VLOOKUP($L203,Vloersoorten[],3,FALSE)*VLOOKUP($X203,Frequenties[],3,FALSE)*VLOOKUP(#REF!,Locaties[],3,FALSE),0)</f>
        <v>0</v>
      </c>
      <c r="AA203" s="33"/>
      <c r="AB203" s="33"/>
      <c r="AC203" s="33">
        <f>Ruimtestaat[[#This Row],[uren / jaar weekend]]*Tariefsopbouw!$D$40</f>
        <v>0</v>
      </c>
      <c r="AD203" s="88">
        <f>Ruimtestaat[[#This Row],[Prest. (m2 /jaar) weekend]]+Ruimtestaat[[#This Row],[Prest. (m2 /jaar) werkdagen]]</f>
        <v>2400</v>
      </c>
      <c r="AE203" s="88">
        <f>Ruimtestaat[[#This Row],[uren / jaar weekend]]+Ruimtestaat[[#This Row],[uren / jaar werkdagen]]</f>
        <v>0</v>
      </c>
      <c r="AF203" s="89">
        <f>Ruimtestaat[[#This Row],[kosten / jaar weekend]]+Ruimtestaat[[#This Row],[kosten / jaar werkdagen]]</f>
        <v>0</v>
      </c>
    </row>
    <row r="204" spans="1:32" ht="15" customHeight="1">
      <c r="A204" s="213">
        <v>3</v>
      </c>
      <c r="B204" s="200" t="str">
        <f>VLOOKUP(Ruimtestaat[[#This Row],[Code]],Locaties[#All],2,FALSE)</f>
        <v>Karel de Grote College</v>
      </c>
      <c r="C204" s="240" t="str">
        <f>VLOOKUP(Ruimtestaat[[#This Row],[Code]],Locaties[#All],4,FALSE)</f>
        <v>Wilhelminasingel 15</v>
      </c>
      <c r="D204" s="240" t="str">
        <f>VLOOKUP(Ruimtestaat[[#This Row],[Code]],Locaties[#All],5,FALSE)</f>
        <v>6524 AJ</v>
      </c>
      <c r="E204" s="240" t="str">
        <f>VLOOKUP(Ruimtestaat[[#This Row],[Code]],Locaties[#All],6,FALSE)</f>
        <v>Nijmegen</v>
      </c>
      <c r="F204" s="241" t="s">
        <v>763</v>
      </c>
      <c r="G204" s="200" t="s">
        <v>646</v>
      </c>
      <c r="H204" s="200" t="s">
        <v>733</v>
      </c>
      <c r="I204" s="241" t="s">
        <v>690</v>
      </c>
      <c r="J204" s="200">
        <v>5</v>
      </c>
      <c r="K204" s="256" t="str">
        <f>VLOOKUP(Ruimtestaat[[#This Row],[Ruimte code]],Ruimtegroepen[#All],2,FALSE)</f>
        <v>Sanitair</v>
      </c>
      <c r="L204" s="240" t="s">
        <v>111</v>
      </c>
      <c r="M204" s="268" t="s">
        <v>766</v>
      </c>
      <c r="N204" s="269">
        <v>12</v>
      </c>
      <c r="O204" s="212"/>
      <c r="P204" s="240" t="str">
        <f>VLOOKUP(Ruimtestaat[[#This Row],[Ruimte code]],Ruimtegroepen[#All],4,FALSE)</f>
        <v>S  (Sanitair)</v>
      </c>
      <c r="Q204" s="213">
        <v>40</v>
      </c>
      <c r="R204" s="213" t="s">
        <v>2</v>
      </c>
      <c r="S204" s="213">
        <f>IF(Q204&gt;0,IF(RIGHT(Ruimtestaat[[#This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4" s="213">
        <f>IF(S204&gt;0,VLOOKUP($J204,Ruimtegroepen[],3,FALSE)*VLOOKUP($L204,Vloersoorten[],3,FALSE)*VLOOKUP($R204,Frequenties[],3,FALSE)*VLOOKUP($A204,Locaties[],3,FALSE),0)</f>
        <v>0</v>
      </c>
      <c r="U204" s="213">
        <f>Ruimtestaat[[#This Row],[Uitvoeringen werkdagen]]*Ruimtestaat[[#This Row],[Oppervlak (netto)]]</f>
        <v>2400</v>
      </c>
      <c r="V204" s="253">
        <f>IF(T204&gt;0,Ruimtestaat[[#This Row],[Prest. (m2 /jaar) werkdagen]]/Ruimtestaat[[#This Row],[Norm (m2/uur) werkdagen]],0)</f>
        <v>0</v>
      </c>
      <c r="W204" s="254">
        <f>Ruimtestaat[[#This Row],[uren / jaar werkdagen]]*Tariefsopbouw!$D$38</f>
        <v>0</v>
      </c>
      <c r="X204" s="33"/>
      <c r="Y204" s="33">
        <f>IF(Ruimtestaat[[#This Row],[Frequentie weekend]]&gt;0,VALUE(LEFT(X204,1))*Q204,0)</f>
        <v>0</v>
      </c>
      <c r="Z204" s="33">
        <f>IF($Y204&gt;0,VLOOKUP($J204,Ruimtegroepen[],3,FALSE)*VLOOKUP($L204,Vloersoorten[],3,FALSE)*VLOOKUP($X204,Frequenties[],3,FALSE)*VLOOKUP(#REF!,Locaties[],3,FALSE),0)</f>
        <v>0</v>
      </c>
      <c r="AA204" s="33"/>
      <c r="AB204" s="33"/>
      <c r="AC204" s="33">
        <f>Ruimtestaat[[#This Row],[uren / jaar weekend]]*Tariefsopbouw!$D$40</f>
        <v>0</v>
      </c>
      <c r="AD204" s="88">
        <f>Ruimtestaat[[#This Row],[Prest. (m2 /jaar) weekend]]+Ruimtestaat[[#This Row],[Prest. (m2 /jaar) werkdagen]]</f>
        <v>2400</v>
      </c>
      <c r="AE204" s="88">
        <f>Ruimtestaat[[#This Row],[uren / jaar weekend]]+Ruimtestaat[[#This Row],[uren / jaar werkdagen]]</f>
        <v>0</v>
      </c>
      <c r="AF204" s="89">
        <f>Ruimtestaat[[#This Row],[kosten / jaar weekend]]+Ruimtestaat[[#This Row],[kosten / jaar werkdagen]]</f>
        <v>0</v>
      </c>
    </row>
    <row r="205" spans="1:32" ht="15" customHeight="1">
      <c r="A205" s="213">
        <v>3</v>
      </c>
      <c r="B205" s="200" t="str">
        <f>VLOOKUP(Ruimtestaat[[#This Row],[Code]],Locaties[#All],2,FALSE)</f>
        <v>Karel de Grote College</v>
      </c>
      <c r="C205" s="240" t="str">
        <f>VLOOKUP(Ruimtestaat[[#This Row],[Code]],Locaties[#All],4,FALSE)</f>
        <v>Wilhelminasingel 15</v>
      </c>
      <c r="D205" s="240" t="str">
        <f>VLOOKUP(Ruimtestaat[[#This Row],[Code]],Locaties[#All],5,FALSE)</f>
        <v>6524 AJ</v>
      </c>
      <c r="E205" s="240" t="str">
        <f>VLOOKUP(Ruimtestaat[[#This Row],[Code]],Locaties[#All],6,FALSE)</f>
        <v>Nijmegen</v>
      </c>
      <c r="F205" s="241" t="s">
        <v>763</v>
      </c>
      <c r="G205" s="200" t="s">
        <v>646</v>
      </c>
      <c r="H205" s="200" t="s">
        <v>734</v>
      </c>
      <c r="I205" s="241" t="s">
        <v>673</v>
      </c>
      <c r="J205" s="200">
        <v>16</v>
      </c>
      <c r="K205" s="256" t="str">
        <f>VLOOKUP(Ruimtestaat[[#This Row],[Ruimte code]],Ruimtegroepen[#All],2,FALSE)</f>
        <v>Lokaal</v>
      </c>
      <c r="L205" s="213" t="s">
        <v>110</v>
      </c>
      <c r="M205" s="268" t="s">
        <v>644</v>
      </c>
      <c r="N205" s="269">
        <v>58</v>
      </c>
      <c r="O205" s="212"/>
      <c r="P205" s="240" t="str">
        <f>VLOOKUP(Ruimtestaat[[#This Row],[Ruimte code]],Ruimtegroepen[#All],4,FALSE)</f>
        <v>L  (Lesruimte)</v>
      </c>
      <c r="Q205" s="213">
        <v>40</v>
      </c>
      <c r="R205" s="213" t="s">
        <v>2</v>
      </c>
      <c r="S205" s="213">
        <f>IF(Q205&gt;0,IF(RIGHT(Ruimtestaat[[#This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5" s="213">
        <f>IF(S205&gt;0,VLOOKUP($J205,Ruimtegroepen[],3,FALSE)*VLOOKUP($L205,Vloersoorten[],3,FALSE)*VLOOKUP($R205,Frequenties[],3,FALSE)*VLOOKUP($A205,Locaties[],3,FALSE),0)</f>
        <v>0</v>
      </c>
      <c r="U205" s="213">
        <f>Ruimtestaat[[#This Row],[Uitvoeringen werkdagen]]*Ruimtestaat[[#This Row],[Oppervlak (netto)]]</f>
        <v>11600</v>
      </c>
      <c r="V205" s="253">
        <f>IF(T205&gt;0,Ruimtestaat[[#This Row],[Prest. (m2 /jaar) werkdagen]]/Ruimtestaat[[#This Row],[Norm (m2/uur) werkdagen]],0)</f>
        <v>0</v>
      </c>
      <c r="W205" s="254">
        <f>Ruimtestaat[[#This Row],[uren / jaar werkdagen]]*Tariefsopbouw!$D$38</f>
        <v>0</v>
      </c>
      <c r="X205" s="33"/>
      <c r="Y205" s="33">
        <f>IF(Ruimtestaat[[#This Row],[Frequentie weekend]]&gt;0,VALUE(LEFT(X205,1))*Q205,0)</f>
        <v>0</v>
      </c>
      <c r="Z205" s="33">
        <f>IF($Y205&gt;0,VLOOKUP($J205,Ruimtegroepen[],3,FALSE)*VLOOKUP($L205,Vloersoorten[],3,FALSE)*VLOOKUP($X205,Frequenties[],3,FALSE)*VLOOKUP(#REF!,Locaties[],3,FALSE),0)</f>
        <v>0</v>
      </c>
      <c r="AA205" s="33"/>
      <c r="AB205" s="33"/>
      <c r="AC205" s="33">
        <f>Ruimtestaat[[#This Row],[uren / jaar weekend]]*Tariefsopbouw!$D$40</f>
        <v>0</v>
      </c>
      <c r="AD205" s="88">
        <f>Ruimtestaat[[#This Row],[Prest. (m2 /jaar) weekend]]+Ruimtestaat[[#This Row],[Prest. (m2 /jaar) werkdagen]]</f>
        <v>11600</v>
      </c>
      <c r="AE205" s="88">
        <f>Ruimtestaat[[#This Row],[uren / jaar weekend]]+Ruimtestaat[[#This Row],[uren / jaar werkdagen]]</f>
        <v>0</v>
      </c>
      <c r="AF205" s="89">
        <f>Ruimtestaat[[#This Row],[kosten / jaar weekend]]+Ruimtestaat[[#This Row],[kosten / jaar werkdagen]]</f>
        <v>0</v>
      </c>
    </row>
    <row r="206" spans="1:32" ht="15" customHeight="1">
      <c r="A206" s="213">
        <v>3</v>
      </c>
      <c r="B206" s="200" t="str">
        <f>VLOOKUP(Ruimtestaat[[#This Row],[Code]],Locaties[#All],2,FALSE)</f>
        <v>Karel de Grote College</v>
      </c>
      <c r="C206" s="240" t="str">
        <f>VLOOKUP(Ruimtestaat[[#This Row],[Code]],Locaties[#All],4,FALSE)</f>
        <v>Wilhelminasingel 15</v>
      </c>
      <c r="D206" s="240" t="str">
        <f>VLOOKUP(Ruimtestaat[[#This Row],[Code]],Locaties[#All],5,FALSE)</f>
        <v>6524 AJ</v>
      </c>
      <c r="E206" s="240" t="str">
        <f>VLOOKUP(Ruimtestaat[[#This Row],[Code]],Locaties[#All],6,FALSE)</f>
        <v>Nijmegen</v>
      </c>
      <c r="F206" s="241" t="s">
        <v>763</v>
      </c>
      <c r="G206" s="200" t="s">
        <v>646</v>
      </c>
      <c r="H206" s="200" t="s">
        <v>735</v>
      </c>
      <c r="I206" s="241" t="s">
        <v>691</v>
      </c>
      <c r="J206" s="240">
        <v>21</v>
      </c>
      <c r="K206" s="256" t="str">
        <f>VLOOKUP(Ruimtestaat[[#This Row],[Ruimte code]],Ruimtegroepen[#All],2,FALSE)</f>
        <v>Niet in onderhoud</v>
      </c>
      <c r="L206" s="213" t="s">
        <v>110</v>
      </c>
      <c r="M206" s="268" t="s">
        <v>644</v>
      </c>
      <c r="N206" s="269"/>
      <c r="O206" s="212">
        <v>11</v>
      </c>
      <c r="P206" s="240" t="str">
        <f>VLOOKUP(Ruimtestaat[[#This Row],[Ruimte code]],Ruimtegroepen[#All],4,FALSE)</f>
        <v>Niet in onderhoud</v>
      </c>
      <c r="Q206" s="213">
        <v>0</v>
      </c>
      <c r="R206" s="213"/>
      <c r="S206" s="213">
        <f>IF(Q206&gt;0,IF(RIGHT(Ruimtestaat[[#This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06" s="213">
        <f>IF(S206&gt;0,VLOOKUP($J206,Ruimtegroepen[],3,FALSE)*VLOOKUP($L206,Vloersoorten[],3,FALSE)*VLOOKUP($R206,Frequenties[],3,FALSE)*VLOOKUP($A206,Locaties[],3,FALSE),0)</f>
        <v>0</v>
      </c>
      <c r="U206" s="213">
        <f>Ruimtestaat[[#This Row],[Uitvoeringen werkdagen]]*Ruimtestaat[[#This Row],[Oppervlak (netto)]]</f>
        <v>0</v>
      </c>
      <c r="V206" s="253">
        <f>IF(T206&gt;0,Ruimtestaat[[#This Row],[Prest. (m2 /jaar) werkdagen]]/Ruimtestaat[[#This Row],[Norm (m2/uur) werkdagen]],0)</f>
        <v>0</v>
      </c>
      <c r="W206" s="254">
        <f>Ruimtestaat[[#This Row],[uren / jaar werkdagen]]*Tariefsopbouw!$D$38</f>
        <v>0</v>
      </c>
      <c r="X206" s="33"/>
      <c r="Y206" s="33">
        <f>IF(Ruimtestaat[[#This Row],[Frequentie weekend]]&gt;0,VALUE(LEFT(X206,1))*Q206,0)</f>
        <v>0</v>
      </c>
      <c r="Z206" s="33">
        <f>IF($Y206&gt;0,VLOOKUP($J206,Ruimtegroepen[],3,FALSE)*VLOOKUP($L206,Vloersoorten[],3,FALSE)*VLOOKUP($X206,Frequenties[],3,FALSE)*VLOOKUP(#REF!,Locaties[],3,FALSE),0)</f>
        <v>0</v>
      </c>
      <c r="AA206" s="33"/>
      <c r="AB206" s="33"/>
      <c r="AC206" s="33">
        <f>Ruimtestaat[[#This Row],[uren / jaar weekend]]*Tariefsopbouw!$D$40</f>
        <v>0</v>
      </c>
      <c r="AD206" s="88">
        <f>Ruimtestaat[[#This Row],[Prest. (m2 /jaar) weekend]]+Ruimtestaat[[#This Row],[Prest. (m2 /jaar) werkdagen]]</f>
        <v>0</v>
      </c>
      <c r="AE206" s="88">
        <f>Ruimtestaat[[#This Row],[uren / jaar weekend]]+Ruimtestaat[[#This Row],[uren / jaar werkdagen]]</f>
        <v>0</v>
      </c>
      <c r="AF206" s="89">
        <f>Ruimtestaat[[#This Row],[kosten / jaar weekend]]+Ruimtestaat[[#This Row],[kosten / jaar werkdagen]]</f>
        <v>0</v>
      </c>
    </row>
    <row r="207" spans="1:32" ht="15" customHeight="1">
      <c r="A207" s="213">
        <v>3</v>
      </c>
      <c r="B207" s="200" t="str">
        <f>VLOOKUP(Ruimtestaat[[#This Row],[Code]],Locaties[#All],2,FALSE)</f>
        <v>Karel de Grote College</v>
      </c>
      <c r="C207" s="240" t="str">
        <f>VLOOKUP(Ruimtestaat[[#This Row],[Code]],Locaties[#All],4,FALSE)</f>
        <v>Wilhelminasingel 15</v>
      </c>
      <c r="D207" s="240" t="str">
        <f>VLOOKUP(Ruimtestaat[[#This Row],[Code]],Locaties[#All],5,FALSE)</f>
        <v>6524 AJ</v>
      </c>
      <c r="E207" s="240" t="str">
        <f>VLOOKUP(Ruimtestaat[[#This Row],[Code]],Locaties[#All],6,FALSE)</f>
        <v>Nijmegen</v>
      </c>
      <c r="F207" s="241" t="s">
        <v>763</v>
      </c>
      <c r="G207" s="200" t="s">
        <v>646</v>
      </c>
      <c r="H207" s="200" t="s">
        <v>472</v>
      </c>
      <c r="I207" s="241" t="s">
        <v>673</v>
      </c>
      <c r="J207" s="200">
        <v>16</v>
      </c>
      <c r="K207" s="256" t="str">
        <f>VLOOKUP(Ruimtestaat[[#This Row],[Ruimte code]],Ruimtegroepen[#All],2,FALSE)</f>
        <v>Lokaal</v>
      </c>
      <c r="L207" s="213" t="s">
        <v>110</v>
      </c>
      <c r="M207" s="268" t="s">
        <v>644</v>
      </c>
      <c r="N207" s="269">
        <v>49</v>
      </c>
      <c r="O207" s="212"/>
      <c r="P207" s="240" t="str">
        <f>VLOOKUP(Ruimtestaat[[#This Row],[Ruimte code]],Ruimtegroepen[#All],4,FALSE)</f>
        <v>L  (Lesruimte)</v>
      </c>
      <c r="Q207" s="213">
        <v>40</v>
      </c>
      <c r="R207" s="213" t="s">
        <v>2</v>
      </c>
      <c r="S207" s="213">
        <f>IF(Q207&gt;0,IF(RIGHT(Ruimtestaat[[#This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7" s="213">
        <f>IF(S207&gt;0,VLOOKUP($J207,Ruimtegroepen[],3,FALSE)*VLOOKUP($L207,Vloersoorten[],3,FALSE)*VLOOKUP($R207,Frequenties[],3,FALSE)*VLOOKUP($A207,Locaties[],3,FALSE),0)</f>
        <v>0</v>
      </c>
      <c r="U207" s="213">
        <f>Ruimtestaat[[#This Row],[Uitvoeringen werkdagen]]*Ruimtestaat[[#This Row],[Oppervlak (netto)]]</f>
        <v>9800</v>
      </c>
      <c r="V207" s="253">
        <f>IF(T207&gt;0,Ruimtestaat[[#This Row],[Prest. (m2 /jaar) werkdagen]]/Ruimtestaat[[#This Row],[Norm (m2/uur) werkdagen]],0)</f>
        <v>0</v>
      </c>
      <c r="W207" s="254">
        <f>Ruimtestaat[[#This Row],[uren / jaar werkdagen]]*Tariefsopbouw!$D$38</f>
        <v>0</v>
      </c>
      <c r="X207" s="33"/>
      <c r="Y207" s="33">
        <f>IF(Ruimtestaat[[#This Row],[Frequentie weekend]]&gt;0,VALUE(LEFT(X207,1))*Q207,0)</f>
        <v>0</v>
      </c>
      <c r="Z207" s="33">
        <f>IF($Y207&gt;0,VLOOKUP($J207,Ruimtegroepen[],3,FALSE)*VLOOKUP($L207,Vloersoorten[],3,FALSE)*VLOOKUP($X207,Frequenties[],3,FALSE)*VLOOKUP(#REF!,Locaties[],3,FALSE),0)</f>
        <v>0</v>
      </c>
      <c r="AA207" s="33"/>
      <c r="AB207" s="33"/>
      <c r="AC207" s="33">
        <f>Ruimtestaat[[#This Row],[uren / jaar weekend]]*Tariefsopbouw!$D$40</f>
        <v>0</v>
      </c>
      <c r="AD207" s="88">
        <f>Ruimtestaat[[#This Row],[Prest. (m2 /jaar) weekend]]+Ruimtestaat[[#This Row],[Prest. (m2 /jaar) werkdagen]]</f>
        <v>9800</v>
      </c>
      <c r="AE207" s="88">
        <f>Ruimtestaat[[#This Row],[uren / jaar weekend]]+Ruimtestaat[[#This Row],[uren / jaar werkdagen]]</f>
        <v>0</v>
      </c>
      <c r="AF207" s="89">
        <f>Ruimtestaat[[#This Row],[kosten / jaar weekend]]+Ruimtestaat[[#This Row],[kosten / jaar werkdagen]]</f>
        <v>0</v>
      </c>
    </row>
    <row r="208" spans="1:32" ht="15" customHeight="1">
      <c r="A208" s="213">
        <v>3</v>
      </c>
      <c r="B208" s="200" t="str">
        <f>VLOOKUP(Ruimtestaat[[#This Row],[Code]],Locaties[#All],2,FALSE)</f>
        <v>Karel de Grote College</v>
      </c>
      <c r="C208" s="240" t="str">
        <f>VLOOKUP(Ruimtestaat[[#This Row],[Code]],Locaties[#All],4,FALSE)</f>
        <v>Wilhelminasingel 15</v>
      </c>
      <c r="D208" s="240" t="str">
        <f>VLOOKUP(Ruimtestaat[[#This Row],[Code]],Locaties[#All],5,FALSE)</f>
        <v>6524 AJ</v>
      </c>
      <c r="E208" s="240" t="str">
        <f>VLOOKUP(Ruimtestaat[[#This Row],[Code]],Locaties[#All],6,FALSE)</f>
        <v>Nijmegen</v>
      </c>
      <c r="F208" s="241" t="s">
        <v>763</v>
      </c>
      <c r="G208" s="200" t="s">
        <v>646</v>
      </c>
      <c r="H208" s="200" t="s">
        <v>510</v>
      </c>
      <c r="I208" s="241" t="s">
        <v>692</v>
      </c>
      <c r="J208" s="240">
        <v>18</v>
      </c>
      <c r="K208" s="256" t="str">
        <f>VLOOKUP(Ruimtestaat[[#This Row],[Ruimte code]],Ruimtegroepen[#All],2,FALSE)</f>
        <v>Gym - / speellokaal</v>
      </c>
      <c r="L208" s="240" t="s">
        <v>762</v>
      </c>
      <c r="M208" s="268" t="s">
        <v>553</v>
      </c>
      <c r="N208" s="269">
        <v>90</v>
      </c>
      <c r="O208" s="212"/>
      <c r="P208" s="240" t="str">
        <f>VLOOKUP(Ruimtestaat[[#This Row],[Ruimte code]],Ruimtegroepen[#All],4,FALSE)</f>
        <v>Sp  (Sportruimte)</v>
      </c>
      <c r="Q208" s="213">
        <v>40</v>
      </c>
      <c r="R208" s="213" t="s">
        <v>2</v>
      </c>
      <c r="S208" s="213">
        <f>IF(Q208&gt;0,IF(RIGHT(Ruimtestaat[[#This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08" s="213">
        <f>IF(S208&gt;0,VLOOKUP($J208,Ruimtegroepen[],3,FALSE)*VLOOKUP($L208,Vloersoorten[],3,FALSE)*VLOOKUP($R208,Frequenties[],3,FALSE)*VLOOKUP($A208,Locaties[],3,FALSE),0)</f>
        <v>0</v>
      </c>
      <c r="U208" s="213">
        <f>Ruimtestaat[[#This Row],[Uitvoeringen werkdagen]]*Ruimtestaat[[#This Row],[Oppervlak (netto)]]</f>
        <v>18000</v>
      </c>
      <c r="V208" s="253">
        <f>IF(T208&gt;0,Ruimtestaat[[#This Row],[Prest. (m2 /jaar) werkdagen]]/Ruimtestaat[[#This Row],[Norm (m2/uur) werkdagen]],0)</f>
        <v>0</v>
      </c>
      <c r="W208" s="254">
        <f>Ruimtestaat[[#This Row],[uren / jaar werkdagen]]*Tariefsopbouw!$D$38</f>
        <v>0</v>
      </c>
      <c r="X208" s="33"/>
      <c r="Y208" s="33">
        <f>IF(Ruimtestaat[[#This Row],[Frequentie weekend]]&gt;0,VALUE(LEFT(X208,1))*Q208,0)</f>
        <v>0</v>
      </c>
      <c r="Z208" s="33">
        <f>IF($Y208&gt;0,VLOOKUP($J208,Ruimtegroepen[],3,FALSE)*VLOOKUP($L208,Vloersoorten[],3,FALSE)*VLOOKUP($X208,Frequenties[],3,FALSE)*VLOOKUP(#REF!,Locaties[],3,FALSE),0)</f>
        <v>0</v>
      </c>
      <c r="AA208" s="33"/>
      <c r="AB208" s="33"/>
      <c r="AC208" s="33">
        <f>Ruimtestaat[[#This Row],[uren / jaar weekend]]*Tariefsopbouw!$D$40</f>
        <v>0</v>
      </c>
      <c r="AD208" s="88">
        <f>Ruimtestaat[[#This Row],[Prest. (m2 /jaar) weekend]]+Ruimtestaat[[#This Row],[Prest. (m2 /jaar) werkdagen]]</f>
        <v>18000</v>
      </c>
      <c r="AE208" s="88">
        <f>Ruimtestaat[[#This Row],[uren / jaar weekend]]+Ruimtestaat[[#This Row],[uren / jaar werkdagen]]</f>
        <v>0</v>
      </c>
      <c r="AF208" s="89">
        <f>Ruimtestaat[[#This Row],[kosten / jaar weekend]]+Ruimtestaat[[#This Row],[kosten / jaar werkdagen]]</f>
        <v>0</v>
      </c>
    </row>
    <row r="209" spans="1:32" ht="15" customHeight="1">
      <c r="A209" s="213">
        <v>3</v>
      </c>
      <c r="B209" s="200" t="str">
        <f>VLOOKUP(Ruimtestaat[[#This Row],[Code]],Locaties[#All],2,FALSE)</f>
        <v>Karel de Grote College</v>
      </c>
      <c r="C209" s="240" t="str">
        <f>VLOOKUP(Ruimtestaat[[#This Row],[Code]],Locaties[#All],4,FALSE)</f>
        <v>Wilhelminasingel 15</v>
      </c>
      <c r="D209" s="240" t="str">
        <f>VLOOKUP(Ruimtestaat[[#This Row],[Code]],Locaties[#All],5,FALSE)</f>
        <v>6524 AJ</v>
      </c>
      <c r="E209" s="240" t="str">
        <f>VLOOKUP(Ruimtestaat[[#This Row],[Code]],Locaties[#All],6,FALSE)</f>
        <v>Nijmegen</v>
      </c>
      <c r="F209" s="241" t="s">
        <v>847</v>
      </c>
      <c r="G209" s="200" t="s">
        <v>646</v>
      </c>
      <c r="H209" s="200" t="s">
        <v>545</v>
      </c>
      <c r="I209" s="241" t="s">
        <v>693</v>
      </c>
      <c r="J209" s="240">
        <v>21</v>
      </c>
      <c r="K209" s="256" t="str">
        <f>VLOOKUP(Ruimtestaat[[#This Row],[Ruimte code]],Ruimtegroepen[#All],2,FALSE)</f>
        <v>Niet in onderhoud</v>
      </c>
      <c r="L209" s="240" t="s">
        <v>111</v>
      </c>
      <c r="M209" s="268" t="s">
        <v>643</v>
      </c>
      <c r="N209" s="269"/>
      <c r="O209" s="212">
        <v>43</v>
      </c>
      <c r="P209" s="240" t="str">
        <f>VLOOKUP(Ruimtestaat[[#This Row],[Ruimte code]],Ruimtegroepen[#All],4,FALSE)</f>
        <v>Niet in onderhoud</v>
      </c>
      <c r="Q209" s="213"/>
      <c r="R209" s="213"/>
      <c r="S209" s="213">
        <f>IF(Q209&gt;0,IF(RIGHT(Ruimtestaat[[#This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09" s="213">
        <f>IF(S209&gt;0,VLOOKUP($J209,Ruimtegroepen[],3,FALSE)*VLOOKUP($L209,Vloersoorten[],3,FALSE)*VLOOKUP($R209,Frequenties[],3,FALSE)*VLOOKUP($A209,Locaties[],3,FALSE),0)</f>
        <v>0</v>
      </c>
      <c r="U209" s="213">
        <f>Ruimtestaat[[#This Row],[Uitvoeringen werkdagen]]*Ruimtestaat[[#This Row],[Oppervlak (netto)]]</f>
        <v>0</v>
      </c>
      <c r="V209" s="253">
        <f>IF(T209&gt;0,Ruimtestaat[[#This Row],[Prest. (m2 /jaar) werkdagen]]/Ruimtestaat[[#This Row],[Norm (m2/uur) werkdagen]],0)</f>
        <v>0</v>
      </c>
      <c r="W209" s="254">
        <f>Ruimtestaat[[#This Row],[uren / jaar werkdagen]]*Tariefsopbouw!$D$38</f>
        <v>0</v>
      </c>
      <c r="X209" s="33"/>
      <c r="Y209" s="33">
        <f>IF(Ruimtestaat[[#This Row],[Frequentie weekend]]&gt;0,VALUE(LEFT(X209,1))*Q209,0)</f>
        <v>0</v>
      </c>
      <c r="Z209" s="33">
        <f>IF($Y209&gt;0,VLOOKUP($J209,Ruimtegroepen[],3,FALSE)*VLOOKUP($L209,Vloersoorten[],3,FALSE)*VLOOKUP($X209,Frequenties[],3,FALSE)*VLOOKUP(#REF!,Locaties[],3,FALSE),0)</f>
        <v>0</v>
      </c>
      <c r="AA209" s="33"/>
      <c r="AB209" s="33"/>
      <c r="AC209" s="33">
        <f>Ruimtestaat[[#This Row],[uren / jaar weekend]]*Tariefsopbouw!$D$40</f>
        <v>0</v>
      </c>
      <c r="AD209" s="88">
        <f>Ruimtestaat[[#This Row],[Prest. (m2 /jaar) weekend]]+Ruimtestaat[[#This Row],[Prest. (m2 /jaar) werkdagen]]</f>
        <v>0</v>
      </c>
      <c r="AE209" s="88">
        <f>Ruimtestaat[[#This Row],[uren / jaar weekend]]+Ruimtestaat[[#This Row],[uren / jaar werkdagen]]</f>
        <v>0</v>
      </c>
      <c r="AF209" s="89">
        <f>Ruimtestaat[[#This Row],[kosten / jaar weekend]]+Ruimtestaat[[#This Row],[kosten / jaar werkdagen]]</f>
        <v>0</v>
      </c>
    </row>
    <row r="210" spans="1:32" ht="15" customHeight="1">
      <c r="A210" s="213">
        <v>3</v>
      </c>
      <c r="B210" s="200" t="str">
        <f>VLOOKUP(Ruimtestaat[[#This Row],[Code]],Locaties[#All],2,FALSE)</f>
        <v>Karel de Grote College</v>
      </c>
      <c r="C210" s="240" t="str">
        <f>VLOOKUP(Ruimtestaat[[#This Row],[Code]],Locaties[#All],4,FALSE)</f>
        <v>Wilhelminasingel 15</v>
      </c>
      <c r="D210" s="240" t="str">
        <f>VLOOKUP(Ruimtestaat[[#This Row],[Code]],Locaties[#All],5,FALSE)</f>
        <v>6524 AJ</v>
      </c>
      <c r="E210" s="240" t="str">
        <f>VLOOKUP(Ruimtestaat[[#This Row],[Code]],Locaties[#All],6,FALSE)</f>
        <v>Nijmegen</v>
      </c>
      <c r="F210" s="241" t="s">
        <v>761</v>
      </c>
      <c r="G210" s="200" t="s">
        <v>646</v>
      </c>
      <c r="H210" s="200" t="s">
        <v>736</v>
      </c>
      <c r="I210" s="241" t="s">
        <v>694</v>
      </c>
      <c r="J210" s="240">
        <v>21</v>
      </c>
      <c r="K210" s="256" t="str">
        <f>VLOOKUP(Ruimtestaat[[#This Row],[Ruimte code]],Ruimtegroepen[#All],2,FALSE)</f>
        <v>Niet in onderhoud</v>
      </c>
      <c r="L210" s="240" t="s">
        <v>112</v>
      </c>
      <c r="M210" s="268" t="s">
        <v>645</v>
      </c>
      <c r="N210" s="269"/>
      <c r="O210" s="212">
        <v>16</v>
      </c>
      <c r="P210" s="240" t="str">
        <f>VLOOKUP(Ruimtestaat[[#This Row],[Ruimte code]],Ruimtegroepen[#All],4,FALSE)</f>
        <v>Niet in onderhoud</v>
      </c>
      <c r="Q210" s="213">
        <v>0</v>
      </c>
      <c r="R210" s="213"/>
      <c r="S210" s="213">
        <f>IF(Q210&gt;0,IF(RIGHT(Ruimtestaat[[#This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10" s="213">
        <f>IF(S210&gt;0,VLOOKUP($J210,Ruimtegroepen[],3,FALSE)*VLOOKUP($L210,Vloersoorten[],3,FALSE)*VLOOKUP($R210,Frequenties[],3,FALSE)*VLOOKUP($A210,Locaties[],3,FALSE),0)</f>
        <v>0</v>
      </c>
      <c r="U210" s="213">
        <f>Ruimtestaat[[#This Row],[Uitvoeringen werkdagen]]*Ruimtestaat[[#This Row],[Oppervlak (netto)]]</f>
        <v>0</v>
      </c>
      <c r="V210" s="253">
        <f>IF(T210&gt;0,Ruimtestaat[[#This Row],[Prest. (m2 /jaar) werkdagen]]/Ruimtestaat[[#This Row],[Norm (m2/uur) werkdagen]],0)</f>
        <v>0</v>
      </c>
      <c r="W210" s="254">
        <f>Ruimtestaat[[#This Row],[uren / jaar werkdagen]]*Tariefsopbouw!$D$38</f>
        <v>0</v>
      </c>
      <c r="X210" s="33"/>
      <c r="Y210" s="33">
        <f>IF(Ruimtestaat[[#This Row],[Frequentie weekend]]&gt;0,VALUE(LEFT(X210,1))*Q210,0)</f>
        <v>0</v>
      </c>
      <c r="Z210" s="33">
        <f>IF($Y210&gt;0,VLOOKUP($J210,Ruimtegroepen[],3,FALSE)*VLOOKUP($L210,Vloersoorten[],3,FALSE)*VLOOKUP($X210,Frequenties[],3,FALSE)*VLOOKUP(#REF!,Locaties[],3,FALSE),0)</f>
        <v>0</v>
      </c>
      <c r="AA210" s="33"/>
      <c r="AB210" s="33"/>
      <c r="AC210" s="33">
        <f>Ruimtestaat[[#This Row],[uren / jaar weekend]]*Tariefsopbouw!$D$40</f>
        <v>0</v>
      </c>
      <c r="AD210" s="88">
        <f>Ruimtestaat[[#This Row],[Prest. (m2 /jaar) weekend]]+Ruimtestaat[[#This Row],[Prest. (m2 /jaar) werkdagen]]</f>
        <v>0</v>
      </c>
      <c r="AE210" s="88">
        <f>Ruimtestaat[[#This Row],[uren / jaar weekend]]+Ruimtestaat[[#This Row],[uren / jaar werkdagen]]</f>
        <v>0</v>
      </c>
      <c r="AF210" s="89">
        <f>Ruimtestaat[[#This Row],[kosten / jaar weekend]]+Ruimtestaat[[#This Row],[kosten / jaar werkdagen]]</f>
        <v>0</v>
      </c>
    </row>
    <row r="211" spans="1:32" ht="15" customHeight="1">
      <c r="A211" s="213">
        <v>3</v>
      </c>
      <c r="B211" s="200" t="str">
        <f>VLOOKUP(Ruimtestaat[[#This Row],[Code]],Locaties[#All],2,FALSE)</f>
        <v>Karel de Grote College</v>
      </c>
      <c r="C211" s="240" t="str">
        <f>VLOOKUP(Ruimtestaat[[#This Row],[Code]],Locaties[#All],4,FALSE)</f>
        <v>Wilhelminasingel 15</v>
      </c>
      <c r="D211" s="240" t="str">
        <f>VLOOKUP(Ruimtestaat[[#This Row],[Code]],Locaties[#All],5,FALSE)</f>
        <v>6524 AJ</v>
      </c>
      <c r="E211" s="240" t="str">
        <f>VLOOKUP(Ruimtestaat[[#This Row],[Code]],Locaties[#All],6,FALSE)</f>
        <v>Nijmegen</v>
      </c>
      <c r="F211" s="241" t="s">
        <v>761</v>
      </c>
      <c r="G211" s="200" t="s">
        <v>646</v>
      </c>
      <c r="H211" s="200" t="s">
        <v>737</v>
      </c>
      <c r="I211" s="241" t="s">
        <v>695</v>
      </c>
      <c r="J211" s="240">
        <v>7</v>
      </c>
      <c r="K211" s="256" t="str">
        <f>VLOOKUP(Ruimtestaat[[#This Row],[Ruimte code]],Ruimtegroepen[#All],2,FALSE)</f>
        <v>Entree</v>
      </c>
      <c r="L211" s="240" t="s">
        <v>109</v>
      </c>
      <c r="M211" s="200" t="s">
        <v>549</v>
      </c>
      <c r="N211" s="269">
        <v>5</v>
      </c>
      <c r="O211" s="212"/>
      <c r="P211" s="240" t="str">
        <f>VLOOKUP(Ruimtestaat[[#This Row],[Ruimte code]],Ruimtegroepen[#All],4,FALSE)</f>
        <v>V  (Verkeersruimte)</v>
      </c>
      <c r="Q211" s="213">
        <v>40</v>
      </c>
      <c r="R211" s="213" t="s">
        <v>2</v>
      </c>
      <c r="S211" s="213">
        <f>IF(Q211&gt;0,IF(RIGHT(Ruimtestaat[[#This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11" s="213">
        <f>IF(S211&gt;0,VLOOKUP($J211,Ruimtegroepen[],3,FALSE)*VLOOKUP($L211,Vloersoorten[],3,FALSE)*VLOOKUP($R211,Frequenties[],3,FALSE)*VLOOKUP($A211,Locaties[],3,FALSE),0)</f>
        <v>0</v>
      </c>
      <c r="U211" s="213">
        <f>Ruimtestaat[[#This Row],[Uitvoeringen werkdagen]]*Ruimtestaat[[#This Row],[Oppervlak (netto)]]</f>
        <v>1000</v>
      </c>
      <c r="V211" s="253">
        <f>IF(T211&gt;0,Ruimtestaat[[#This Row],[Prest. (m2 /jaar) werkdagen]]/Ruimtestaat[[#This Row],[Norm (m2/uur) werkdagen]],0)</f>
        <v>0</v>
      </c>
      <c r="W211" s="254">
        <f>Ruimtestaat[[#This Row],[uren / jaar werkdagen]]*Tariefsopbouw!$D$38</f>
        <v>0</v>
      </c>
      <c r="X211" s="33"/>
      <c r="Y211" s="33">
        <f>IF(Ruimtestaat[[#This Row],[Frequentie weekend]]&gt;0,VALUE(LEFT(X211,1))*Q211,0)</f>
        <v>0</v>
      </c>
      <c r="Z211" s="33">
        <f>IF($Y211&gt;0,VLOOKUP($J211,Ruimtegroepen[],3,FALSE)*VLOOKUP($L211,Vloersoorten[],3,FALSE)*VLOOKUP($X211,Frequenties[],3,FALSE)*VLOOKUP(#REF!,Locaties[],3,FALSE),0)</f>
        <v>0</v>
      </c>
      <c r="AA211" s="33"/>
      <c r="AB211" s="33"/>
      <c r="AC211" s="33">
        <f>Ruimtestaat[[#This Row],[uren / jaar weekend]]*Tariefsopbouw!$D$40</f>
        <v>0</v>
      </c>
      <c r="AD211" s="88">
        <f>Ruimtestaat[[#This Row],[Prest. (m2 /jaar) weekend]]+Ruimtestaat[[#This Row],[Prest. (m2 /jaar) werkdagen]]</f>
        <v>1000</v>
      </c>
      <c r="AE211" s="88">
        <f>Ruimtestaat[[#This Row],[uren / jaar weekend]]+Ruimtestaat[[#This Row],[uren / jaar werkdagen]]</f>
        <v>0</v>
      </c>
      <c r="AF211" s="89">
        <f>Ruimtestaat[[#This Row],[kosten / jaar weekend]]+Ruimtestaat[[#This Row],[kosten / jaar werkdagen]]</f>
        <v>0</v>
      </c>
    </row>
    <row r="212" spans="1:32" ht="15" customHeight="1">
      <c r="A212" s="213">
        <v>3</v>
      </c>
      <c r="B212" s="200" t="str">
        <f>VLOOKUP(Ruimtestaat[[#This Row],[Code]],Locaties[#All],2,FALSE)</f>
        <v>Karel de Grote College</v>
      </c>
      <c r="C212" s="240" t="str">
        <f>VLOOKUP(Ruimtestaat[[#This Row],[Code]],Locaties[#All],4,FALSE)</f>
        <v>Wilhelminasingel 15</v>
      </c>
      <c r="D212" s="240" t="str">
        <f>VLOOKUP(Ruimtestaat[[#This Row],[Code]],Locaties[#All],5,FALSE)</f>
        <v>6524 AJ</v>
      </c>
      <c r="E212" s="240" t="str">
        <f>VLOOKUP(Ruimtestaat[[#This Row],[Code]],Locaties[#All],6,FALSE)</f>
        <v>Nijmegen</v>
      </c>
      <c r="F212" s="241" t="s">
        <v>761</v>
      </c>
      <c r="G212" s="200" t="s">
        <v>646</v>
      </c>
      <c r="H212" s="200" t="s">
        <v>738</v>
      </c>
      <c r="I212" s="241" t="s">
        <v>696</v>
      </c>
      <c r="J212" s="240">
        <v>21</v>
      </c>
      <c r="K212" s="256" t="str">
        <f>VLOOKUP(Ruimtestaat[[#This Row],[Ruimte code]],Ruimtegroepen[#All],2,FALSE)</f>
        <v>Niet in onderhoud</v>
      </c>
      <c r="L212" s="240" t="s">
        <v>111</v>
      </c>
      <c r="M212" s="268" t="s">
        <v>647</v>
      </c>
      <c r="N212" s="269"/>
      <c r="O212" s="212">
        <v>16</v>
      </c>
      <c r="P212" s="240" t="str">
        <f>VLOOKUP(Ruimtestaat[[#This Row],[Ruimte code]],Ruimtegroepen[#All],4,FALSE)</f>
        <v>Niet in onderhoud</v>
      </c>
      <c r="Q212" s="213">
        <v>0</v>
      </c>
      <c r="R212" s="213"/>
      <c r="S212" s="213">
        <f>IF(Q212&gt;0,IF(RIGHT(Ruimtestaat[[#This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12" s="213">
        <f>IF(S212&gt;0,VLOOKUP($J212,Ruimtegroepen[],3,FALSE)*VLOOKUP($L212,Vloersoorten[],3,FALSE)*VLOOKUP($R212,Frequenties[],3,FALSE)*VLOOKUP($A212,Locaties[],3,FALSE),0)</f>
        <v>0</v>
      </c>
      <c r="U212" s="213">
        <f>Ruimtestaat[[#This Row],[Uitvoeringen werkdagen]]*Ruimtestaat[[#This Row],[Oppervlak (netto)]]</f>
        <v>0</v>
      </c>
      <c r="V212" s="253">
        <f>IF(T212&gt;0,Ruimtestaat[[#This Row],[Prest. (m2 /jaar) werkdagen]]/Ruimtestaat[[#This Row],[Norm (m2/uur) werkdagen]],0)</f>
        <v>0</v>
      </c>
      <c r="W212" s="254">
        <f>Ruimtestaat[[#This Row],[uren / jaar werkdagen]]*Tariefsopbouw!$D$38</f>
        <v>0</v>
      </c>
      <c r="X212" s="33"/>
      <c r="Y212" s="33">
        <f>IF(Ruimtestaat[[#This Row],[Frequentie weekend]]&gt;0,VALUE(LEFT(X212,1))*Q212,0)</f>
        <v>0</v>
      </c>
      <c r="Z212" s="33">
        <f>IF($Y212&gt;0,VLOOKUP($J212,Ruimtegroepen[],3,FALSE)*VLOOKUP($L212,Vloersoorten[],3,FALSE)*VLOOKUP($X212,Frequenties[],3,FALSE)*VLOOKUP(#REF!,Locaties[],3,FALSE),0)</f>
        <v>0</v>
      </c>
      <c r="AA212" s="33"/>
      <c r="AB212" s="33"/>
      <c r="AC212" s="33">
        <f>Ruimtestaat[[#This Row],[uren / jaar weekend]]*Tariefsopbouw!$D$40</f>
        <v>0</v>
      </c>
      <c r="AD212" s="88">
        <f>Ruimtestaat[[#This Row],[Prest. (m2 /jaar) weekend]]+Ruimtestaat[[#This Row],[Prest. (m2 /jaar) werkdagen]]</f>
        <v>0</v>
      </c>
      <c r="AE212" s="88">
        <f>Ruimtestaat[[#This Row],[uren / jaar weekend]]+Ruimtestaat[[#This Row],[uren / jaar werkdagen]]</f>
        <v>0</v>
      </c>
      <c r="AF212" s="89">
        <f>Ruimtestaat[[#This Row],[kosten / jaar weekend]]+Ruimtestaat[[#This Row],[kosten / jaar werkdagen]]</f>
        <v>0</v>
      </c>
    </row>
    <row r="213" spans="1:32" ht="15" customHeight="1">
      <c r="A213" s="213">
        <v>3</v>
      </c>
      <c r="B213" s="200" t="str">
        <f>VLOOKUP(Ruimtestaat[[#This Row],[Code]],Locaties[#All],2,FALSE)</f>
        <v>Karel de Grote College</v>
      </c>
      <c r="C213" s="240" t="str">
        <f>VLOOKUP(Ruimtestaat[[#This Row],[Code]],Locaties[#All],4,FALSE)</f>
        <v>Wilhelminasingel 15</v>
      </c>
      <c r="D213" s="240" t="str">
        <f>VLOOKUP(Ruimtestaat[[#This Row],[Code]],Locaties[#All],5,FALSE)</f>
        <v>6524 AJ</v>
      </c>
      <c r="E213" s="240" t="str">
        <f>VLOOKUP(Ruimtestaat[[#This Row],[Code]],Locaties[#All],6,FALSE)</f>
        <v>Nijmegen</v>
      </c>
      <c r="F213" s="241" t="s">
        <v>761</v>
      </c>
      <c r="G213" s="200" t="s">
        <v>646</v>
      </c>
      <c r="H213" s="200" t="s">
        <v>739</v>
      </c>
      <c r="I213" s="241" t="s">
        <v>697</v>
      </c>
      <c r="J213" s="240">
        <v>13</v>
      </c>
      <c r="K213" s="256" t="str">
        <f>VLOOKUP(Ruimtestaat[[#This Row],[Ruimte code]],Ruimtegroepen[#All],2,FALSE)</f>
        <v>Praktijklokalen</v>
      </c>
      <c r="L213" s="240" t="s">
        <v>112</v>
      </c>
      <c r="M213" s="268" t="s">
        <v>645</v>
      </c>
      <c r="N213" s="269">
        <v>80</v>
      </c>
      <c r="O213" s="212"/>
      <c r="P213" s="240" t="str">
        <f>VLOOKUP(Ruimtestaat[[#This Row],[Ruimte code]],Ruimtegroepen[#All],4,FALSE)</f>
        <v>L  (Lesruimte)</v>
      </c>
      <c r="Q213" s="213">
        <v>40</v>
      </c>
      <c r="R213" s="213" t="s">
        <v>2</v>
      </c>
      <c r="S213" s="213">
        <f>IF(Q213&gt;0,IF(RIGHT(Ruimtestaat[[#This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13" s="213">
        <f>IF(S213&gt;0,VLOOKUP($J213,Ruimtegroepen[],3,FALSE)*VLOOKUP($L213,Vloersoorten[],3,FALSE)*VLOOKUP($R213,Frequenties[],3,FALSE)*VLOOKUP($A213,Locaties[],3,FALSE),0)</f>
        <v>0</v>
      </c>
      <c r="U213" s="213">
        <f>Ruimtestaat[[#This Row],[Uitvoeringen werkdagen]]*Ruimtestaat[[#This Row],[Oppervlak (netto)]]</f>
        <v>16000</v>
      </c>
      <c r="V213" s="253">
        <f>IF(T213&gt;0,Ruimtestaat[[#This Row],[Prest. (m2 /jaar) werkdagen]]/Ruimtestaat[[#This Row],[Norm (m2/uur) werkdagen]],0)</f>
        <v>0</v>
      </c>
      <c r="W213" s="254">
        <f>Ruimtestaat[[#This Row],[uren / jaar werkdagen]]*Tariefsopbouw!$D$38</f>
        <v>0</v>
      </c>
      <c r="X213" s="33"/>
      <c r="Y213" s="33">
        <f>IF(Ruimtestaat[[#This Row],[Frequentie weekend]]&gt;0,VALUE(LEFT(X213,1))*Q213,0)</f>
        <v>0</v>
      </c>
      <c r="Z213" s="33">
        <f>IF($Y213&gt;0,VLOOKUP($J213,Ruimtegroepen[],3,FALSE)*VLOOKUP($L213,Vloersoorten[],3,FALSE)*VLOOKUP($X213,Frequenties[],3,FALSE)*VLOOKUP(#REF!,Locaties[],3,FALSE),0)</f>
        <v>0</v>
      </c>
      <c r="AA213" s="33"/>
      <c r="AB213" s="33"/>
      <c r="AC213" s="33">
        <f>Ruimtestaat[[#This Row],[uren / jaar weekend]]*Tariefsopbouw!$D$40</f>
        <v>0</v>
      </c>
      <c r="AD213" s="88">
        <f>Ruimtestaat[[#This Row],[Prest. (m2 /jaar) weekend]]+Ruimtestaat[[#This Row],[Prest. (m2 /jaar) werkdagen]]</f>
        <v>16000</v>
      </c>
      <c r="AE213" s="88">
        <f>Ruimtestaat[[#This Row],[uren / jaar weekend]]+Ruimtestaat[[#This Row],[uren / jaar werkdagen]]</f>
        <v>0</v>
      </c>
      <c r="AF213" s="89">
        <f>Ruimtestaat[[#This Row],[kosten / jaar weekend]]+Ruimtestaat[[#This Row],[kosten / jaar werkdagen]]</f>
        <v>0</v>
      </c>
    </row>
    <row r="214" spans="1:32" ht="15" customHeight="1">
      <c r="A214" s="213">
        <v>3</v>
      </c>
      <c r="B214" s="200" t="str">
        <f>VLOOKUP(Ruimtestaat[[#This Row],[Code]],Locaties[#All],2,FALSE)</f>
        <v>Karel de Grote College</v>
      </c>
      <c r="C214" s="240" t="str">
        <f>VLOOKUP(Ruimtestaat[[#This Row],[Code]],Locaties[#All],4,FALSE)</f>
        <v>Wilhelminasingel 15</v>
      </c>
      <c r="D214" s="240" t="str">
        <f>VLOOKUP(Ruimtestaat[[#This Row],[Code]],Locaties[#All],5,FALSE)</f>
        <v>6524 AJ</v>
      </c>
      <c r="E214" s="240" t="str">
        <f>VLOOKUP(Ruimtestaat[[#This Row],[Code]],Locaties[#All],6,FALSE)</f>
        <v>Nijmegen</v>
      </c>
      <c r="F214" s="241" t="s">
        <v>761</v>
      </c>
      <c r="G214" s="200" t="s">
        <v>646</v>
      </c>
      <c r="H214" s="200" t="s">
        <v>740</v>
      </c>
      <c r="I214" s="241" t="s">
        <v>698</v>
      </c>
      <c r="J214" s="213">
        <v>6</v>
      </c>
      <c r="K214" s="256" t="str">
        <f>VLOOKUP(Ruimtestaat[[#This Row],[Ruimte code]],Ruimtegroepen[#All],2,FALSE)</f>
        <v>Gangen/hallen</v>
      </c>
      <c r="L214" s="213" t="s">
        <v>110</v>
      </c>
      <c r="M214" s="268" t="s">
        <v>644</v>
      </c>
      <c r="N214" s="269">
        <v>32</v>
      </c>
      <c r="O214" s="212"/>
      <c r="P214" s="240" t="str">
        <f>VLOOKUP(Ruimtestaat[[#This Row],[Ruimte code]],Ruimtegroepen[#All],4,FALSE)</f>
        <v>V  (Verkeersruimte)</v>
      </c>
      <c r="Q214" s="213">
        <v>40</v>
      </c>
      <c r="R214" s="213" t="s">
        <v>2</v>
      </c>
      <c r="S214" s="213">
        <f>IF(Q214&gt;0,IF(RIGHT(Ruimtestaat[[#This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14" s="213">
        <f>IF(S214&gt;0,VLOOKUP($J214,Ruimtegroepen[],3,FALSE)*VLOOKUP($L214,Vloersoorten[],3,FALSE)*VLOOKUP($R214,Frequenties[],3,FALSE)*VLOOKUP($A214,Locaties[],3,FALSE),0)</f>
        <v>0</v>
      </c>
      <c r="U214" s="213">
        <f>Ruimtestaat[[#This Row],[Uitvoeringen werkdagen]]*Ruimtestaat[[#This Row],[Oppervlak (netto)]]</f>
        <v>6400</v>
      </c>
      <c r="V214" s="253">
        <f>IF(T214&gt;0,Ruimtestaat[[#This Row],[Prest. (m2 /jaar) werkdagen]]/Ruimtestaat[[#This Row],[Norm (m2/uur) werkdagen]],0)</f>
        <v>0</v>
      </c>
      <c r="W214" s="254">
        <f>Ruimtestaat[[#This Row],[uren / jaar werkdagen]]*Tariefsopbouw!$D$38</f>
        <v>0</v>
      </c>
      <c r="X214" s="33"/>
      <c r="Y214" s="33">
        <f>IF(Ruimtestaat[[#This Row],[Frequentie weekend]]&gt;0,VALUE(LEFT(X214,1))*Q214,0)</f>
        <v>0</v>
      </c>
      <c r="Z214" s="33">
        <f>IF($Y214&gt;0,VLOOKUP($J214,Ruimtegroepen[],3,FALSE)*VLOOKUP($L214,Vloersoorten[],3,FALSE)*VLOOKUP($X214,Frequenties[],3,FALSE)*VLOOKUP(#REF!,Locaties[],3,FALSE),0)</f>
        <v>0</v>
      </c>
      <c r="AA214" s="33"/>
      <c r="AB214" s="33"/>
      <c r="AC214" s="33">
        <f>Ruimtestaat[[#This Row],[uren / jaar weekend]]*Tariefsopbouw!$D$40</f>
        <v>0</v>
      </c>
      <c r="AD214" s="88">
        <f>Ruimtestaat[[#This Row],[Prest. (m2 /jaar) weekend]]+Ruimtestaat[[#This Row],[Prest. (m2 /jaar) werkdagen]]</f>
        <v>6400</v>
      </c>
      <c r="AE214" s="88">
        <f>Ruimtestaat[[#This Row],[uren / jaar weekend]]+Ruimtestaat[[#This Row],[uren / jaar werkdagen]]</f>
        <v>0</v>
      </c>
      <c r="AF214" s="89">
        <f>Ruimtestaat[[#This Row],[kosten / jaar weekend]]+Ruimtestaat[[#This Row],[kosten / jaar werkdagen]]</f>
        <v>0</v>
      </c>
    </row>
    <row r="215" spans="1:32" ht="15" customHeight="1">
      <c r="A215" s="213">
        <v>3</v>
      </c>
      <c r="B215" s="200" t="str">
        <f>VLOOKUP(Ruimtestaat[[#This Row],[Code]],Locaties[#All],2,FALSE)</f>
        <v>Karel de Grote College</v>
      </c>
      <c r="C215" s="240" t="str">
        <f>VLOOKUP(Ruimtestaat[[#This Row],[Code]],Locaties[#All],4,FALSE)</f>
        <v>Wilhelminasingel 15</v>
      </c>
      <c r="D215" s="240" t="str">
        <f>VLOOKUP(Ruimtestaat[[#This Row],[Code]],Locaties[#All],5,FALSE)</f>
        <v>6524 AJ</v>
      </c>
      <c r="E215" s="240" t="str">
        <f>VLOOKUP(Ruimtestaat[[#This Row],[Code]],Locaties[#All],6,FALSE)</f>
        <v>Nijmegen</v>
      </c>
      <c r="F215" s="241" t="s">
        <v>761</v>
      </c>
      <c r="G215" s="200" t="s">
        <v>646</v>
      </c>
      <c r="H215" s="200" t="s">
        <v>741</v>
      </c>
      <c r="I215" s="241" t="s">
        <v>699</v>
      </c>
      <c r="J215" s="200">
        <v>5</v>
      </c>
      <c r="K215" s="256" t="str">
        <f>VLOOKUP(Ruimtestaat[[#This Row],[Ruimte code]],Ruimtegroepen[#All],2,FALSE)</f>
        <v>Sanitair</v>
      </c>
      <c r="L215" s="240" t="s">
        <v>111</v>
      </c>
      <c r="M215" s="268" t="s">
        <v>647</v>
      </c>
      <c r="N215" s="269">
        <v>5</v>
      </c>
      <c r="O215" s="212"/>
      <c r="P215" s="240" t="str">
        <f>VLOOKUP(Ruimtestaat[[#This Row],[Ruimte code]],Ruimtegroepen[#All],4,FALSE)</f>
        <v>S  (Sanitair)</v>
      </c>
      <c r="Q215" s="213">
        <v>40</v>
      </c>
      <c r="R215" s="213" t="s">
        <v>2</v>
      </c>
      <c r="S215" s="213">
        <f>IF(Q215&gt;0,IF(RIGHT(Ruimtestaat[[#This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15" s="213">
        <f>IF(S215&gt;0,VLOOKUP($J215,Ruimtegroepen[],3,FALSE)*VLOOKUP($L215,Vloersoorten[],3,FALSE)*VLOOKUP($R215,Frequenties[],3,FALSE)*VLOOKUP($A215,Locaties[],3,FALSE),0)</f>
        <v>0</v>
      </c>
      <c r="U215" s="213">
        <f>Ruimtestaat[[#This Row],[Uitvoeringen werkdagen]]*Ruimtestaat[[#This Row],[Oppervlak (netto)]]</f>
        <v>1000</v>
      </c>
      <c r="V215" s="253">
        <f>IF(T215&gt;0,Ruimtestaat[[#This Row],[Prest. (m2 /jaar) werkdagen]]/Ruimtestaat[[#This Row],[Norm (m2/uur) werkdagen]],0)</f>
        <v>0</v>
      </c>
      <c r="W215" s="254">
        <f>Ruimtestaat[[#This Row],[uren / jaar werkdagen]]*Tariefsopbouw!$D$38</f>
        <v>0</v>
      </c>
      <c r="X215" s="33"/>
      <c r="Y215" s="33">
        <f>IF(Ruimtestaat[[#This Row],[Frequentie weekend]]&gt;0,VALUE(LEFT(X215,1))*Q215,0)</f>
        <v>0</v>
      </c>
      <c r="Z215" s="33">
        <f>IF($Y215&gt;0,VLOOKUP($J215,Ruimtegroepen[],3,FALSE)*VLOOKUP($L215,Vloersoorten[],3,FALSE)*VLOOKUP($X215,Frequenties[],3,FALSE)*VLOOKUP(#REF!,Locaties[],3,FALSE),0)</f>
        <v>0</v>
      </c>
      <c r="AA215" s="33"/>
      <c r="AB215" s="33"/>
      <c r="AC215" s="33">
        <f>Ruimtestaat[[#This Row],[uren / jaar weekend]]*Tariefsopbouw!$D$40</f>
        <v>0</v>
      </c>
      <c r="AD215" s="88">
        <f>Ruimtestaat[[#This Row],[Prest. (m2 /jaar) weekend]]+Ruimtestaat[[#This Row],[Prest. (m2 /jaar) werkdagen]]</f>
        <v>1000</v>
      </c>
      <c r="AE215" s="88">
        <f>Ruimtestaat[[#This Row],[uren / jaar weekend]]+Ruimtestaat[[#This Row],[uren / jaar werkdagen]]</f>
        <v>0</v>
      </c>
      <c r="AF215" s="89">
        <f>Ruimtestaat[[#This Row],[kosten / jaar weekend]]+Ruimtestaat[[#This Row],[kosten / jaar werkdagen]]</f>
        <v>0</v>
      </c>
    </row>
    <row r="216" spans="1:32" ht="15" customHeight="1">
      <c r="A216" s="213">
        <v>3</v>
      </c>
      <c r="B216" s="200" t="str">
        <f>VLOOKUP(Ruimtestaat[[#This Row],[Code]],Locaties[#All],2,FALSE)</f>
        <v>Karel de Grote College</v>
      </c>
      <c r="C216" s="240" t="str">
        <f>VLOOKUP(Ruimtestaat[[#This Row],[Code]],Locaties[#All],4,FALSE)</f>
        <v>Wilhelminasingel 15</v>
      </c>
      <c r="D216" s="240" t="str">
        <f>VLOOKUP(Ruimtestaat[[#This Row],[Code]],Locaties[#All],5,FALSE)</f>
        <v>6524 AJ</v>
      </c>
      <c r="E216" s="240" t="str">
        <f>VLOOKUP(Ruimtestaat[[#This Row],[Code]],Locaties[#All],6,FALSE)</f>
        <v>Nijmegen</v>
      </c>
      <c r="F216" s="241" t="s">
        <v>761</v>
      </c>
      <c r="G216" s="200" t="s">
        <v>646</v>
      </c>
      <c r="H216" s="200" t="s">
        <v>742</v>
      </c>
      <c r="I216" s="241" t="s">
        <v>700</v>
      </c>
      <c r="J216" s="200">
        <v>16</v>
      </c>
      <c r="K216" s="256" t="str">
        <f>VLOOKUP(Ruimtestaat[[#This Row],[Ruimte code]],Ruimtegroepen[#All],2,FALSE)</f>
        <v>Lokaal</v>
      </c>
      <c r="L216" s="213" t="s">
        <v>110</v>
      </c>
      <c r="M216" s="268" t="s">
        <v>644</v>
      </c>
      <c r="N216" s="269">
        <v>67</v>
      </c>
      <c r="O216" s="212"/>
      <c r="P216" s="240" t="str">
        <f>VLOOKUP(Ruimtestaat[[#This Row],[Ruimte code]],Ruimtegroepen[#All],4,FALSE)</f>
        <v>L  (Lesruimte)</v>
      </c>
      <c r="Q216" s="213">
        <v>40</v>
      </c>
      <c r="R216" s="213" t="s">
        <v>2</v>
      </c>
      <c r="S216" s="213">
        <f>IF(Q216&gt;0,IF(RIGHT(Ruimtestaat[[#This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16" s="213">
        <f>IF(S216&gt;0,VLOOKUP($J216,Ruimtegroepen[],3,FALSE)*VLOOKUP($L216,Vloersoorten[],3,FALSE)*VLOOKUP($R216,Frequenties[],3,FALSE)*VLOOKUP($A216,Locaties[],3,FALSE),0)</f>
        <v>0</v>
      </c>
      <c r="U216" s="213">
        <f>Ruimtestaat[[#This Row],[Uitvoeringen werkdagen]]*Ruimtestaat[[#This Row],[Oppervlak (netto)]]</f>
        <v>13400</v>
      </c>
      <c r="V216" s="253">
        <f>IF(T216&gt;0,Ruimtestaat[[#This Row],[Prest. (m2 /jaar) werkdagen]]/Ruimtestaat[[#This Row],[Norm (m2/uur) werkdagen]],0)</f>
        <v>0</v>
      </c>
      <c r="W216" s="254">
        <f>Ruimtestaat[[#This Row],[uren / jaar werkdagen]]*Tariefsopbouw!$D$38</f>
        <v>0</v>
      </c>
      <c r="X216" s="33"/>
      <c r="Y216" s="33">
        <f>IF(Ruimtestaat[[#This Row],[Frequentie weekend]]&gt;0,VALUE(LEFT(X216,1))*Q216,0)</f>
        <v>0</v>
      </c>
      <c r="Z216" s="33">
        <f>IF($Y216&gt;0,VLOOKUP($J216,Ruimtegroepen[],3,FALSE)*VLOOKUP($L216,Vloersoorten[],3,FALSE)*VLOOKUP($X216,Frequenties[],3,FALSE)*VLOOKUP(#REF!,Locaties[],3,FALSE),0)</f>
        <v>0</v>
      </c>
      <c r="AA216" s="33"/>
      <c r="AB216" s="33"/>
      <c r="AC216" s="33">
        <f>Ruimtestaat[[#This Row],[uren / jaar weekend]]*Tariefsopbouw!$D$40</f>
        <v>0</v>
      </c>
      <c r="AD216" s="88">
        <f>Ruimtestaat[[#This Row],[Prest. (m2 /jaar) weekend]]+Ruimtestaat[[#This Row],[Prest. (m2 /jaar) werkdagen]]</f>
        <v>13400</v>
      </c>
      <c r="AE216" s="88">
        <f>Ruimtestaat[[#This Row],[uren / jaar weekend]]+Ruimtestaat[[#This Row],[uren / jaar werkdagen]]</f>
        <v>0</v>
      </c>
      <c r="AF216" s="89">
        <f>Ruimtestaat[[#This Row],[kosten / jaar weekend]]+Ruimtestaat[[#This Row],[kosten / jaar werkdagen]]</f>
        <v>0</v>
      </c>
    </row>
    <row r="217" spans="1:32" ht="15" customHeight="1">
      <c r="A217" s="213">
        <v>3</v>
      </c>
      <c r="B217" s="200" t="str">
        <f>VLOOKUP(Ruimtestaat[[#This Row],[Code]],Locaties[#All],2,FALSE)</f>
        <v>Karel de Grote College</v>
      </c>
      <c r="C217" s="240" t="str">
        <f>VLOOKUP(Ruimtestaat[[#This Row],[Code]],Locaties[#All],4,FALSE)</f>
        <v>Wilhelminasingel 15</v>
      </c>
      <c r="D217" s="240" t="str">
        <f>VLOOKUP(Ruimtestaat[[#This Row],[Code]],Locaties[#All],5,FALSE)</f>
        <v>6524 AJ</v>
      </c>
      <c r="E217" s="240" t="str">
        <f>VLOOKUP(Ruimtestaat[[#This Row],[Code]],Locaties[#All],6,FALSE)</f>
        <v>Nijmegen</v>
      </c>
      <c r="F217" s="241" t="s">
        <v>761</v>
      </c>
      <c r="G217" s="200" t="s">
        <v>646</v>
      </c>
      <c r="H217" s="200" t="s">
        <v>743</v>
      </c>
      <c r="I217" s="241" t="s">
        <v>701</v>
      </c>
      <c r="J217" s="240">
        <v>21</v>
      </c>
      <c r="K217" s="256" t="str">
        <f>VLOOKUP(Ruimtestaat[[#This Row],[Ruimte code]],Ruimtegroepen[#All],2,FALSE)</f>
        <v>Niet in onderhoud</v>
      </c>
      <c r="L217" s="213" t="s">
        <v>110</v>
      </c>
      <c r="M217" s="268" t="s">
        <v>644</v>
      </c>
      <c r="N217" s="269"/>
      <c r="O217" s="212">
        <v>2</v>
      </c>
      <c r="P217" s="240" t="str">
        <f>VLOOKUP(Ruimtestaat[[#This Row],[Ruimte code]],Ruimtegroepen[#All],4,FALSE)</f>
        <v>Niet in onderhoud</v>
      </c>
      <c r="Q217" s="213"/>
      <c r="R217" s="213">
        <v>0</v>
      </c>
      <c r="S217" s="213">
        <f>IF(Q217&gt;0,IF(RIGHT(Ruimtestaat[[#This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17" s="213">
        <f>IF(S217&gt;0,VLOOKUP($J217,Ruimtegroepen[],3,FALSE)*VLOOKUP($L217,Vloersoorten[],3,FALSE)*VLOOKUP($R217,Frequenties[],3,FALSE)*VLOOKUP($A217,Locaties[],3,FALSE),0)</f>
        <v>0</v>
      </c>
      <c r="U217" s="213">
        <f>Ruimtestaat[[#This Row],[Uitvoeringen werkdagen]]*Ruimtestaat[[#This Row],[Oppervlak (netto)]]</f>
        <v>0</v>
      </c>
      <c r="V217" s="253">
        <f>IF(T217&gt;0,Ruimtestaat[[#This Row],[Prest. (m2 /jaar) werkdagen]]/Ruimtestaat[[#This Row],[Norm (m2/uur) werkdagen]],0)</f>
        <v>0</v>
      </c>
      <c r="W217" s="254">
        <f>Ruimtestaat[[#This Row],[uren / jaar werkdagen]]*Tariefsopbouw!$D$38</f>
        <v>0</v>
      </c>
      <c r="X217" s="33"/>
      <c r="Y217" s="33">
        <f>IF(Ruimtestaat[[#This Row],[Frequentie weekend]]&gt;0,VALUE(LEFT(X217,1))*Q217,0)</f>
        <v>0</v>
      </c>
      <c r="Z217" s="33">
        <f>IF($Y217&gt;0,VLOOKUP($J217,Ruimtegroepen[],3,FALSE)*VLOOKUP($L217,Vloersoorten[],3,FALSE)*VLOOKUP($X217,Frequenties[],3,FALSE)*VLOOKUP(#REF!,Locaties[],3,FALSE),0)</f>
        <v>0</v>
      </c>
      <c r="AA217" s="33"/>
      <c r="AB217" s="33"/>
      <c r="AC217" s="33">
        <f>Ruimtestaat[[#This Row],[uren / jaar weekend]]*Tariefsopbouw!$D$40</f>
        <v>0</v>
      </c>
      <c r="AD217" s="88">
        <f>Ruimtestaat[[#This Row],[Prest. (m2 /jaar) weekend]]+Ruimtestaat[[#This Row],[Prest. (m2 /jaar) werkdagen]]</f>
        <v>0</v>
      </c>
      <c r="AE217" s="88">
        <f>Ruimtestaat[[#This Row],[uren / jaar weekend]]+Ruimtestaat[[#This Row],[uren / jaar werkdagen]]</f>
        <v>0</v>
      </c>
      <c r="AF217" s="89">
        <f>Ruimtestaat[[#This Row],[kosten / jaar weekend]]+Ruimtestaat[[#This Row],[kosten / jaar werkdagen]]</f>
        <v>0</v>
      </c>
    </row>
    <row r="218" spans="1:32" ht="15" customHeight="1">
      <c r="A218" s="213">
        <v>3</v>
      </c>
      <c r="B218" s="200" t="str">
        <f>VLOOKUP(Ruimtestaat[[#This Row],[Code]],Locaties[#All],2,FALSE)</f>
        <v>Karel de Grote College</v>
      </c>
      <c r="C218" s="240" t="str">
        <f>VLOOKUP(Ruimtestaat[[#This Row],[Code]],Locaties[#All],4,FALSE)</f>
        <v>Wilhelminasingel 15</v>
      </c>
      <c r="D218" s="240" t="str">
        <f>VLOOKUP(Ruimtestaat[[#This Row],[Code]],Locaties[#All],5,FALSE)</f>
        <v>6524 AJ</v>
      </c>
      <c r="E218" s="240" t="str">
        <f>VLOOKUP(Ruimtestaat[[#This Row],[Code]],Locaties[#All],6,FALSE)</f>
        <v>Nijmegen</v>
      </c>
      <c r="F218" s="241" t="s">
        <v>761</v>
      </c>
      <c r="G218" s="200" t="s">
        <v>646</v>
      </c>
      <c r="H218" s="200" t="s">
        <v>547</v>
      </c>
      <c r="I218" s="241" t="s">
        <v>702</v>
      </c>
      <c r="J218" s="240">
        <v>16</v>
      </c>
      <c r="K218" s="256" t="str">
        <f>VLOOKUP(Ruimtestaat[[#This Row],[Ruimte code]],Ruimtegroepen[#All],2,FALSE)</f>
        <v>Lokaal</v>
      </c>
      <c r="L218" s="213" t="s">
        <v>110</v>
      </c>
      <c r="M218" s="268" t="s">
        <v>644</v>
      </c>
      <c r="N218" s="269">
        <v>9</v>
      </c>
      <c r="O218" s="212"/>
      <c r="P218" s="240" t="str">
        <f>VLOOKUP(Ruimtestaat[[#This Row],[Ruimte code]],Ruimtegroepen[#All],4,FALSE)</f>
        <v>L  (Lesruimte)</v>
      </c>
      <c r="Q218" s="213">
        <v>40</v>
      </c>
      <c r="R218" s="213" t="s">
        <v>17</v>
      </c>
      <c r="S218" s="213">
        <f>IF(Q218&gt;0,IF(RIGHT(Ruimtestaat[[#This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18" s="213">
        <f>IF(S218&gt;0,VLOOKUP($J218,Ruimtegroepen[],3,FALSE)*VLOOKUP($L218,Vloersoorten[],3,FALSE)*VLOOKUP($R218,Frequenties[],3,FALSE)*VLOOKUP($A218,Locaties[],3,FALSE),0)</f>
        <v>0</v>
      </c>
      <c r="U218" s="213">
        <f>Ruimtestaat[[#This Row],[Uitvoeringen werkdagen]]*Ruimtestaat[[#This Row],[Oppervlak (netto)]]</f>
        <v>720</v>
      </c>
      <c r="V218" s="253">
        <f>IF(T218&gt;0,Ruimtestaat[[#This Row],[Prest. (m2 /jaar) werkdagen]]/Ruimtestaat[[#This Row],[Norm (m2/uur) werkdagen]],0)</f>
        <v>0</v>
      </c>
      <c r="W218" s="254">
        <f>Ruimtestaat[[#This Row],[uren / jaar werkdagen]]*Tariefsopbouw!$D$38</f>
        <v>0</v>
      </c>
      <c r="X218" s="33"/>
      <c r="Y218" s="33">
        <f>IF(Ruimtestaat[[#This Row],[Frequentie weekend]]&gt;0,VALUE(LEFT(X218,1))*Q218,0)</f>
        <v>0</v>
      </c>
      <c r="Z218" s="33">
        <f>IF($Y218&gt;0,VLOOKUP($J218,Ruimtegroepen[],3,FALSE)*VLOOKUP($L218,Vloersoorten[],3,FALSE)*VLOOKUP($X218,Frequenties[],3,FALSE)*VLOOKUP(#REF!,Locaties[],3,FALSE),0)</f>
        <v>0</v>
      </c>
      <c r="AA218" s="33"/>
      <c r="AB218" s="33"/>
      <c r="AC218" s="33">
        <f>Ruimtestaat[[#This Row],[uren / jaar weekend]]*Tariefsopbouw!$D$40</f>
        <v>0</v>
      </c>
      <c r="AD218" s="88">
        <f>Ruimtestaat[[#This Row],[Prest. (m2 /jaar) weekend]]+Ruimtestaat[[#This Row],[Prest. (m2 /jaar) werkdagen]]</f>
        <v>720</v>
      </c>
      <c r="AE218" s="88">
        <f>Ruimtestaat[[#This Row],[uren / jaar weekend]]+Ruimtestaat[[#This Row],[uren / jaar werkdagen]]</f>
        <v>0</v>
      </c>
      <c r="AF218" s="89">
        <f>Ruimtestaat[[#This Row],[kosten / jaar weekend]]+Ruimtestaat[[#This Row],[kosten / jaar werkdagen]]</f>
        <v>0</v>
      </c>
    </row>
    <row r="219" spans="1:32" ht="15" customHeight="1">
      <c r="A219" s="213">
        <v>3</v>
      </c>
      <c r="B219" s="200" t="str">
        <f>VLOOKUP(Ruimtestaat[[#This Row],[Code]],Locaties[#All],2,FALSE)</f>
        <v>Karel de Grote College</v>
      </c>
      <c r="C219" s="240" t="str">
        <f>VLOOKUP(Ruimtestaat[[#This Row],[Code]],Locaties[#All],4,FALSE)</f>
        <v>Wilhelminasingel 15</v>
      </c>
      <c r="D219" s="240" t="str">
        <f>VLOOKUP(Ruimtestaat[[#This Row],[Code]],Locaties[#All],5,FALSE)</f>
        <v>6524 AJ</v>
      </c>
      <c r="E219" s="240" t="str">
        <f>VLOOKUP(Ruimtestaat[[#This Row],[Code]],Locaties[#All],6,FALSE)</f>
        <v>Nijmegen</v>
      </c>
      <c r="F219" s="241" t="s">
        <v>761</v>
      </c>
      <c r="G219" s="200" t="s">
        <v>646</v>
      </c>
      <c r="H219" s="200" t="s">
        <v>473</v>
      </c>
      <c r="I219" s="241" t="s">
        <v>702</v>
      </c>
      <c r="J219" s="240">
        <v>16</v>
      </c>
      <c r="K219" s="256" t="str">
        <f>VLOOKUP(Ruimtestaat[[#This Row],[Ruimte code]],Ruimtegroepen[#All],2,FALSE)</f>
        <v>Lokaal</v>
      </c>
      <c r="L219" s="213" t="s">
        <v>110</v>
      </c>
      <c r="M219" s="268" t="s">
        <v>644</v>
      </c>
      <c r="N219" s="269">
        <v>10</v>
      </c>
      <c r="O219" s="212"/>
      <c r="P219" s="240" t="str">
        <f>VLOOKUP(Ruimtestaat[[#This Row],[Ruimte code]],Ruimtegroepen[#All],4,FALSE)</f>
        <v>L  (Lesruimte)</v>
      </c>
      <c r="Q219" s="213">
        <v>40</v>
      </c>
      <c r="R219" s="213" t="s">
        <v>17</v>
      </c>
      <c r="S219" s="213">
        <f>IF(Q219&gt;0,IF(RIGHT(Ruimtestaat[[#This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19" s="213">
        <f>IF(S219&gt;0,VLOOKUP($J219,Ruimtegroepen[],3,FALSE)*VLOOKUP($L219,Vloersoorten[],3,FALSE)*VLOOKUP($R219,Frequenties[],3,FALSE)*VLOOKUP($A219,Locaties[],3,FALSE),0)</f>
        <v>0</v>
      </c>
      <c r="U219" s="213">
        <f>Ruimtestaat[[#This Row],[Uitvoeringen werkdagen]]*Ruimtestaat[[#This Row],[Oppervlak (netto)]]</f>
        <v>800</v>
      </c>
      <c r="V219" s="253">
        <f>IF(T219&gt;0,Ruimtestaat[[#This Row],[Prest. (m2 /jaar) werkdagen]]/Ruimtestaat[[#This Row],[Norm (m2/uur) werkdagen]],0)</f>
        <v>0</v>
      </c>
      <c r="W219" s="254">
        <f>Ruimtestaat[[#This Row],[uren / jaar werkdagen]]*Tariefsopbouw!$D$38</f>
        <v>0</v>
      </c>
      <c r="X219" s="33"/>
      <c r="Y219" s="33">
        <f>IF(Ruimtestaat[[#This Row],[Frequentie weekend]]&gt;0,VALUE(LEFT(X219,1))*Q219,0)</f>
        <v>0</v>
      </c>
      <c r="Z219" s="33">
        <f>IF($Y219&gt;0,VLOOKUP($J219,Ruimtegroepen[],3,FALSE)*VLOOKUP($L219,Vloersoorten[],3,FALSE)*VLOOKUP($X219,Frequenties[],3,FALSE)*VLOOKUP(#REF!,Locaties[],3,FALSE),0)</f>
        <v>0</v>
      </c>
      <c r="AA219" s="33"/>
      <c r="AB219" s="33"/>
      <c r="AC219" s="33">
        <f>Ruimtestaat[[#This Row],[uren / jaar weekend]]*Tariefsopbouw!$D$40</f>
        <v>0</v>
      </c>
      <c r="AD219" s="88">
        <f>Ruimtestaat[[#This Row],[Prest. (m2 /jaar) weekend]]+Ruimtestaat[[#This Row],[Prest. (m2 /jaar) werkdagen]]</f>
        <v>800</v>
      </c>
      <c r="AE219" s="88">
        <f>Ruimtestaat[[#This Row],[uren / jaar weekend]]+Ruimtestaat[[#This Row],[uren / jaar werkdagen]]</f>
        <v>0</v>
      </c>
      <c r="AF219" s="89">
        <f>Ruimtestaat[[#This Row],[kosten / jaar weekend]]+Ruimtestaat[[#This Row],[kosten / jaar werkdagen]]</f>
        <v>0</v>
      </c>
    </row>
    <row r="220" spans="1:32" ht="15" customHeight="1">
      <c r="A220" s="213">
        <v>3</v>
      </c>
      <c r="B220" s="200" t="str">
        <f>VLOOKUP(Ruimtestaat[[#This Row],[Code]],Locaties[#All],2,FALSE)</f>
        <v>Karel de Grote College</v>
      </c>
      <c r="C220" s="240" t="str">
        <f>VLOOKUP(Ruimtestaat[[#This Row],[Code]],Locaties[#All],4,FALSE)</f>
        <v>Wilhelminasingel 15</v>
      </c>
      <c r="D220" s="240" t="str">
        <f>VLOOKUP(Ruimtestaat[[#This Row],[Code]],Locaties[#All],5,FALSE)</f>
        <v>6524 AJ</v>
      </c>
      <c r="E220" s="240" t="str">
        <f>VLOOKUP(Ruimtestaat[[#This Row],[Code]],Locaties[#All],6,FALSE)</f>
        <v>Nijmegen</v>
      </c>
      <c r="F220" s="241" t="s">
        <v>761</v>
      </c>
      <c r="G220" s="200" t="s">
        <v>646</v>
      </c>
      <c r="H220" s="200" t="s">
        <v>474</v>
      </c>
      <c r="I220" s="241" t="s">
        <v>702</v>
      </c>
      <c r="J220" s="240">
        <v>16</v>
      </c>
      <c r="K220" s="256" t="str">
        <f>VLOOKUP(Ruimtestaat[[#This Row],[Ruimte code]],Ruimtegroepen[#All],2,FALSE)</f>
        <v>Lokaal</v>
      </c>
      <c r="L220" s="213" t="s">
        <v>110</v>
      </c>
      <c r="M220" s="268" t="s">
        <v>644</v>
      </c>
      <c r="N220" s="269">
        <v>7</v>
      </c>
      <c r="O220" s="212"/>
      <c r="P220" s="240" t="str">
        <f>VLOOKUP(Ruimtestaat[[#This Row],[Ruimte code]],Ruimtegroepen[#All],4,FALSE)</f>
        <v>L  (Lesruimte)</v>
      </c>
      <c r="Q220" s="213">
        <v>40</v>
      </c>
      <c r="R220" s="213" t="s">
        <v>17</v>
      </c>
      <c r="S220" s="213">
        <f>IF(Q220&gt;0,IF(RIGHT(Ruimtestaat[[#This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20" s="213">
        <f>IF(S220&gt;0,VLOOKUP($J220,Ruimtegroepen[],3,FALSE)*VLOOKUP($L220,Vloersoorten[],3,FALSE)*VLOOKUP($R220,Frequenties[],3,FALSE)*VLOOKUP($A220,Locaties[],3,FALSE),0)</f>
        <v>0</v>
      </c>
      <c r="U220" s="213">
        <f>Ruimtestaat[[#This Row],[Uitvoeringen werkdagen]]*Ruimtestaat[[#This Row],[Oppervlak (netto)]]</f>
        <v>560</v>
      </c>
      <c r="V220" s="253">
        <f>IF(T220&gt;0,Ruimtestaat[[#This Row],[Prest. (m2 /jaar) werkdagen]]/Ruimtestaat[[#This Row],[Norm (m2/uur) werkdagen]],0)</f>
        <v>0</v>
      </c>
      <c r="W220" s="254">
        <f>Ruimtestaat[[#This Row],[uren / jaar werkdagen]]*Tariefsopbouw!$D$38</f>
        <v>0</v>
      </c>
      <c r="X220" s="33"/>
      <c r="Y220" s="33">
        <f>IF(Ruimtestaat[[#This Row],[Frequentie weekend]]&gt;0,VALUE(LEFT(X220,1))*Q220,0)</f>
        <v>0</v>
      </c>
      <c r="Z220" s="33">
        <f>IF($Y220&gt;0,VLOOKUP($J220,Ruimtegroepen[],3,FALSE)*VLOOKUP($L220,Vloersoorten[],3,FALSE)*VLOOKUP($X220,Frequenties[],3,FALSE)*VLOOKUP(#REF!,Locaties[],3,FALSE),0)</f>
        <v>0</v>
      </c>
      <c r="AA220" s="33"/>
      <c r="AB220" s="33"/>
      <c r="AC220" s="33">
        <f>Ruimtestaat[[#This Row],[uren / jaar weekend]]*Tariefsopbouw!$D$40</f>
        <v>0</v>
      </c>
      <c r="AD220" s="88">
        <f>Ruimtestaat[[#This Row],[Prest. (m2 /jaar) weekend]]+Ruimtestaat[[#This Row],[Prest. (m2 /jaar) werkdagen]]</f>
        <v>560</v>
      </c>
      <c r="AE220" s="88">
        <f>Ruimtestaat[[#This Row],[uren / jaar weekend]]+Ruimtestaat[[#This Row],[uren / jaar werkdagen]]</f>
        <v>0</v>
      </c>
      <c r="AF220" s="89">
        <f>Ruimtestaat[[#This Row],[kosten / jaar weekend]]+Ruimtestaat[[#This Row],[kosten / jaar werkdagen]]</f>
        <v>0</v>
      </c>
    </row>
    <row r="221" spans="1:32" ht="15" customHeight="1">
      <c r="A221" s="213">
        <v>3</v>
      </c>
      <c r="B221" s="200" t="str">
        <f>VLOOKUP(Ruimtestaat[[#This Row],[Code]],Locaties[#All],2,FALSE)</f>
        <v>Karel de Grote College</v>
      </c>
      <c r="C221" s="240" t="str">
        <f>VLOOKUP(Ruimtestaat[[#This Row],[Code]],Locaties[#All],4,FALSE)</f>
        <v>Wilhelminasingel 15</v>
      </c>
      <c r="D221" s="240" t="str">
        <f>VLOOKUP(Ruimtestaat[[#This Row],[Code]],Locaties[#All],5,FALSE)</f>
        <v>6524 AJ</v>
      </c>
      <c r="E221" s="240" t="str">
        <f>VLOOKUP(Ruimtestaat[[#This Row],[Code]],Locaties[#All],6,FALSE)</f>
        <v>Nijmegen</v>
      </c>
      <c r="F221" s="241" t="s">
        <v>761</v>
      </c>
      <c r="G221" s="200" t="s">
        <v>646</v>
      </c>
      <c r="H221" s="200" t="s">
        <v>475</v>
      </c>
      <c r="I221" s="241" t="s">
        <v>702</v>
      </c>
      <c r="J221" s="240">
        <v>16</v>
      </c>
      <c r="K221" s="256" t="str">
        <f>VLOOKUP(Ruimtestaat[[#This Row],[Ruimte code]],Ruimtegroepen[#All],2,FALSE)</f>
        <v>Lokaal</v>
      </c>
      <c r="L221" s="213" t="s">
        <v>110</v>
      </c>
      <c r="M221" s="268" t="s">
        <v>644</v>
      </c>
      <c r="N221" s="269">
        <v>6</v>
      </c>
      <c r="O221" s="212"/>
      <c r="P221" s="240" t="str">
        <f>VLOOKUP(Ruimtestaat[[#This Row],[Ruimte code]],Ruimtegroepen[#All],4,FALSE)</f>
        <v>L  (Lesruimte)</v>
      </c>
      <c r="Q221" s="213">
        <v>40</v>
      </c>
      <c r="R221" s="213" t="s">
        <v>17</v>
      </c>
      <c r="S221" s="213">
        <f>IF(Q221&gt;0,IF(RIGHT(Ruimtestaat[[#This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21" s="213">
        <f>IF(S221&gt;0,VLOOKUP($J221,Ruimtegroepen[],3,FALSE)*VLOOKUP($L221,Vloersoorten[],3,FALSE)*VLOOKUP($R221,Frequenties[],3,FALSE)*VLOOKUP($A221,Locaties[],3,FALSE),0)</f>
        <v>0</v>
      </c>
      <c r="U221" s="213">
        <f>Ruimtestaat[[#This Row],[Uitvoeringen werkdagen]]*Ruimtestaat[[#This Row],[Oppervlak (netto)]]</f>
        <v>480</v>
      </c>
      <c r="V221" s="253">
        <f>IF(T221&gt;0,Ruimtestaat[[#This Row],[Prest. (m2 /jaar) werkdagen]]/Ruimtestaat[[#This Row],[Norm (m2/uur) werkdagen]],0)</f>
        <v>0</v>
      </c>
      <c r="W221" s="254">
        <f>Ruimtestaat[[#This Row],[uren / jaar werkdagen]]*Tariefsopbouw!$D$38</f>
        <v>0</v>
      </c>
      <c r="X221" s="33"/>
      <c r="Y221" s="33">
        <f>IF(Ruimtestaat[[#This Row],[Frequentie weekend]]&gt;0,VALUE(LEFT(X221,1))*Q221,0)</f>
        <v>0</v>
      </c>
      <c r="Z221" s="33">
        <f>IF($Y221&gt;0,VLOOKUP($J221,Ruimtegroepen[],3,FALSE)*VLOOKUP($L221,Vloersoorten[],3,FALSE)*VLOOKUP($X221,Frequenties[],3,FALSE)*VLOOKUP(#REF!,Locaties[],3,FALSE),0)</f>
        <v>0</v>
      </c>
      <c r="AA221" s="33"/>
      <c r="AB221" s="33"/>
      <c r="AC221" s="33">
        <f>Ruimtestaat[[#This Row],[uren / jaar weekend]]*Tariefsopbouw!$D$40</f>
        <v>0</v>
      </c>
      <c r="AD221" s="88">
        <f>Ruimtestaat[[#This Row],[Prest. (m2 /jaar) weekend]]+Ruimtestaat[[#This Row],[Prest. (m2 /jaar) werkdagen]]</f>
        <v>480</v>
      </c>
      <c r="AE221" s="88">
        <f>Ruimtestaat[[#This Row],[uren / jaar weekend]]+Ruimtestaat[[#This Row],[uren / jaar werkdagen]]</f>
        <v>0</v>
      </c>
      <c r="AF221" s="89">
        <f>Ruimtestaat[[#This Row],[kosten / jaar weekend]]+Ruimtestaat[[#This Row],[kosten / jaar werkdagen]]</f>
        <v>0</v>
      </c>
    </row>
    <row r="222" spans="1:32" ht="15" customHeight="1">
      <c r="A222" s="213">
        <v>3</v>
      </c>
      <c r="B222" s="200" t="str">
        <f>VLOOKUP(Ruimtestaat[[#This Row],[Code]],Locaties[#All],2,FALSE)</f>
        <v>Karel de Grote College</v>
      </c>
      <c r="C222" s="240" t="str">
        <f>VLOOKUP(Ruimtestaat[[#This Row],[Code]],Locaties[#All],4,FALSE)</f>
        <v>Wilhelminasingel 15</v>
      </c>
      <c r="D222" s="240" t="str">
        <f>VLOOKUP(Ruimtestaat[[#This Row],[Code]],Locaties[#All],5,FALSE)</f>
        <v>6524 AJ</v>
      </c>
      <c r="E222" s="240" t="str">
        <f>VLOOKUP(Ruimtestaat[[#This Row],[Code]],Locaties[#All],6,FALSE)</f>
        <v>Nijmegen</v>
      </c>
      <c r="F222" s="241" t="s">
        <v>761</v>
      </c>
      <c r="G222" s="200" t="s">
        <v>646</v>
      </c>
      <c r="H222" s="200" t="s">
        <v>744</v>
      </c>
      <c r="I222" s="241" t="s">
        <v>700</v>
      </c>
      <c r="J222" s="200">
        <v>16</v>
      </c>
      <c r="K222" s="256" t="str">
        <f>VLOOKUP(Ruimtestaat[[#This Row],[Ruimte code]],Ruimtegroepen[#All],2,FALSE)</f>
        <v>Lokaal</v>
      </c>
      <c r="L222" s="240" t="s">
        <v>112</v>
      </c>
      <c r="M222" s="268" t="s">
        <v>645</v>
      </c>
      <c r="N222" s="269">
        <v>63</v>
      </c>
      <c r="O222" s="212"/>
      <c r="P222" s="240" t="str">
        <f>VLOOKUP(Ruimtestaat[[#This Row],[Ruimte code]],Ruimtegroepen[#All],4,FALSE)</f>
        <v>L  (Lesruimte)</v>
      </c>
      <c r="Q222" s="213">
        <v>40</v>
      </c>
      <c r="R222" s="213" t="s">
        <v>2</v>
      </c>
      <c r="S222" s="213">
        <f>IF(Q222&gt;0,IF(RIGHT(Ruimtestaat[[#This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22" s="213">
        <f>IF(S222&gt;0,VLOOKUP($J222,Ruimtegroepen[],3,FALSE)*VLOOKUP($L222,Vloersoorten[],3,FALSE)*VLOOKUP($R222,Frequenties[],3,FALSE)*VLOOKUP($A222,Locaties[],3,FALSE),0)</f>
        <v>0</v>
      </c>
      <c r="U222" s="213">
        <f>Ruimtestaat[[#This Row],[Uitvoeringen werkdagen]]*Ruimtestaat[[#This Row],[Oppervlak (netto)]]</f>
        <v>12600</v>
      </c>
      <c r="V222" s="253">
        <f>IF(T222&gt;0,Ruimtestaat[[#This Row],[Prest. (m2 /jaar) werkdagen]]/Ruimtestaat[[#This Row],[Norm (m2/uur) werkdagen]],0)</f>
        <v>0</v>
      </c>
      <c r="W222" s="254">
        <f>Ruimtestaat[[#This Row],[uren / jaar werkdagen]]*Tariefsopbouw!$D$38</f>
        <v>0</v>
      </c>
      <c r="X222" s="33"/>
      <c r="Y222" s="33">
        <f>IF(Ruimtestaat[[#This Row],[Frequentie weekend]]&gt;0,VALUE(LEFT(X222,1))*Q222,0)</f>
        <v>0</v>
      </c>
      <c r="Z222" s="33">
        <f>IF($Y222&gt;0,VLOOKUP($J222,Ruimtegroepen[],3,FALSE)*VLOOKUP($L222,Vloersoorten[],3,FALSE)*VLOOKUP($X222,Frequenties[],3,FALSE)*VLOOKUP(#REF!,Locaties[],3,FALSE),0)</f>
        <v>0</v>
      </c>
      <c r="AA222" s="33"/>
      <c r="AB222" s="33"/>
      <c r="AC222" s="33">
        <f>Ruimtestaat[[#This Row],[uren / jaar weekend]]*Tariefsopbouw!$D$40</f>
        <v>0</v>
      </c>
      <c r="AD222" s="88">
        <f>Ruimtestaat[[#This Row],[Prest. (m2 /jaar) weekend]]+Ruimtestaat[[#This Row],[Prest. (m2 /jaar) werkdagen]]</f>
        <v>12600</v>
      </c>
      <c r="AE222" s="88">
        <f>Ruimtestaat[[#This Row],[uren / jaar weekend]]+Ruimtestaat[[#This Row],[uren / jaar werkdagen]]</f>
        <v>0</v>
      </c>
      <c r="AF222" s="89">
        <f>Ruimtestaat[[#This Row],[kosten / jaar weekend]]+Ruimtestaat[[#This Row],[kosten / jaar werkdagen]]</f>
        <v>0</v>
      </c>
    </row>
    <row r="223" spans="1:32" ht="15" customHeight="1">
      <c r="A223" s="213">
        <v>3</v>
      </c>
      <c r="B223" s="200" t="str">
        <f>VLOOKUP(Ruimtestaat[[#This Row],[Code]],Locaties[#All],2,FALSE)</f>
        <v>Karel de Grote College</v>
      </c>
      <c r="C223" s="240" t="str">
        <f>VLOOKUP(Ruimtestaat[[#This Row],[Code]],Locaties[#All],4,FALSE)</f>
        <v>Wilhelminasingel 15</v>
      </c>
      <c r="D223" s="240" t="str">
        <f>VLOOKUP(Ruimtestaat[[#This Row],[Code]],Locaties[#All],5,FALSE)</f>
        <v>6524 AJ</v>
      </c>
      <c r="E223" s="240" t="str">
        <f>VLOOKUP(Ruimtestaat[[#This Row],[Code]],Locaties[#All],6,FALSE)</f>
        <v>Nijmegen</v>
      </c>
      <c r="F223" s="241" t="s">
        <v>761</v>
      </c>
      <c r="G223" s="200" t="s">
        <v>646</v>
      </c>
      <c r="H223" s="200" t="s">
        <v>745</v>
      </c>
      <c r="I223" s="241" t="s">
        <v>703</v>
      </c>
      <c r="J223" s="240">
        <v>21</v>
      </c>
      <c r="K223" s="256" t="str">
        <f>VLOOKUP(Ruimtestaat[[#This Row],[Ruimte code]],Ruimtegroepen[#All],2,FALSE)</f>
        <v>Niet in onderhoud</v>
      </c>
      <c r="L223" s="240" t="s">
        <v>111</v>
      </c>
      <c r="M223" s="268" t="s">
        <v>643</v>
      </c>
      <c r="N223" s="269"/>
      <c r="O223" s="212">
        <v>7</v>
      </c>
      <c r="P223" s="240" t="str">
        <f>VLOOKUP(Ruimtestaat[[#This Row],[Ruimte code]],Ruimtegroepen[#All],4,FALSE)</f>
        <v>Niet in onderhoud</v>
      </c>
      <c r="Q223" s="213"/>
      <c r="R223" s="213"/>
      <c r="S223" s="213">
        <f>IF(Q223&gt;0,IF(RIGHT(Ruimtestaat[[#This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3" s="213">
        <f>IF(S223&gt;0,VLOOKUP($J223,Ruimtegroepen[],3,FALSE)*VLOOKUP($L223,Vloersoorten[],3,FALSE)*VLOOKUP($R223,Frequenties[],3,FALSE)*VLOOKUP($A223,Locaties[],3,FALSE),0)</f>
        <v>0</v>
      </c>
      <c r="U223" s="213">
        <f>Ruimtestaat[[#This Row],[Uitvoeringen werkdagen]]*Ruimtestaat[[#This Row],[Oppervlak (netto)]]</f>
        <v>0</v>
      </c>
      <c r="V223" s="253">
        <f>IF(T223&gt;0,Ruimtestaat[[#This Row],[Prest. (m2 /jaar) werkdagen]]/Ruimtestaat[[#This Row],[Norm (m2/uur) werkdagen]],0)</f>
        <v>0</v>
      </c>
      <c r="W223" s="254">
        <f>Ruimtestaat[[#This Row],[uren / jaar werkdagen]]*Tariefsopbouw!$D$38</f>
        <v>0</v>
      </c>
      <c r="X223" s="33"/>
      <c r="Y223" s="33">
        <f>IF(Ruimtestaat[[#This Row],[Frequentie weekend]]&gt;0,VALUE(LEFT(X223,1))*Q223,0)</f>
        <v>0</v>
      </c>
      <c r="Z223" s="33">
        <f>IF($Y223&gt;0,VLOOKUP($J223,Ruimtegroepen[],3,FALSE)*VLOOKUP($L223,Vloersoorten[],3,FALSE)*VLOOKUP($X223,Frequenties[],3,FALSE)*VLOOKUP(#REF!,Locaties[],3,FALSE),0)</f>
        <v>0</v>
      </c>
      <c r="AA223" s="33"/>
      <c r="AB223" s="33"/>
      <c r="AC223" s="33">
        <f>Ruimtestaat[[#This Row],[uren / jaar weekend]]*Tariefsopbouw!$D$40</f>
        <v>0</v>
      </c>
      <c r="AD223" s="88">
        <f>Ruimtestaat[[#This Row],[Prest. (m2 /jaar) weekend]]+Ruimtestaat[[#This Row],[Prest. (m2 /jaar) werkdagen]]</f>
        <v>0</v>
      </c>
      <c r="AE223" s="88">
        <f>Ruimtestaat[[#This Row],[uren / jaar weekend]]+Ruimtestaat[[#This Row],[uren / jaar werkdagen]]</f>
        <v>0</v>
      </c>
      <c r="AF223" s="89">
        <f>Ruimtestaat[[#This Row],[kosten / jaar weekend]]+Ruimtestaat[[#This Row],[kosten / jaar werkdagen]]</f>
        <v>0</v>
      </c>
    </row>
    <row r="224" spans="1:32" ht="15" customHeight="1">
      <c r="A224" s="213">
        <v>3</v>
      </c>
      <c r="B224" s="200" t="str">
        <f>VLOOKUP(Ruimtestaat[[#This Row],[Code]],Locaties[#All],2,FALSE)</f>
        <v>Karel de Grote College</v>
      </c>
      <c r="C224" s="240" t="str">
        <f>VLOOKUP(Ruimtestaat[[#This Row],[Code]],Locaties[#All],4,FALSE)</f>
        <v>Wilhelminasingel 15</v>
      </c>
      <c r="D224" s="240" t="str">
        <f>VLOOKUP(Ruimtestaat[[#This Row],[Code]],Locaties[#All],5,FALSE)</f>
        <v>6524 AJ</v>
      </c>
      <c r="E224" s="240" t="str">
        <f>VLOOKUP(Ruimtestaat[[#This Row],[Code]],Locaties[#All],6,FALSE)</f>
        <v>Nijmegen</v>
      </c>
      <c r="F224" s="241" t="s">
        <v>761</v>
      </c>
      <c r="G224" s="200" t="s">
        <v>646</v>
      </c>
      <c r="H224" s="200" t="s">
        <v>746</v>
      </c>
      <c r="I224" s="241" t="s">
        <v>704</v>
      </c>
      <c r="J224" s="240">
        <v>21</v>
      </c>
      <c r="K224" s="256" t="str">
        <f>VLOOKUP(Ruimtestaat[[#This Row],[Ruimte code]],Ruimtegroepen[#All],2,FALSE)</f>
        <v>Niet in onderhoud</v>
      </c>
      <c r="L224" s="240" t="s">
        <v>111</v>
      </c>
      <c r="M224" s="268" t="s">
        <v>643</v>
      </c>
      <c r="N224" s="269"/>
      <c r="O224" s="212">
        <v>22</v>
      </c>
      <c r="P224" s="240" t="str">
        <f>VLOOKUP(Ruimtestaat[[#This Row],[Ruimte code]],Ruimtegroepen[#All],4,FALSE)</f>
        <v>Niet in onderhoud</v>
      </c>
      <c r="Q224" s="213"/>
      <c r="R224" s="213"/>
      <c r="S224" s="213">
        <f>IF(Q224&gt;0,IF(RIGHT(Ruimtestaat[[#This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4" s="213">
        <f>IF(S224&gt;0,VLOOKUP($J224,Ruimtegroepen[],3,FALSE)*VLOOKUP($L224,Vloersoorten[],3,FALSE)*VLOOKUP($R224,Frequenties[],3,FALSE)*VLOOKUP($A224,Locaties[],3,FALSE),0)</f>
        <v>0</v>
      </c>
      <c r="U224" s="213">
        <f>Ruimtestaat[[#This Row],[Uitvoeringen werkdagen]]*Ruimtestaat[[#This Row],[Oppervlak (netto)]]</f>
        <v>0</v>
      </c>
      <c r="V224" s="253">
        <f>IF(T224&gt;0,Ruimtestaat[[#This Row],[Prest. (m2 /jaar) werkdagen]]/Ruimtestaat[[#This Row],[Norm (m2/uur) werkdagen]],0)</f>
        <v>0</v>
      </c>
      <c r="W224" s="254">
        <f>Ruimtestaat[[#This Row],[uren / jaar werkdagen]]*Tariefsopbouw!$D$38</f>
        <v>0</v>
      </c>
      <c r="X224" s="33"/>
      <c r="Y224" s="33">
        <f>IF(Ruimtestaat[[#This Row],[Frequentie weekend]]&gt;0,VALUE(LEFT(X224,1))*Q224,0)</f>
        <v>0</v>
      </c>
      <c r="Z224" s="33">
        <f>IF($Y224&gt;0,VLOOKUP($J224,Ruimtegroepen[],3,FALSE)*VLOOKUP($L224,Vloersoorten[],3,FALSE)*VLOOKUP($X224,Frequenties[],3,FALSE)*VLOOKUP(#REF!,Locaties[],3,FALSE),0)</f>
        <v>0</v>
      </c>
      <c r="AA224" s="33"/>
      <c r="AB224" s="33"/>
      <c r="AC224" s="33">
        <f>Ruimtestaat[[#This Row],[uren / jaar weekend]]*Tariefsopbouw!$D$40</f>
        <v>0</v>
      </c>
      <c r="AD224" s="88">
        <f>Ruimtestaat[[#This Row],[Prest. (m2 /jaar) weekend]]+Ruimtestaat[[#This Row],[Prest. (m2 /jaar) werkdagen]]</f>
        <v>0</v>
      </c>
      <c r="AE224" s="88">
        <f>Ruimtestaat[[#This Row],[uren / jaar weekend]]+Ruimtestaat[[#This Row],[uren / jaar werkdagen]]</f>
        <v>0</v>
      </c>
      <c r="AF224" s="89">
        <f>Ruimtestaat[[#This Row],[kosten / jaar weekend]]+Ruimtestaat[[#This Row],[kosten / jaar werkdagen]]</f>
        <v>0</v>
      </c>
    </row>
    <row r="225" spans="1:32" ht="15" customHeight="1">
      <c r="A225" s="213">
        <v>3</v>
      </c>
      <c r="B225" s="200" t="str">
        <f>VLOOKUP(Ruimtestaat[[#This Row],[Code]],Locaties[#All],2,FALSE)</f>
        <v>Karel de Grote College</v>
      </c>
      <c r="C225" s="240" t="str">
        <f>VLOOKUP(Ruimtestaat[[#This Row],[Code]],Locaties[#All],4,FALSE)</f>
        <v>Wilhelminasingel 15</v>
      </c>
      <c r="D225" s="240" t="str">
        <f>VLOOKUP(Ruimtestaat[[#This Row],[Code]],Locaties[#All],5,FALSE)</f>
        <v>6524 AJ</v>
      </c>
      <c r="E225" s="240" t="str">
        <f>VLOOKUP(Ruimtestaat[[#This Row],[Code]],Locaties[#All],6,FALSE)</f>
        <v>Nijmegen</v>
      </c>
      <c r="F225" s="241" t="s">
        <v>761</v>
      </c>
      <c r="G225" s="200" t="s">
        <v>646</v>
      </c>
      <c r="H225" s="200" t="s">
        <v>747</v>
      </c>
      <c r="I225" s="241" t="s">
        <v>641</v>
      </c>
      <c r="J225" s="240">
        <v>21</v>
      </c>
      <c r="K225" s="256" t="str">
        <f>VLOOKUP(Ruimtestaat[[#This Row],[Ruimte code]],Ruimtegroepen[#All],2,FALSE)</f>
        <v>Niet in onderhoud</v>
      </c>
      <c r="L225" s="240" t="s">
        <v>111</v>
      </c>
      <c r="M225" s="268" t="s">
        <v>643</v>
      </c>
      <c r="N225" s="269"/>
      <c r="O225" s="212">
        <v>7</v>
      </c>
      <c r="P225" s="240" t="str">
        <f>VLOOKUP(Ruimtestaat[[#This Row],[Ruimte code]],Ruimtegroepen[#All],4,FALSE)</f>
        <v>Niet in onderhoud</v>
      </c>
      <c r="Q225" s="213"/>
      <c r="R225" s="213"/>
      <c r="S225" s="213">
        <f>IF(Q225&gt;0,IF(RIGHT(Ruimtestaat[[#This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5" s="213">
        <f>IF(S225&gt;0,VLOOKUP($J225,Ruimtegroepen[],3,FALSE)*VLOOKUP($L225,Vloersoorten[],3,FALSE)*VLOOKUP($R225,Frequenties[],3,FALSE)*VLOOKUP($A225,Locaties[],3,FALSE),0)</f>
        <v>0</v>
      </c>
      <c r="U225" s="213">
        <f>Ruimtestaat[[#This Row],[Uitvoeringen werkdagen]]*Ruimtestaat[[#This Row],[Oppervlak (netto)]]</f>
        <v>0</v>
      </c>
      <c r="V225" s="253">
        <f>IF(T225&gt;0,Ruimtestaat[[#This Row],[Prest. (m2 /jaar) werkdagen]]/Ruimtestaat[[#This Row],[Norm (m2/uur) werkdagen]],0)</f>
        <v>0</v>
      </c>
      <c r="W225" s="254">
        <f>Ruimtestaat[[#This Row],[uren / jaar werkdagen]]*Tariefsopbouw!$D$38</f>
        <v>0</v>
      </c>
      <c r="X225" s="33"/>
      <c r="Y225" s="33">
        <f>IF(Ruimtestaat[[#This Row],[Frequentie weekend]]&gt;0,VALUE(LEFT(X225,1))*Q225,0)</f>
        <v>0</v>
      </c>
      <c r="Z225" s="33">
        <f>IF($Y225&gt;0,VLOOKUP($J225,Ruimtegroepen[],3,FALSE)*VLOOKUP($L225,Vloersoorten[],3,FALSE)*VLOOKUP($X225,Frequenties[],3,FALSE)*VLOOKUP(#REF!,Locaties[],3,FALSE),0)</f>
        <v>0</v>
      </c>
      <c r="AA225" s="33"/>
      <c r="AB225" s="33"/>
      <c r="AC225" s="33">
        <f>Ruimtestaat[[#This Row],[uren / jaar weekend]]*Tariefsopbouw!$D$40</f>
        <v>0</v>
      </c>
      <c r="AD225" s="88">
        <f>Ruimtestaat[[#This Row],[Prest. (m2 /jaar) weekend]]+Ruimtestaat[[#This Row],[Prest. (m2 /jaar) werkdagen]]</f>
        <v>0</v>
      </c>
      <c r="AE225" s="88">
        <f>Ruimtestaat[[#This Row],[uren / jaar weekend]]+Ruimtestaat[[#This Row],[uren / jaar werkdagen]]</f>
        <v>0</v>
      </c>
      <c r="AF225" s="89">
        <f>Ruimtestaat[[#This Row],[kosten / jaar weekend]]+Ruimtestaat[[#This Row],[kosten / jaar werkdagen]]</f>
        <v>0</v>
      </c>
    </row>
    <row r="226" spans="1:32" ht="15" customHeight="1">
      <c r="A226" s="213">
        <v>3</v>
      </c>
      <c r="B226" s="200" t="str">
        <f>VLOOKUP(Ruimtestaat[[#This Row],[Code]],Locaties[#All],2,FALSE)</f>
        <v>Karel de Grote College</v>
      </c>
      <c r="C226" s="240" t="str">
        <f>VLOOKUP(Ruimtestaat[[#This Row],[Code]],Locaties[#All],4,FALSE)</f>
        <v>Wilhelminasingel 15</v>
      </c>
      <c r="D226" s="240" t="str">
        <f>VLOOKUP(Ruimtestaat[[#This Row],[Code]],Locaties[#All],5,FALSE)</f>
        <v>6524 AJ</v>
      </c>
      <c r="E226" s="240" t="str">
        <f>VLOOKUP(Ruimtestaat[[#This Row],[Code]],Locaties[#All],6,FALSE)</f>
        <v>Nijmegen</v>
      </c>
      <c r="F226" s="241" t="s">
        <v>761</v>
      </c>
      <c r="G226" s="200" t="s">
        <v>646</v>
      </c>
      <c r="H226" s="200" t="s">
        <v>748</v>
      </c>
      <c r="I226" s="241" t="s">
        <v>705</v>
      </c>
      <c r="J226" s="240">
        <v>21</v>
      </c>
      <c r="K226" s="256" t="str">
        <f>VLOOKUP(Ruimtestaat[[#This Row],[Ruimte code]],Ruimtegroepen[#All],2,FALSE)</f>
        <v>Niet in onderhoud</v>
      </c>
      <c r="L226" s="240" t="s">
        <v>111</v>
      </c>
      <c r="M226" s="268" t="s">
        <v>643</v>
      </c>
      <c r="N226" s="269"/>
      <c r="O226" s="212">
        <v>160</v>
      </c>
      <c r="P226" s="240" t="str">
        <f>VLOOKUP(Ruimtestaat[[#This Row],[Ruimte code]],Ruimtegroepen[#All],4,FALSE)</f>
        <v>Niet in onderhoud</v>
      </c>
      <c r="Q226" s="213"/>
      <c r="R226" s="213"/>
      <c r="S226" s="213">
        <f>IF(Q226&gt;0,IF(RIGHT(Ruimtestaat[[#This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6" s="213">
        <f>IF(S226&gt;0,VLOOKUP($J226,Ruimtegroepen[],3,FALSE)*VLOOKUP($L226,Vloersoorten[],3,FALSE)*VLOOKUP($R226,Frequenties[],3,FALSE)*VLOOKUP($A226,Locaties[],3,FALSE),0)</f>
        <v>0</v>
      </c>
      <c r="U226" s="213">
        <f>Ruimtestaat[[#This Row],[Uitvoeringen werkdagen]]*Ruimtestaat[[#This Row],[Oppervlak (netto)]]</f>
        <v>0</v>
      </c>
      <c r="V226" s="253">
        <f>IF(T226&gt;0,Ruimtestaat[[#This Row],[Prest. (m2 /jaar) werkdagen]]/Ruimtestaat[[#This Row],[Norm (m2/uur) werkdagen]],0)</f>
        <v>0</v>
      </c>
      <c r="W226" s="254">
        <f>Ruimtestaat[[#This Row],[uren / jaar werkdagen]]*Tariefsopbouw!$D$38</f>
        <v>0</v>
      </c>
      <c r="X226" s="33"/>
      <c r="Y226" s="33">
        <f>IF(Ruimtestaat[[#This Row],[Frequentie weekend]]&gt;0,VALUE(LEFT(X226,1))*Q226,0)</f>
        <v>0</v>
      </c>
      <c r="Z226" s="33">
        <f>IF($Y226&gt;0,VLOOKUP($J226,Ruimtegroepen[],3,FALSE)*VLOOKUP($L226,Vloersoorten[],3,FALSE)*VLOOKUP($X226,Frequenties[],3,FALSE)*VLOOKUP(#REF!,Locaties[],3,FALSE),0)</f>
        <v>0</v>
      </c>
      <c r="AA226" s="33"/>
      <c r="AB226" s="33"/>
      <c r="AC226" s="33">
        <f>Ruimtestaat[[#This Row],[uren / jaar weekend]]*Tariefsopbouw!$D$40</f>
        <v>0</v>
      </c>
      <c r="AD226" s="88">
        <f>Ruimtestaat[[#This Row],[Prest. (m2 /jaar) weekend]]+Ruimtestaat[[#This Row],[Prest. (m2 /jaar) werkdagen]]</f>
        <v>0</v>
      </c>
      <c r="AE226" s="88">
        <f>Ruimtestaat[[#This Row],[uren / jaar weekend]]+Ruimtestaat[[#This Row],[uren / jaar werkdagen]]</f>
        <v>0</v>
      </c>
      <c r="AF226" s="89">
        <f>Ruimtestaat[[#This Row],[kosten / jaar weekend]]+Ruimtestaat[[#This Row],[kosten / jaar werkdagen]]</f>
        <v>0</v>
      </c>
    </row>
    <row r="227" spans="1:32" ht="15" customHeight="1">
      <c r="A227" s="213">
        <v>3</v>
      </c>
      <c r="B227" s="200" t="str">
        <f>VLOOKUP(Ruimtestaat[[#This Row],[Code]],Locaties[#All],2,FALSE)</f>
        <v>Karel de Grote College</v>
      </c>
      <c r="C227" s="240" t="str">
        <f>VLOOKUP(Ruimtestaat[[#This Row],[Code]],Locaties[#All],4,FALSE)</f>
        <v>Wilhelminasingel 15</v>
      </c>
      <c r="D227" s="240" t="str">
        <f>VLOOKUP(Ruimtestaat[[#This Row],[Code]],Locaties[#All],5,FALSE)</f>
        <v>6524 AJ</v>
      </c>
      <c r="E227" s="240" t="str">
        <f>VLOOKUP(Ruimtestaat[[#This Row],[Code]],Locaties[#All],6,FALSE)</f>
        <v>Nijmegen</v>
      </c>
      <c r="F227" s="241" t="s">
        <v>848</v>
      </c>
      <c r="G227" s="200" t="s">
        <v>646</v>
      </c>
      <c r="H227" s="200" t="s">
        <v>749</v>
      </c>
      <c r="I227" s="241" t="s">
        <v>706</v>
      </c>
      <c r="J227" s="240">
        <v>13</v>
      </c>
      <c r="K227" s="256" t="str">
        <f>VLOOKUP(Ruimtestaat[[#This Row],[Ruimte code]],Ruimtegroepen[#All],2,FALSE)</f>
        <v>Praktijklokalen</v>
      </c>
      <c r="L227" s="213" t="s">
        <v>110</v>
      </c>
      <c r="M227" s="268" t="s">
        <v>644</v>
      </c>
      <c r="N227" s="269">
        <v>66.599999999999994</v>
      </c>
      <c r="O227" s="212"/>
      <c r="P227" s="240" t="str">
        <f>VLOOKUP(Ruimtestaat[[#This Row],[Ruimte code]],Ruimtegroepen[#All],4,FALSE)</f>
        <v>L  (Lesruimte)</v>
      </c>
      <c r="Q227" s="213">
        <v>40</v>
      </c>
      <c r="R227" s="213" t="s">
        <v>2</v>
      </c>
      <c r="S227" s="213">
        <f>IF(Q227&gt;0,IF(RIGHT(Ruimtestaat[[#This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27" s="213">
        <f>IF(S227&gt;0,VLOOKUP($J227,Ruimtegroepen[],3,FALSE)*VLOOKUP($L227,Vloersoorten[],3,FALSE)*VLOOKUP($R227,Frequenties[],3,FALSE)*VLOOKUP($A227,Locaties[],3,FALSE),0)</f>
        <v>0</v>
      </c>
      <c r="U227" s="213">
        <f>Ruimtestaat[[#This Row],[Uitvoeringen werkdagen]]*Ruimtestaat[[#This Row],[Oppervlak (netto)]]</f>
        <v>13319.999999999998</v>
      </c>
      <c r="V227" s="253">
        <f>IF(T227&gt;0,Ruimtestaat[[#This Row],[Prest. (m2 /jaar) werkdagen]]/Ruimtestaat[[#This Row],[Norm (m2/uur) werkdagen]],0)</f>
        <v>0</v>
      </c>
      <c r="W227" s="254">
        <f>Ruimtestaat[[#This Row],[uren / jaar werkdagen]]*Tariefsopbouw!$D$38</f>
        <v>0</v>
      </c>
      <c r="X227" s="33"/>
      <c r="Y227" s="33">
        <f>IF(Ruimtestaat[[#This Row],[Frequentie weekend]]&gt;0,VALUE(LEFT(X227,1))*Q227,0)</f>
        <v>0</v>
      </c>
      <c r="Z227" s="33">
        <f>IF($Y227&gt;0,VLOOKUP($J227,Ruimtegroepen[],3,FALSE)*VLOOKUP($L227,Vloersoorten[],3,FALSE)*VLOOKUP($X227,Frequenties[],3,FALSE)*VLOOKUP(#REF!,Locaties[],3,FALSE),0)</f>
        <v>0</v>
      </c>
      <c r="AA227" s="33"/>
      <c r="AB227" s="33"/>
      <c r="AC227" s="33">
        <f>Ruimtestaat[[#This Row],[uren / jaar weekend]]*Tariefsopbouw!$D$40</f>
        <v>0</v>
      </c>
      <c r="AD227" s="88">
        <f>Ruimtestaat[[#This Row],[Prest. (m2 /jaar) weekend]]+Ruimtestaat[[#This Row],[Prest. (m2 /jaar) werkdagen]]</f>
        <v>13319.999999999998</v>
      </c>
      <c r="AE227" s="88">
        <f>Ruimtestaat[[#This Row],[uren / jaar weekend]]+Ruimtestaat[[#This Row],[uren / jaar werkdagen]]</f>
        <v>0</v>
      </c>
      <c r="AF227" s="89">
        <f>Ruimtestaat[[#This Row],[kosten / jaar weekend]]+Ruimtestaat[[#This Row],[kosten / jaar werkdagen]]</f>
        <v>0</v>
      </c>
    </row>
    <row r="228" spans="1:32" ht="15" customHeight="1">
      <c r="A228" s="213">
        <v>3</v>
      </c>
      <c r="B228" s="200" t="str">
        <f>VLOOKUP(Ruimtestaat[[#This Row],[Code]],Locaties[#All],2,FALSE)</f>
        <v>Karel de Grote College</v>
      </c>
      <c r="C228" s="240" t="str">
        <f>VLOOKUP(Ruimtestaat[[#This Row],[Code]],Locaties[#All],4,FALSE)</f>
        <v>Wilhelminasingel 15</v>
      </c>
      <c r="D228" s="240" t="str">
        <f>VLOOKUP(Ruimtestaat[[#This Row],[Code]],Locaties[#All],5,FALSE)</f>
        <v>6524 AJ</v>
      </c>
      <c r="E228" s="240" t="str">
        <f>VLOOKUP(Ruimtestaat[[#This Row],[Code]],Locaties[#All],6,FALSE)</f>
        <v>Nijmegen</v>
      </c>
      <c r="F228" s="241" t="s">
        <v>848</v>
      </c>
      <c r="G228" s="200" t="s">
        <v>646</v>
      </c>
      <c r="H228" s="200" t="s">
        <v>750</v>
      </c>
      <c r="I228" s="241" t="s">
        <v>707</v>
      </c>
      <c r="J228" s="240">
        <v>21</v>
      </c>
      <c r="K228" s="256" t="str">
        <f>VLOOKUP(Ruimtestaat[[#This Row],[Ruimte code]],Ruimtegroepen[#All],2,FALSE)</f>
        <v>Niet in onderhoud</v>
      </c>
      <c r="L228" s="213" t="s">
        <v>110</v>
      </c>
      <c r="M228" s="268" t="s">
        <v>644</v>
      </c>
      <c r="N228" s="269"/>
      <c r="O228" s="212">
        <v>14.4</v>
      </c>
      <c r="P228" s="240" t="str">
        <f>VLOOKUP(Ruimtestaat[[#This Row],[Ruimte code]],Ruimtegroepen[#All],4,FALSE)</f>
        <v>Niet in onderhoud</v>
      </c>
      <c r="Q228" s="213">
        <v>0</v>
      </c>
      <c r="R228" s="213"/>
      <c r="S228" s="213">
        <f>IF(Q228&gt;0,IF(RIGHT(Ruimtestaat[[#This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28" s="213">
        <f>IF(S228&gt;0,VLOOKUP($J228,Ruimtegroepen[],3,FALSE)*VLOOKUP($L228,Vloersoorten[],3,FALSE)*VLOOKUP($R228,Frequenties[],3,FALSE)*VLOOKUP($A228,Locaties[],3,FALSE),0)</f>
        <v>0</v>
      </c>
      <c r="U228" s="213">
        <f>Ruimtestaat[[#This Row],[Uitvoeringen werkdagen]]*Ruimtestaat[[#This Row],[Oppervlak (netto)]]</f>
        <v>0</v>
      </c>
      <c r="V228" s="253">
        <f>IF(T228&gt;0,Ruimtestaat[[#This Row],[Prest. (m2 /jaar) werkdagen]]/Ruimtestaat[[#This Row],[Norm (m2/uur) werkdagen]],0)</f>
        <v>0</v>
      </c>
      <c r="W228" s="254">
        <f>Ruimtestaat[[#This Row],[uren / jaar werkdagen]]*Tariefsopbouw!$D$38</f>
        <v>0</v>
      </c>
      <c r="X228" s="33"/>
      <c r="Y228" s="33">
        <f>IF(Ruimtestaat[[#This Row],[Frequentie weekend]]&gt;0,VALUE(LEFT(X228,1))*Q228,0)</f>
        <v>0</v>
      </c>
      <c r="Z228" s="33">
        <f>IF($Y228&gt;0,VLOOKUP($J228,Ruimtegroepen[],3,FALSE)*VLOOKUP($L228,Vloersoorten[],3,FALSE)*VLOOKUP($X228,Frequenties[],3,FALSE)*VLOOKUP(#REF!,Locaties[],3,FALSE),0)</f>
        <v>0</v>
      </c>
      <c r="AA228" s="33"/>
      <c r="AB228" s="33"/>
      <c r="AC228" s="33">
        <f>Ruimtestaat[[#This Row],[uren / jaar weekend]]*Tariefsopbouw!$D$40</f>
        <v>0</v>
      </c>
      <c r="AD228" s="88">
        <f>Ruimtestaat[[#This Row],[Prest. (m2 /jaar) weekend]]+Ruimtestaat[[#This Row],[Prest. (m2 /jaar) werkdagen]]</f>
        <v>0</v>
      </c>
      <c r="AE228" s="88">
        <f>Ruimtestaat[[#This Row],[uren / jaar weekend]]+Ruimtestaat[[#This Row],[uren / jaar werkdagen]]</f>
        <v>0</v>
      </c>
      <c r="AF228" s="89">
        <f>Ruimtestaat[[#This Row],[kosten / jaar weekend]]+Ruimtestaat[[#This Row],[kosten / jaar werkdagen]]</f>
        <v>0</v>
      </c>
    </row>
    <row r="229" spans="1:32" ht="15" customHeight="1">
      <c r="A229" s="213">
        <v>3</v>
      </c>
      <c r="B229" s="200" t="str">
        <f>VLOOKUP(Ruimtestaat[[#This Row],[Code]],Locaties[#All],2,FALSE)</f>
        <v>Karel de Grote College</v>
      </c>
      <c r="C229" s="240" t="str">
        <f>VLOOKUP(Ruimtestaat[[#This Row],[Code]],Locaties[#All],4,FALSE)</f>
        <v>Wilhelminasingel 15</v>
      </c>
      <c r="D229" s="240" t="str">
        <f>VLOOKUP(Ruimtestaat[[#This Row],[Code]],Locaties[#All],5,FALSE)</f>
        <v>6524 AJ</v>
      </c>
      <c r="E229" s="240" t="str">
        <f>VLOOKUP(Ruimtestaat[[#This Row],[Code]],Locaties[#All],6,FALSE)</f>
        <v>Nijmegen</v>
      </c>
      <c r="F229" s="241" t="s">
        <v>848</v>
      </c>
      <c r="G229" s="200" t="s">
        <v>646</v>
      </c>
      <c r="H229" s="200" t="s">
        <v>751</v>
      </c>
      <c r="I229" s="241" t="s">
        <v>673</v>
      </c>
      <c r="J229" s="200">
        <v>16</v>
      </c>
      <c r="K229" s="256" t="str">
        <f>VLOOKUP(Ruimtestaat[[#This Row],[Ruimte code]],Ruimtegroepen[#All],2,FALSE)</f>
        <v>Lokaal</v>
      </c>
      <c r="L229" s="213" t="s">
        <v>110</v>
      </c>
      <c r="M229" s="268" t="s">
        <v>644</v>
      </c>
      <c r="N229" s="269">
        <v>63.4</v>
      </c>
      <c r="O229" s="212"/>
      <c r="P229" s="240" t="str">
        <f>VLOOKUP(Ruimtestaat[[#This Row],[Ruimte code]],Ruimtegroepen[#All],4,FALSE)</f>
        <v>L  (Lesruimte)</v>
      </c>
      <c r="Q229" s="213">
        <v>40</v>
      </c>
      <c r="R229" s="213" t="s">
        <v>2</v>
      </c>
      <c r="S229" s="213">
        <f>IF(Q229&gt;0,IF(RIGHT(Ruimtestaat[[#This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29" s="213">
        <f>IF(S229&gt;0,VLOOKUP($J229,Ruimtegroepen[],3,FALSE)*VLOOKUP($L229,Vloersoorten[],3,FALSE)*VLOOKUP($R229,Frequenties[],3,FALSE)*VLOOKUP($A229,Locaties[],3,FALSE),0)</f>
        <v>0</v>
      </c>
      <c r="U229" s="213">
        <f>Ruimtestaat[[#This Row],[Uitvoeringen werkdagen]]*Ruimtestaat[[#This Row],[Oppervlak (netto)]]</f>
        <v>12680</v>
      </c>
      <c r="V229" s="253">
        <f>IF(T229&gt;0,Ruimtestaat[[#This Row],[Prest. (m2 /jaar) werkdagen]]/Ruimtestaat[[#This Row],[Norm (m2/uur) werkdagen]],0)</f>
        <v>0</v>
      </c>
      <c r="W229" s="254">
        <f>Ruimtestaat[[#This Row],[uren / jaar werkdagen]]*Tariefsopbouw!$D$38</f>
        <v>0</v>
      </c>
      <c r="X229" s="33"/>
      <c r="Y229" s="33">
        <f>IF(Ruimtestaat[[#This Row],[Frequentie weekend]]&gt;0,VALUE(LEFT(X229,1))*Q229,0)</f>
        <v>0</v>
      </c>
      <c r="Z229" s="33">
        <f>IF($Y229&gt;0,VLOOKUP($J229,Ruimtegroepen[],3,FALSE)*VLOOKUP($L229,Vloersoorten[],3,FALSE)*VLOOKUP($X229,Frequenties[],3,FALSE)*VLOOKUP(#REF!,Locaties[],3,FALSE),0)</f>
        <v>0</v>
      </c>
      <c r="AA229" s="33"/>
      <c r="AB229" s="33"/>
      <c r="AC229" s="33">
        <f>Ruimtestaat[[#This Row],[uren / jaar weekend]]*Tariefsopbouw!$D$40</f>
        <v>0</v>
      </c>
      <c r="AD229" s="88">
        <f>Ruimtestaat[[#This Row],[Prest. (m2 /jaar) weekend]]+Ruimtestaat[[#This Row],[Prest. (m2 /jaar) werkdagen]]</f>
        <v>12680</v>
      </c>
      <c r="AE229" s="88">
        <f>Ruimtestaat[[#This Row],[uren / jaar weekend]]+Ruimtestaat[[#This Row],[uren / jaar werkdagen]]</f>
        <v>0</v>
      </c>
      <c r="AF229" s="89">
        <f>Ruimtestaat[[#This Row],[kosten / jaar weekend]]+Ruimtestaat[[#This Row],[kosten / jaar werkdagen]]</f>
        <v>0</v>
      </c>
    </row>
    <row r="230" spans="1:32" ht="15" customHeight="1">
      <c r="A230" s="213">
        <v>3</v>
      </c>
      <c r="B230" s="200" t="str">
        <f>VLOOKUP(Ruimtestaat[[#This Row],[Code]],Locaties[#All],2,FALSE)</f>
        <v>Karel de Grote College</v>
      </c>
      <c r="C230" s="240" t="str">
        <f>VLOOKUP(Ruimtestaat[[#This Row],[Code]],Locaties[#All],4,FALSE)</f>
        <v>Wilhelminasingel 15</v>
      </c>
      <c r="D230" s="240" t="str">
        <f>VLOOKUP(Ruimtestaat[[#This Row],[Code]],Locaties[#All],5,FALSE)</f>
        <v>6524 AJ</v>
      </c>
      <c r="E230" s="240" t="str">
        <f>VLOOKUP(Ruimtestaat[[#This Row],[Code]],Locaties[#All],6,FALSE)</f>
        <v>Nijmegen</v>
      </c>
      <c r="F230" s="241" t="s">
        <v>848</v>
      </c>
      <c r="G230" s="200" t="s">
        <v>646</v>
      </c>
      <c r="H230" s="200" t="s">
        <v>752</v>
      </c>
      <c r="I230" s="241" t="s">
        <v>673</v>
      </c>
      <c r="J230" s="200">
        <v>16</v>
      </c>
      <c r="K230" s="256" t="str">
        <f>VLOOKUP(Ruimtestaat[[#This Row],[Ruimte code]],Ruimtegroepen[#All],2,FALSE)</f>
        <v>Lokaal</v>
      </c>
      <c r="L230" s="213" t="s">
        <v>110</v>
      </c>
      <c r="M230" s="268" t="s">
        <v>644</v>
      </c>
      <c r="N230" s="269">
        <v>63.4</v>
      </c>
      <c r="O230" s="212"/>
      <c r="P230" s="240" t="str">
        <f>VLOOKUP(Ruimtestaat[[#This Row],[Ruimte code]],Ruimtegroepen[#All],4,FALSE)</f>
        <v>L  (Lesruimte)</v>
      </c>
      <c r="Q230" s="213">
        <v>40</v>
      </c>
      <c r="R230" s="213" t="s">
        <v>2</v>
      </c>
      <c r="S230" s="213">
        <f>IF(Q230&gt;0,IF(RIGHT(Ruimtestaat[[#This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0" s="213">
        <f>IF(S230&gt;0,VLOOKUP($J230,Ruimtegroepen[],3,FALSE)*VLOOKUP($L230,Vloersoorten[],3,FALSE)*VLOOKUP($R230,Frequenties[],3,FALSE)*VLOOKUP($A230,Locaties[],3,FALSE),0)</f>
        <v>0</v>
      </c>
      <c r="U230" s="213">
        <f>Ruimtestaat[[#This Row],[Uitvoeringen werkdagen]]*Ruimtestaat[[#This Row],[Oppervlak (netto)]]</f>
        <v>12680</v>
      </c>
      <c r="V230" s="253">
        <f>IF(T230&gt;0,Ruimtestaat[[#This Row],[Prest. (m2 /jaar) werkdagen]]/Ruimtestaat[[#This Row],[Norm (m2/uur) werkdagen]],0)</f>
        <v>0</v>
      </c>
      <c r="W230" s="254">
        <f>Ruimtestaat[[#This Row],[uren / jaar werkdagen]]*Tariefsopbouw!$D$38</f>
        <v>0</v>
      </c>
      <c r="X230" s="33"/>
      <c r="Y230" s="33">
        <f>IF(Ruimtestaat[[#This Row],[Frequentie weekend]]&gt;0,VALUE(LEFT(X230,1))*Q230,0)</f>
        <v>0</v>
      </c>
      <c r="Z230" s="33">
        <f>IF($Y230&gt;0,VLOOKUP($J230,Ruimtegroepen[],3,FALSE)*VLOOKUP($L230,Vloersoorten[],3,FALSE)*VLOOKUP($X230,Frequenties[],3,FALSE)*VLOOKUP(#REF!,Locaties[],3,FALSE),0)</f>
        <v>0</v>
      </c>
      <c r="AA230" s="33"/>
      <c r="AB230" s="33"/>
      <c r="AC230" s="33">
        <f>Ruimtestaat[[#This Row],[uren / jaar weekend]]*Tariefsopbouw!$D$40</f>
        <v>0</v>
      </c>
      <c r="AD230" s="88">
        <f>Ruimtestaat[[#This Row],[Prest. (m2 /jaar) weekend]]+Ruimtestaat[[#This Row],[Prest. (m2 /jaar) werkdagen]]</f>
        <v>12680</v>
      </c>
      <c r="AE230" s="88">
        <f>Ruimtestaat[[#This Row],[uren / jaar weekend]]+Ruimtestaat[[#This Row],[uren / jaar werkdagen]]</f>
        <v>0</v>
      </c>
      <c r="AF230" s="89">
        <f>Ruimtestaat[[#This Row],[kosten / jaar weekend]]+Ruimtestaat[[#This Row],[kosten / jaar werkdagen]]</f>
        <v>0</v>
      </c>
    </row>
    <row r="231" spans="1:32" ht="15" customHeight="1">
      <c r="A231" s="213">
        <v>3</v>
      </c>
      <c r="B231" s="200" t="str">
        <f>VLOOKUP(Ruimtestaat[[#This Row],[Code]],Locaties[#All],2,FALSE)</f>
        <v>Karel de Grote College</v>
      </c>
      <c r="C231" s="240" t="str">
        <f>VLOOKUP(Ruimtestaat[[#This Row],[Code]],Locaties[#All],4,FALSE)</f>
        <v>Wilhelminasingel 15</v>
      </c>
      <c r="D231" s="240" t="str">
        <f>VLOOKUP(Ruimtestaat[[#This Row],[Code]],Locaties[#All],5,FALSE)</f>
        <v>6524 AJ</v>
      </c>
      <c r="E231" s="240" t="str">
        <f>VLOOKUP(Ruimtestaat[[#This Row],[Code]],Locaties[#All],6,FALSE)</f>
        <v>Nijmegen</v>
      </c>
      <c r="F231" s="241" t="s">
        <v>848</v>
      </c>
      <c r="G231" s="200" t="s">
        <v>646</v>
      </c>
      <c r="H231" s="200" t="s">
        <v>753</v>
      </c>
      <c r="I231" s="241" t="s">
        <v>673</v>
      </c>
      <c r="J231" s="200">
        <v>16</v>
      </c>
      <c r="K231" s="256" t="str">
        <f>VLOOKUP(Ruimtestaat[[#This Row],[Ruimte code]],Ruimtegroepen[#All],2,FALSE)</f>
        <v>Lokaal</v>
      </c>
      <c r="L231" s="213" t="s">
        <v>110</v>
      </c>
      <c r="M231" s="268" t="s">
        <v>644</v>
      </c>
      <c r="N231" s="269">
        <v>61.9</v>
      </c>
      <c r="O231" s="212"/>
      <c r="P231" s="240" t="str">
        <f>VLOOKUP(Ruimtestaat[[#This Row],[Ruimte code]],Ruimtegroepen[#All],4,FALSE)</f>
        <v>L  (Lesruimte)</v>
      </c>
      <c r="Q231" s="213">
        <v>40</v>
      </c>
      <c r="R231" s="213" t="s">
        <v>2</v>
      </c>
      <c r="S231" s="213">
        <f>IF(Q231&gt;0,IF(RIGHT(Ruimtestaat[[#This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1" s="213">
        <f>IF(S231&gt;0,VLOOKUP($J231,Ruimtegroepen[],3,FALSE)*VLOOKUP($L231,Vloersoorten[],3,FALSE)*VLOOKUP($R231,Frequenties[],3,FALSE)*VLOOKUP($A231,Locaties[],3,FALSE),0)</f>
        <v>0</v>
      </c>
      <c r="U231" s="213">
        <f>Ruimtestaat[[#This Row],[Uitvoeringen werkdagen]]*Ruimtestaat[[#This Row],[Oppervlak (netto)]]</f>
        <v>12380</v>
      </c>
      <c r="V231" s="253">
        <f>IF(T231&gt;0,Ruimtestaat[[#This Row],[Prest. (m2 /jaar) werkdagen]]/Ruimtestaat[[#This Row],[Norm (m2/uur) werkdagen]],0)</f>
        <v>0</v>
      </c>
      <c r="W231" s="254">
        <f>Ruimtestaat[[#This Row],[uren / jaar werkdagen]]*Tariefsopbouw!$D$38</f>
        <v>0</v>
      </c>
      <c r="X231" s="33"/>
      <c r="Y231" s="33">
        <f>IF(Ruimtestaat[[#This Row],[Frequentie weekend]]&gt;0,VALUE(LEFT(X231,1))*Q231,0)</f>
        <v>0</v>
      </c>
      <c r="Z231" s="33">
        <f>IF($Y231&gt;0,VLOOKUP($J231,Ruimtegroepen[],3,FALSE)*VLOOKUP($L231,Vloersoorten[],3,FALSE)*VLOOKUP($X231,Frequenties[],3,FALSE)*VLOOKUP(#REF!,Locaties[],3,FALSE),0)</f>
        <v>0</v>
      </c>
      <c r="AA231" s="33"/>
      <c r="AB231" s="33"/>
      <c r="AC231" s="33">
        <f>Ruimtestaat[[#This Row],[uren / jaar weekend]]*Tariefsopbouw!$D$40</f>
        <v>0</v>
      </c>
      <c r="AD231" s="88">
        <f>Ruimtestaat[[#This Row],[Prest. (m2 /jaar) weekend]]+Ruimtestaat[[#This Row],[Prest. (m2 /jaar) werkdagen]]</f>
        <v>12380</v>
      </c>
      <c r="AE231" s="88">
        <f>Ruimtestaat[[#This Row],[uren / jaar weekend]]+Ruimtestaat[[#This Row],[uren / jaar werkdagen]]</f>
        <v>0</v>
      </c>
      <c r="AF231" s="89">
        <f>Ruimtestaat[[#This Row],[kosten / jaar weekend]]+Ruimtestaat[[#This Row],[kosten / jaar werkdagen]]</f>
        <v>0</v>
      </c>
    </row>
    <row r="232" spans="1:32" ht="15" customHeight="1">
      <c r="A232" s="213">
        <v>3</v>
      </c>
      <c r="B232" s="200" t="str">
        <f>VLOOKUP(Ruimtestaat[[#This Row],[Code]],Locaties[#All],2,FALSE)</f>
        <v>Karel de Grote College</v>
      </c>
      <c r="C232" s="240" t="str">
        <f>VLOOKUP(Ruimtestaat[[#This Row],[Code]],Locaties[#All],4,FALSE)</f>
        <v>Wilhelminasingel 15</v>
      </c>
      <c r="D232" s="240" t="str">
        <f>VLOOKUP(Ruimtestaat[[#This Row],[Code]],Locaties[#All],5,FALSE)</f>
        <v>6524 AJ</v>
      </c>
      <c r="E232" s="240" t="str">
        <f>VLOOKUP(Ruimtestaat[[#This Row],[Code]],Locaties[#All],6,FALSE)</f>
        <v>Nijmegen</v>
      </c>
      <c r="F232" s="241" t="s">
        <v>848</v>
      </c>
      <c r="G232" s="200" t="s">
        <v>646</v>
      </c>
      <c r="H232" s="200" t="s">
        <v>754</v>
      </c>
      <c r="I232" s="241" t="s">
        <v>708</v>
      </c>
      <c r="J232" s="240">
        <v>5</v>
      </c>
      <c r="K232" s="256" t="str">
        <f>VLOOKUP(Ruimtestaat[[#This Row],[Ruimte code]],Ruimtegroepen[#All],2,FALSE)</f>
        <v>Sanitair</v>
      </c>
      <c r="L232" s="240" t="s">
        <v>111</v>
      </c>
      <c r="M232" s="268" t="s">
        <v>648</v>
      </c>
      <c r="N232" s="269">
        <v>12.7</v>
      </c>
      <c r="O232" s="212"/>
      <c r="P232" s="240" t="str">
        <f>VLOOKUP(Ruimtestaat[[#This Row],[Ruimte code]],Ruimtegroepen[#All],4,FALSE)</f>
        <v>S  (Sanitair)</v>
      </c>
      <c r="Q232" s="213">
        <v>40</v>
      </c>
      <c r="R232" s="213" t="s">
        <v>2</v>
      </c>
      <c r="S232" s="213">
        <f>IF(Q232&gt;0,IF(RIGHT(Ruimtestaat[[#This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2" s="213">
        <f>IF(S232&gt;0,VLOOKUP($J232,Ruimtegroepen[],3,FALSE)*VLOOKUP($L232,Vloersoorten[],3,FALSE)*VLOOKUP($R232,Frequenties[],3,FALSE)*VLOOKUP($A232,Locaties[],3,FALSE),0)</f>
        <v>0</v>
      </c>
      <c r="U232" s="213">
        <f>Ruimtestaat[[#This Row],[Uitvoeringen werkdagen]]*Ruimtestaat[[#This Row],[Oppervlak (netto)]]</f>
        <v>2540</v>
      </c>
      <c r="V232" s="253">
        <f>IF(T232&gt;0,Ruimtestaat[[#This Row],[Prest. (m2 /jaar) werkdagen]]/Ruimtestaat[[#This Row],[Norm (m2/uur) werkdagen]],0)</f>
        <v>0</v>
      </c>
      <c r="W232" s="254">
        <f>Ruimtestaat[[#This Row],[uren / jaar werkdagen]]*Tariefsopbouw!$D$38</f>
        <v>0</v>
      </c>
      <c r="X232" s="33"/>
      <c r="Y232" s="33">
        <f>IF(Ruimtestaat[[#This Row],[Frequentie weekend]]&gt;0,VALUE(LEFT(X232,1))*Q232,0)</f>
        <v>0</v>
      </c>
      <c r="Z232" s="33">
        <f>IF($Y232&gt;0,VLOOKUP($J232,Ruimtegroepen[],3,FALSE)*VLOOKUP($L232,Vloersoorten[],3,FALSE)*VLOOKUP($X232,Frequenties[],3,FALSE)*VLOOKUP(#REF!,Locaties[],3,FALSE),0)</f>
        <v>0</v>
      </c>
      <c r="AA232" s="33"/>
      <c r="AB232" s="33"/>
      <c r="AC232" s="33">
        <f>Ruimtestaat[[#This Row],[uren / jaar weekend]]*Tariefsopbouw!$D$40</f>
        <v>0</v>
      </c>
      <c r="AD232" s="88">
        <f>Ruimtestaat[[#This Row],[Prest. (m2 /jaar) weekend]]+Ruimtestaat[[#This Row],[Prest. (m2 /jaar) werkdagen]]</f>
        <v>2540</v>
      </c>
      <c r="AE232" s="88">
        <f>Ruimtestaat[[#This Row],[uren / jaar weekend]]+Ruimtestaat[[#This Row],[uren / jaar werkdagen]]</f>
        <v>0</v>
      </c>
      <c r="AF232" s="89">
        <f>Ruimtestaat[[#This Row],[kosten / jaar weekend]]+Ruimtestaat[[#This Row],[kosten / jaar werkdagen]]</f>
        <v>0</v>
      </c>
    </row>
    <row r="233" spans="1:32" ht="15" customHeight="1">
      <c r="A233" s="213">
        <v>3</v>
      </c>
      <c r="B233" s="200" t="str">
        <f>VLOOKUP(Ruimtestaat[[#This Row],[Code]],Locaties[#All],2,FALSE)</f>
        <v>Karel de Grote College</v>
      </c>
      <c r="C233" s="240" t="str">
        <f>VLOOKUP(Ruimtestaat[[#This Row],[Code]],Locaties[#All],4,FALSE)</f>
        <v>Wilhelminasingel 15</v>
      </c>
      <c r="D233" s="240" t="str">
        <f>VLOOKUP(Ruimtestaat[[#This Row],[Code]],Locaties[#All],5,FALSE)</f>
        <v>6524 AJ</v>
      </c>
      <c r="E233" s="240" t="str">
        <f>VLOOKUP(Ruimtestaat[[#This Row],[Code]],Locaties[#All],6,FALSE)</f>
        <v>Nijmegen</v>
      </c>
      <c r="F233" s="241" t="s">
        <v>848</v>
      </c>
      <c r="G233" s="200" t="s">
        <v>646</v>
      </c>
      <c r="H233" s="200" t="s">
        <v>755</v>
      </c>
      <c r="I233" s="241" t="s">
        <v>709</v>
      </c>
      <c r="J233" s="213">
        <v>6</v>
      </c>
      <c r="K233" s="256" t="str">
        <f>VLOOKUP(Ruimtestaat[[#This Row],[Ruimte code]],Ruimtegroepen[#All],2,FALSE)</f>
        <v>Gangen/hallen</v>
      </c>
      <c r="L233" s="240" t="s">
        <v>111</v>
      </c>
      <c r="M233" s="268" t="s">
        <v>648</v>
      </c>
      <c r="N233" s="269">
        <v>34.6</v>
      </c>
      <c r="O233" s="212"/>
      <c r="P233" s="240" t="str">
        <f>VLOOKUP(Ruimtestaat[[#This Row],[Ruimte code]],Ruimtegroepen[#All],4,FALSE)</f>
        <v>V  (Verkeersruimte)</v>
      </c>
      <c r="Q233" s="213">
        <v>40</v>
      </c>
      <c r="R233" s="213" t="s">
        <v>2</v>
      </c>
      <c r="S233" s="213">
        <f>IF(Q233&gt;0,IF(RIGHT(Ruimtestaat[[#This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3" s="213">
        <f>IF(S233&gt;0,VLOOKUP($J233,Ruimtegroepen[],3,FALSE)*VLOOKUP($L233,Vloersoorten[],3,FALSE)*VLOOKUP($R233,Frequenties[],3,FALSE)*VLOOKUP($A233,Locaties[],3,FALSE),0)</f>
        <v>0</v>
      </c>
      <c r="U233" s="213">
        <f>Ruimtestaat[[#This Row],[Uitvoeringen werkdagen]]*Ruimtestaat[[#This Row],[Oppervlak (netto)]]</f>
        <v>6920</v>
      </c>
      <c r="V233" s="253">
        <f>IF(T233&gt;0,Ruimtestaat[[#This Row],[Prest. (m2 /jaar) werkdagen]]/Ruimtestaat[[#This Row],[Norm (m2/uur) werkdagen]],0)</f>
        <v>0</v>
      </c>
      <c r="W233" s="254">
        <f>Ruimtestaat[[#This Row],[uren / jaar werkdagen]]*Tariefsopbouw!$D$38</f>
        <v>0</v>
      </c>
      <c r="X233" s="33"/>
      <c r="Y233" s="33">
        <f>IF(Ruimtestaat[[#This Row],[Frequentie weekend]]&gt;0,VALUE(LEFT(X233,1))*Q233,0)</f>
        <v>0</v>
      </c>
      <c r="Z233" s="33">
        <f>IF($Y233&gt;0,VLOOKUP($J233,Ruimtegroepen[],3,FALSE)*VLOOKUP($L233,Vloersoorten[],3,FALSE)*VLOOKUP($X233,Frequenties[],3,FALSE)*VLOOKUP(#REF!,Locaties[],3,FALSE),0)</f>
        <v>0</v>
      </c>
      <c r="AA233" s="33"/>
      <c r="AB233" s="33"/>
      <c r="AC233" s="33">
        <f>Ruimtestaat[[#This Row],[uren / jaar weekend]]*Tariefsopbouw!$D$40</f>
        <v>0</v>
      </c>
      <c r="AD233" s="88">
        <f>Ruimtestaat[[#This Row],[Prest. (m2 /jaar) weekend]]+Ruimtestaat[[#This Row],[Prest. (m2 /jaar) werkdagen]]</f>
        <v>6920</v>
      </c>
      <c r="AE233" s="88">
        <f>Ruimtestaat[[#This Row],[uren / jaar weekend]]+Ruimtestaat[[#This Row],[uren / jaar werkdagen]]</f>
        <v>0</v>
      </c>
      <c r="AF233" s="89">
        <f>Ruimtestaat[[#This Row],[kosten / jaar weekend]]+Ruimtestaat[[#This Row],[kosten / jaar werkdagen]]</f>
        <v>0</v>
      </c>
    </row>
    <row r="234" spans="1:32" ht="15" customHeight="1">
      <c r="A234" s="213">
        <v>3</v>
      </c>
      <c r="B234" s="200" t="str">
        <f>VLOOKUP(Ruimtestaat[[#This Row],[Code]],Locaties[#All],2,FALSE)</f>
        <v>Karel de Grote College</v>
      </c>
      <c r="C234" s="240" t="str">
        <f>VLOOKUP(Ruimtestaat[[#This Row],[Code]],Locaties[#All],4,FALSE)</f>
        <v>Wilhelminasingel 15</v>
      </c>
      <c r="D234" s="240" t="str">
        <f>VLOOKUP(Ruimtestaat[[#This Row],[Code]],Locaties[#All],5,FALSE)</f>
        <v>6524 AJ</v>
      </c>
      <c r="E234" s="240" t="str">
        <f>VLOOKUP(Ruimtestaat[[#This Row],[Code]],Locaties[#All],6,FALSE)</f>
        <v>Nijmegen</v>
      </c>
      <c r="F234" s="241" t="s">
        <v>848</v>
      </c>
      <c r="G234" s="200" t="s">
        <v>646</v>
      </c>
      <c r="H234" s="200" t="s">
        <v>756</v>
      </c>
      <c r="I234" s="241" t="s">
        <v>710</v>
      </c>
      <c r="J234" s="240">
        <v>7</v>
      </c>
      <c r="K234" s="256" t="str">
        <f>VLOOKUP(Ruimtestaat[[#This Row],[Ruimte code]],Ruimtegroepen[#All],2,FALSE)</f>
        <v>Entree</v>
      </c>
      <c r="L234" s="240" t="s">
        <v>109</v>
      </c>
      <c r="M234" s="200" t="s">
        <v>549</v>
      </c>
      <c r="N234" s="269">
        <v>18.5</v>
      </c>
      <c r="O234" s="212"/>
      <c r="P234" s="240" t="str">
        <f>VLOOKUP(Ruimtestaat[[#This Row],[Ruimte code]],Ruimtegroepen[#All],4,FALSE)</f>
        <v>V  (Verkeersruimte)</v>
      </c>
      <c r="Q234" s="213">
        <v>40</v>
      </c>
      <c r="R234" s="213" t="s">
        <v>2</v>
      </c>
      <c r="S234" s="213">
        <f>IF(Q234&gt;0,IF(RIGHT(Ruimtestaat[[#This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4" s="213">
        <f>IF(S234&gt;0,VLOOKUP($J234,Ruimtegroepen[],3,FALSE)*VLOOKUP($L234,Vloersoorten[],3,FALSE)*VLOOKUP($R234,Frequenties[],3,FALSE)*VLOOKUP($A234,Locaties[],3,FALSE),0)</f>
        <v>0</v>
      </c>
      <c r="U234" s="213">
        <f>Ruimtestaat[[#This Row],[Uitvoeringen werkdagen]]*Ruimtestaat[[#This Row],[Oppervlak (netto)]]</f>
        <v>3700</v>
      </c>
      <c r="V234" s="253">
        <f>IF(T234&gt;0,Ruimtestaat[[#This Row],[Prest. (m2 /jaar) werkdagen]]/Ruimtestaat[[#This Row],[Norm (m2/uur) werkdagen]],0)</f>
        <v>0</v>
      </c>
      <c r="W234" s="254">
        <f>Ruimtestaat[[#This Row],[uren / jaar werkdagen]]*Tariefsopbouw!$D$38</f>
        <v>0</v>
      </c>
      <c r="X234" s="33"/>
      <c r="Y234" s="33">
        <f>IF(Ruimtestaat[[#This Row],[Frequentie weekend]]&gt;0,VALUE(LEFT(X234,1))*Q234,0)</f>
        <v>0</v>
      </c>
      <c r="Z234" s="33">
        <f>IF($Y234&gt;0,VLOOKUP($J234,Ruimtegroepen[],3,FALSE)*VLOOKUP($L234,Vloersoorten[],3,FALSE)*VLOOKUP($X234,Frequenties[],3,FALSE)*VLOOKUP(#REF!,Locaties[],3,FALSE),0)</f>
        <v>0</v>
      </c>
      <c r="AA234" s="33"/>
      <c r="AB234" s="33"/>
      <c r="AC234" s="33">
        <f>Ruimtestaat[[#This Row],[uren / jaar weekend]]*Tariefsopbouw!$D$40</f>
        <v>0</v>
      </c>
      <c r="AD234" s="88">
        <f>Ruimtestaat[[#This Row],[Prest. (m2 /jaar) weekend]]+Ruimtestaat[[#This Row],[Prest. (m2 /jaar) werkdagen]]</f>
        <v>3700</v>
      </c>
      <c r="AE234" s="88">
        <f>Ruimtestaat[[#This Row],[uren / jaar weekend]]+Ruimtestaat[[#This Row],[uren / jaar werkdagen]]</f>
        <v>0</v>
      </c>
      <c r="AF234" s="89">
        <f>Ruimtestaat[[#This Row],[kosten / jaar weekend]]+Ruimtestaat[[#This Row],[kosten / jaar werkdagen]]</f>
        <v>0</v>
      </c>
    </row>
    <row r="235" spans="1:32" ht="15" customHeight="1">
      <c r="A235" s="213">
        <v>3</v>
      </c>
      <c r="B235" s="200" t="str">
        <f>VLOOKUP(Ruimtestaat[[#This Row],[Code]],Locaties[#All],2,FALSE)</f>
        <v>Karel de Grote College</v>
      </c>
      <c r="C235" s="240" t="str">
        <f>VLOOKUP(Ruimtestaat[[#This Row],[Code]],Locaties[#All],4,FALSE)</f>
        <v>Wilhelminasingel 15</v>
      </c>
      <c r="D235" s="240" t="str">
        <f>VLOOKUP(Ruimtestaat[[#This Row],[Code]],Locaties[#All],5,FALSE)</f>
        <v>6524 AJ</v>
      </c>
      <c r="E235" s="240" t="str">
        <f>VLOOKUP(Ruimtestaat[[#This Row],[Code]],Locaties[#All],6,FALSE)</f>
        <v>Nijmegen</v>
      </c>
      <c r="F235" s="241" t="s">
        <v>848</v>
      </c>
      <c r="G235" s="200" t="s">
        <v>646</v>
      </c>
      <c r="H235" s="200" t="s">
        <v>757</v>
      </c>
      <c r="I235" s="241" t="s">
        <v>711</v>
      </c>
      <c r="J235" s="240">
        <v>2</v>
      </c>
      <c r="K235" s="256" t="str">
        <f>VLOOKUP(Ruimtestaat[[#This Row],[Ruimte code]],Ruimtegroepen[#All],2,FALSE)</f>
        <v>Kantoren</v>
      </c>
      <c r="L235" s="213" t="s">
        <v>110</v>
      </c>
      <c r="M235" s="268" t="s">
        <v>644</v>
      </c>
      <c r="N235" s="269">
        <v>11.2</v>
      </c>
      <c r="O235" s="212"/>
      <c r="P235" s="240" t="str">
        <f>VLOOKUP(Ruimtestaat[[#This Row],[Ruimte code]],Ruimtegroepen[#All],4,FALSE)</f>
        <v>B  (Bureauruimte)</v>
      </c>
      <c r="Q235" s="213">
        <v>40</v>
      </c>
      <c r="R235" s="213" t="s">
        <v>17</v>
      </c>
      <c r="S235" s="213">
        <f>IF(Q235&gt;0,IF(RIGHT(Ruimtestaat[[#This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35" s="213">
        <f>IF(S235&gt;0,VLOOKUP($J235,Ruimtegroepen[],3,FALSE)*VLOOKUP($L235,Vloersoorten[],3,FALSE)*VLOOKUP($R235,Frequenties[],3,FALSE)*VLOOKUP($A235,Locaties[],3,FALSE),0)</f>
        <v>0</v>
      </c>
      <c r="U235" s="213">
        <f>Ruimtestaat[[#This Row],[Uitvoeringen werkdagen]]*Ruimtestaat[[#This Row],[Oppervlak (netto)]]</f>
        <v>896</v>
      </c>
      <c r="V235" s="253">
        <f>IF(T235&gt;0,Ruimtestaat[[#This Row],[Prest. (m2 /jaar) werkdagen]]/Ruimtestaat[[#This Row],[Norm (m2/uur) werkdagen]],0)</f>
        <v>0</v>
      </c>
      <c r="W235" s="254">
        <f>Ruimtestaat[[#This Row],[uren / jaar werkdagen]]*Tariefsopbouw!$D$38</f>
        <v>0</v>
      </c>
      <c r="X235" s="33"/>
      <c r="Y235" s="33">
        <f>IF(Ruimtestaat[[#This Row],[Frequentie weekend]]&gt;0,VALUE(LEFT(X235,1))*Q235,0)</f>
        <v>0</v>
      </c>
      <c r="Z235" s="33">
        <f>IF($Y235&gt;0,VLOOKUP($J235,Ruimtegroepen[],3,FALSE)*VLOOKUP($L235,Vloersoorten[],3,FALSE)*VLOOKUP($X235,Frequenties[],3,FALSE)*VLOOKUP(#REF!,Locaties[],3,FALSE),0)</f>
        <v>0</v>
      </c>
      <c r="AA235" s="33"/>
      <c r="AB235" s="33"/>
      <c r="AC235" s="33">
        <f>Ruimtestaat[[#This Row],[uren / jaar weekend]]*Tariefsopbouw!$D$40</f>
        <v>0</v>
      </c>
      <c r="AD235" s="88">
        <f>Ruimtestaat[[#This Row],[Prest. (m2 /jaar) weekend]]+Ruimtestaat[[#This Row],[Prest. (m2 /jaar) werkdagen]]</f>
        <v>896</v>
      </c>
      <c r="AE235" s="88">
        <f>Ruimtestaat[[#This Row],[uren / jaar weekend]]+Ruimtestaat[[#This Row],[uren / jaar werkdagen]]</f>
        <v>0</v>
      </c>
      <c r="AF235" s="89">
        <f>Ruimtestaat[[#This Row],[kosten / jaar weekend]]+Ruimtestaat[[#This Row],[kosten / jaar werkdagen]]</f>
        <v>0</v>
      </c>
    </row>
    <row r="236" spans="1:32" ht="15" customHeight="1">
      <c r="A236" s="213">
        <v>3</v>
      </c>
      <c r="B236" s="200" t="str">
        <f>VLOOKUP(Ruimtestaat[[#This Row],[Code]],Locaties[#All],2,FALSE)</f>
        <v>Karel de Grote College</v>
      </c>
      <c r="C236" s="240" t="str">
        <f>VLOOKUP(Ruimtestaat[[#This Row],[Code]],Locaties[#All],4,FALSE)</f>
        <v>Wilhelminasingel 15</v>
      </c>
      <c r="D236" s="240" t="str">
        <f>VLOOKUP(Ruimtestaat[[#This Row],[Code]],Locaties[#All],5,FALSE)</f>
        <v>6524 AJ</v>
      </c>
      <c r="E236" s="240" t="str">
        <f>VLOOKUP(Ruimtestaat[[#This Row],[Code]],Locaties[#All],6,FALSE)</f>
        <v>Nijmegen</v>
      </c>
      <c r="F236" s="241" t="s">
        <v>848</v>
      </c>
      <c r="G236" s="200" t="s">
        <v>646</v>
      </c>
      <c r="H236" s="200" t="s">
        <v>758</v>
      </c>
      <c r="I236" s="241" t="s">
        <v>711</v>
      </c>
      <c r="J236" s="240">
        <v>2</v>
      </c>
      <c r="K236" s="256" t="str">
        <f>VLOOKUP(Ruimtestaat[[#This Row],[Ruimte code]],Ruimtegroepen[#All],2,FALSE)</f>
        <v>Kantoren</v>
      </c>
      <c r="L236" s="213" t="s">
        <v>110</v>
      </c>
      <c r="M236" s="268" t="s">
        <v>644</v>
      </c>
      <c r="N236" s="269">
        <v>12.4</v>
      </c>
      <c r="O236" s="212"/>
      <c r="P236" s="240" t="str">
        <f>VLOOKUP(Ruimtestaat[[#This Row],[Ruimte code]],Ruimtegroepen[#All],4,FALSE)</f>
        <v>B  (Bureauruimte)</v>
      </c>
      <c r="Q236" s="213">
        <v>40</v>
      </c>
      <c r="R236" s="213" t="s">
        <v>17</v>
      </c>
      <c r="S236" s="213">
        <f>IF(Q236&gt;0,IF(RIGHT(Ruimtestaat[[#This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36" s="213">
        <f>IF(S236&gt;0,VLOOKUP($J236,Ruimtegroepen[],3,FALSE)*VLOOKUP($L236,Vloersoorten[],3,FALSE)*VLOOKUP($R236,Frequenties[],3,FALSE)*VLOOKUP($A236,Locaties[],3,FALSE),0)</f>
        <v>0</v>
      </c>
      <c r="U236" s="213">
        <f>Ruimtestaat[[#This Row],[Uitvoeringen werkdagen]]*Ruimtestaat[[#This Row],[Oppervlak (netto)]]</f>
        <v>992</v>
      </c>
      <c r="V236" s="253">
        <f>IF(T236&gt;0,Ruimtestaat[[#This Row],[Prest. (m2 /jaar) werkdagen]]/Ruimtestaat[[#This Row],[Norm (m2/uur) werkdagen]],0)</f>
        <v>0</v>
      </c>
      <c r="W236" s="254">
        <f>Ruimtestaat[[#This Row],[uren / jaar werkdagen]]*Tariefsopbouw!$D$38</f>
        <v>0</v>
      </c>
      <c r="X236" s="33"/>
      <c r="Y236" s="33">
        <f>IF(Ruimtestaat[[#This Row],[Frequentie weekend]]&gt;0,VALUE(LEFT(X236,1))*Q236,0)</f>
        <v>0</v>
      </c>
      <c r="Z236" s="33">
        <f>IF($Y236&gt;0,VLOOKUP($J236,Ruimtegroepen[],3,FALSE)*VLOOKUP($L236,Vloersoorten[],3,FALSE)*VLOOKUP($X236,Frequenties[],3,FALSE)*VLOOKUP(#REF!,Locaties[],3,FALSE),0)</f>
        <v>0</v>
      </c>
      <c r="AA236" s="33"/>
      <c r="AB236" s="33"/>
      <c r="AC236" s="33">
        <f>Ruimtestaat[[#This Row],[uren / jaar weekend]]*Tariefsopbouw!$D$40</f>
        <v>0</v>
      </c>
      <c r="AD236" s="88">
        <f>Ruimtestaat[[#This Row],[Prest. (m2 /jaar) weekend]]+Ruimtestaat[[#This Row],[Prest. (m2 /jaar) werkdagen]]</f>
        <v>992</v>
      </c>
      <c r="AE236" s="88">
        <f>Ruimtestaat[[#This Row],[uren / jaar weekend]]+Ruimtestaat[[#This Row],[uren / jaar werkdagen]]</f>
        <v>0</v>
      </c>
      <c r="AF236" s="89">
        <f>Ruimtestaat[[#This Row],[kosten / jaar weekend]]+Ruimtestaat[[#This Row],[kosten / jaar werkdagen]]</f>
        <v>0</v>
      </c>
    </row>
    <row r="237" spans="1:32" ht="15" customHeight="1">
      <c r="A237" s="213">
        <v>3</v>
      </c>
      <c r="B237" s="200" t="str">
        <f>VLOOKUP(Ruimtestaat[[#This Row],[Code]],Locaties[#All],2,FALSE)</f>
        <v>Karel de Grote College</v>
      </c>
      <c r="C237" s="240" t="str">
        <f>VLOOKUP(Ruimtestaat[[#This Row],[Code]],Locaties[#All],4,FALSE)</f>
        <v>Wilhelminasingel 15</v>
      </c>
      <c r="D237" s="240" t="str">
        <f>VLOOKUP(Ruimtestaat[[#This Row],[Code]],Locaties[#All],5,FALSE)</f>
        <v>6524 AJ</v>
      </c>
      <c r="E237" s="240" t="str">
        <f>VLOOKUP(Ruimtestaat[[#This Row],[Code]],Locaties[#All],6,FALSE)</f>
        <v>Nijmegen</v>
      </c>
      <c r="F237" s="241" t="s">
        <v>848</v>
      </c>
      <c r="G237" s="200" t="s">
        <v>646</v>
      </c>
      <c r="H237" s="200" t="s">
        <v>759</v>
      </c>
      <c r="I237" s="241" t="s">
        <v>711</v>
      </c>
      <c r="J237" s="240">
        <v>2</v>
      </c>
      <c r="K237" s="256" t="str">
        <f>VLOOKUP(Ruimtestaat[[#This Row],[Ruimte code]],Ruimtegroepen[#All],2,FALSE)</f>
        <v>Kantoren</v>
      </c>
      <c r="L237" s="213" t="s">
        <v>110</v>
      </c>
      <c r="M237" s="268" t="s">
        <v>644</v>
      </c>
      <c r="N237" s="269">
        <v>23.5</v>
      </c>
      <c r="O237" s="212"/>
      <c r="P237" s="240" t="str">
        <f>VLOOKUP(Ruimtestaat[[#This Row],[Ruimte code]],Ruimtegroepen[#All],4,FALSE)</f>
        <v>B  (Bureauruimte)</v>
      </c>
      <c r="Q237" s="213">
        <v>40</v>
      </c>
      <c r="R237" s="213" t="s">
        <v>17</v>
      </c>
      <c r="S237" s="213">
        <f>IF(Q237&gt;0,IF(RIGHT(Ruimtestaat[[#This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37" s="213">
        <f>IF(S237&gt;0,VLOOKUP($J237,Ruimtegroepen[],3,FALSE)*VLOOKUP($L237,Vloersoorten[],3,FALSE)*VLOOKUP($R237,Frequenties[],3,FALSE)*VLOOKUP($A237,Locaties[],3,FALSE),0)</f>
        <v>0</v>
      </c>
      <c r="U237" s="213">
        <f>Ruimtestaat[[#This Row],[Uitvoeringen werkdagen]]*Ruimtestaat[[#This Row],[Oppervlak (netto)]]</f>
        <v>1880</v>
      </c>
      <c r="V237" s="253">
        <f>IF(T237&gt;0,Ruimtestaat[[#This Row],[Prest. (m2 /jaar) werkdagen]]/Ruimtestaat[[#This Row],[Norm (m2/uur) werkdagen]],0)</f>
        <v>0</v>
      </c>
      <c r="W237" s="254">
        <f>Ruimtestaat[[#This Row],[uren / jaar werkdagen]]*Tariefsopbouw!$D$38</f>
        <v>0</v>
      </c>
      <c r="X237" s="33"/>
      <c r="Y237" s="33">
        <f>IF(Ruimtestaat[[#This Row],[Frequentie weekend]]&gt;0,VALUE(LEFT(X237,1))*Q237,0)</f>
        <v>0</v>
      </c>
      <c r="Z237" s="33">
        <f>IF($Y237&gt;0,VLOOKUP($J237,Ruimtegroepen[],3,FALSE)*VLOOKUP($L237,Vloersoorten[],3,FALSE)*VLOOKUP($X237,Frequenties[],3,FALSE)*VLOOKUP(#REF!,Locaties[],3,FALSE),0)</f>
        <v>0</v>
      </c>
      <c r="AA237" s="33"/>
      <c r="AB237" s="33"/>
      <c r="AC237" s="33">
        <f>Ruimtestaat[[#This Row],[uren / jaar weekend]]*Tariefsopbouw!$D$40</f>
        <v>0</v>
      </c>
      <c r="AD237" s="88">
        <f>Ruimtestaat[[#This Row],[Prest. (m2 /jaar) weekend]]+Ruimtestaat[[#This Row],[Prest. (m2 /jaar) werkdagen]]</f>
        <v>1880</v>
      </c>
      <c r="AE237" s="88">
        <f>Ruimtestaat[[#This Row],[uren / jaar weekend]]+Ruimtestaat[[#This Row],[uren / jaar werkdagen]]</f>
        <v>0</v>
      </c>
      <c r="AF237" s="89">
        <f>Ruimtestaat[[#This Row],[kosten / jaar weekend]]+Ruimtestaat[[#This Row],[kosten / jaar werkdagen]]</f>
        <v>0</v>
      </c>
    </row>
    <row r="238" spans="1:32" ht="15" customHeight="1">
      <c r="A238" s="213">
        <v>3</v>
      </c>
      <c r="B238" s="200" t="str">
        <f>VLOOKUP(Ruimtestaat[[#This Row],[Code]],Locaties[#All],2,FALSE)</f>
        <v>Karel de Grote College</v>
      </c>
      <c r="C238" s="240" t="str">
        <f>VLOOKUP(Ruimtestaat[[#This Row],[Code]],Locaties[#All],4,FALSE)</f>
        <v>Wilhelminasingel 15</v>
      </c>
      <c r="D238" s="240" t="str">
        <f>VLOOKUP(Ruimtestaat[[#This Row],[Code]],Locaties[#All],5,FALSE)</f>
        <v>6524 AJ</v>
      </c>
      <c r="E238" s="240" t="str">
        <f>VLOOKUP(Ruimtestaat[[#This Row],[Code]],Locaties[#All],6,FALSE)</f>
        <v>Nijmegen</v>
      </c>
      <c r="F238" s="241" t="s">
        <v>848</v>
      </c>
      <c r="G238" s="200" t="s">
        <v>646</v>
      </c>
      <c r="H238" s="200" t="s">
        <v>760</v>
      </c>
      <c r="I238" s="241" t="s">
        <v>709</v>
      </c>
      <c r="J238" s="213">
        <v>6</v>
      </c>
      <c r="K238" s="256" t="str">
        <f>VLOOKUP(Ruimtestaat[[#This Row],[Ruimte code]],Ruimtegroepen[#All],2,FALSE)</f>
        <v>Gangen/hallen</v>
      </c>
      <c r="L238" s="240" t="s">
        <v>111</v>
      </c>
      <c r="M238" s="268" t="s">
        <v>648</v>
      </c>
      <c r="N238" s="269">
        <v>36.1</v>
      </c>
      <c r="O238" s="212"/>
      <c r="P238" s="240" t="str">
        <f>VLOOKUP(Ruimtestaat[[#This Row],[Ruimte code]],Ruimtegroepen[#All],4,FALSE)</f>
        <v>V  (Verkeersruimte)</v>
      </c>
      <c r="Q238" s="213">
        <v>40</v>
      </c>
      <c r="R238" s="213" t="s">
        <v>2</v>
      </c>
      <c r="S238" s="213">
        <f>IF(Q238&gt;0,IF(RIGHT(Ruimtestaat[[#This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8" s="213">
        <f>IF(S238&gt;0,VLOOKUP($J238,Ruimtegroepen[],3,FALSE)*VLOOKUP($L238,Vloersoorten[],3,FALSE)*VLOOKUP($R238,Frequenties[],3,FALSE)*VLOOKUP($A238,Locaties[],3,FALSE),0)</f>
        <v>0</v>
      </c>
      <c r="U238" s="213">
        <f>Ruimtestaat[[#This Row],[Uitvoeringen werkdagen]]*Ruimtestaat[[#This Row],[Oppervlak (netto)]]</f>
        <v>7220</v>
      </c>
      <c r="V238" s="253">
        <f>IF(T238&gt;0,Ruimtestaat[[#This Row],[Prest. (m2 /jaar) werkdagen]]/Ruimtestaat[[#This Row],[Norm (m2/uur) werkdagen]],0)</f>
        <v>0</v>
      </c>
      <c r="W238" s="254">
        <f>Ruimtestaat[[#This Row],[uren / jaar werkdagen]]*Tariefsopbouw!$D$38</f>
        <v>0</v>
      </c>
      <c r="X238" s="33"/>
      <c r="Y238" s="33">
        <f>IF(Ruimtestaat[[#This Row],[Frequentie weekend]]&gt;0,VALUE(LEFT(X238,1))*Q238,0)</f>
        <v>0</v>
      </c>
      <c r="Z238" s="33">
        <f>IF($Y238&gt;0,VLOOKUP($J238,Ruimtegroepen[],3,FALSE)*VLOOKUP($L238,Vloersoorten[],3,FALSE)*VLOOKUP($X238,Frequenties[],3,FALSE)*VLOOKUP(#REF!,Locaties[],3,FALSE),0)</f>
        <v>0</v>
      </c>
      <c r="AA238" s="33"/>
      <c r="AB238" s="33"/>
      <c r="AC238" s="33">
        <f>Ruimtestaat[[#This Row],[uren / jaar weekend]]*Tariefsopbouw!$D$40</f>
        <v>0</v>
      </c>
      <c r="AD238" s="88">
        <f>Ruimtestaat[[#This Row],[Prest. (m2 /jaar) weekend]]+Ruimtestaat[[#This Row],[Prest. (m2 /jaar) werkdagen]]</f>
        <v>7220</v>
      </c>
      <c r="AE238" s="88">
        <f>Ruimtestaat[[#This Row],[uren / jaar weekend]]+Ruimtestaat[[#This Row],[uren / jaar werkdagen]]</f>
        <v>0</v>
      </c>
      <c r="AF238" s="89">
        <f>Ruimtestaat[[#This Row],[kosten / jaar weekend]]+Ruimtestaat[[#This Row],[kosten / jaar werkdagen]]</f>
        <v>0</v>
      </c>
    </row>
    <row r="239" spans="1:32" ht="15" customHeight="1">
      <c r="A239" s="213">
        <v>3</v>
      </c>
      <c r="B239" s="200" t="str">
        <f>VLOOKUP(Ruimtestaat[[#This Row],[Code]],Locaties[#All],2,FALSE)</f>
        <v>Karel de Grote College</v>
      </c>
      <c r="C239" s="240" t="str">
        <f>VLOOKUP(Ruimtestaat[[#This Row],[Code]],Locaties[#All],4,FALSE)</f>
        <v>Wilhelminasingel 15</v>
      </c>
      <c r="D239" s="240" t="str">
        <f>VLOOKUP(Ruimtestaat[[#This Row],[Code]],Locaties[#All],5,FALSE)</f>
        <v>6524 AJ</v>
      </c>
      <c r="E239" s="240" t="str">
        <f>VLOOKUP(Ruimtestaat[[#This Row],[Code]],Locaties[#All],6,FALSE)</f>
        <v>Nijmegen</v>
      </c>
      <c r="F239" s="241" t="s">
        <v>848</v>
      </c>
      <c r="G239" s="200" t="s">
        <v>646</v>
      </c>
      <c r="H239" s="200" t="s">
        <v>756</v>
      </c>
      <c r="I239" s="241" t="s">
        <v>710</v>
      </c>
      <c r="J239" s="240">
        <v>7</v>
      </c>
      <c r="K239" s="256" t="str">
        <f>VLOOKUP(Ruimtestaat[[#This Row],[Ruimte code]],Ruimtegroepen[#All],2,FALSE)</f>
        <v>Entree</v>
      </c>
      <c r="L239" s="240" t="s">
        <v>109</v>
      </c>
      <c r="M239" s="200" t="s">
        <v>549</v>
      </c>
      <c r="N239" s="269">
        <v>18.5</v>
      </c>
      <c r="O239" s="212"/>
      <c r="P239" s="240" t="str">
        <f>VLOOKUP(Ruimtestaat[[#This Row],[Ruimte code]],Ruimtegroepen[#All],4,FALSE)</f>
        <v>V  (Verkeersruimte)</v>
      </c>
      <c r="Q239" s="213">
        <v>40</v>
      </c>
      <c r="R239" s="213" t="s">
        <v>2</v>
      </c>
      <c r="S239" s="213">
        <f>IF(Q239&gt;0,IF(RIGHT(Ruimtestaat[[#This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39" s="213">
        <f>IF(S239&gt;0,VLOOKUP($J239,Ruimtegroepen[],3,FALSE)*VLOOKUP($L239,Vloersoorten[],3,FALSE)*VLOOKUP($R239,Frequenties[],3,FALSE)*VLOOKUP($A239,Locaties[],3,FALSE),0)</f>
        <v>0</v>
      </c>
      <c r="U239" s="213">
        <f>Ruimtestaat[[#This Row],[Uitvoeringen werkdagen]]*Ruimtestaat[[#This Row],[Oppervlak (netto)]]</f>
        <v>3700</v>
      </c>
      <c r="V239" s="253">
        <f>IF(T239&gt;0,Ruimtestaat[[#This Row],[Prest. (m2 /jaar) werkdagen]]/Ruimtestaat[[#This Row],[Norm (m2/uur) werkdagen]],0)</f>
        <v>0</v>
      </c>
      <c r="W239" s="254">
        <f>Ruimtestaat[[#This Row],[uren / jaar werkdagen]]*Tariefsopbouw!$D$38</f>
        <v>0</v>
      </c>
      <c r="X239" s="33"/>
      <c r="Y239" s="33">
        <f>IF(Ruimtestaat[[#This Row],[Frequentie weekend]]&gt;0,VALUE(LEFT(X239,1))*Q239,0)</f>
        <v>0</v>
      </c>
      <c r="Z239" s="33">
        <f>IF($Y239&gt;0,VLOOKUP($J239,Ruimtegroepen[],3,FALSE)*VLOOKUP($L239,Vloersoorten[],3,FALSE)*VLOOKUP($X239,Frequenties[],3,FALSE)*VLOOKUP(#REF!,Locaties[],3,FALSE),0)</f>
        <v>0</v>
      </c>
      <c r="AA239" s="33"/>
      <c r="AB239" s="33"/>
      <c r="AC239" s="33">
        <f>Ruimtestaat[[#This Row],[uren / jaar weekend]]*Tariefsopbouw!$D$40</f>
        <v>0</v>
      </c>
      <c r="AD239" s="88">
        <f>Ruimtestaat[[#This Row],[Prest. (m2 /jaar) weekend]]+Ruimtestaat[[#This Row],[Prest. (m2 /jaar) werkdagen]]</f>
        <v>3700</v>
      </c>
      <c r="AE239" s="88">
        <f>Ruimtestaat[[#This Row],[uren / jaar weekend]]+Ruimtestaat[[#This Row],[uren / jaar werkdagen]]</f>
        <v>0</v>
      </c>
      <c r="AF239" s="89">
        <f>Ruimtestaat[[#This Row],[kosten / jaar weekend]]+Ruimtestaat[[#This Row],[kosten / jaar werkdagen]]</f>
        <v>0</v>
      </c>
    </row>
    <row r="240" spans="1:32" ht="15" customHeight="1">
      <c r="A240" s="213">
        <v>3</v>
      </c>
      <c r="B240" s="200" t="str">
        <f>VLOOKUP(Ruimtestaat[[#This Row],[Code]],Locaties[#All],2,FALSE)</f>
        <v>Karel de Grote College</v>
      </c>
      <c r="C240" s="240" t="str">
        <f>VLOOKUP(Ruimtestaat[[#This Row],[Code]],Locaties[#All],4,FALSE)</f>
        <v>Wilhelminasingel 15</v>
      </c>
      <c r="D240" s="240" t="str">
        <f>VLOOKUP(Ruimtestaat[[#This Row],[Code]],Locaties[#All],5,FALSE)</f>
        <v>6524 AJ</v>
      </c>
      <c r="E240" s="240" t="str">
        <f>VLOOKUP(Ruimtestaat[[#This Row],[Code]],Locaties[#All],6,FALSE)</f>
        <v>Nijmegen</v>
      </c>
      <c r="F240" s="241" t="s">
        <v>846</v>
      </c>
      <c r="G240" s="200">
        <v>1</v>
      </c>
      <c r="H240" s="200" t="s">
        <v>768</v>
      </c>
      <c r="I240" s="241" t="s">
        <v>804</v>
      </c>
      <c r="J240" s="240">
        <v>21</v>
      </c>
      <c r="K240" s="256" t="str">
        <f>VLOOKUP(Ruimtestaat[[#This Row],[Ruimte code]],Ruimtegroepen[#All],2,FALSE)</f>
        <v>Niet in onderhoud</v>
      </c>
      <c r="L240" s="213" t="s">
        <v>110</v>
      </c>
      <c r="M240" s="268" t="s">
        <v>644</v>
      </c>
      <c r="N240" s="269">
        <v>42</v>
      </c>
      <c r="O240" s="269"/>
      <c r="P240" s="240" t="str">
        <f>VLOOKUP(Ruimtestaat[[#This Row],[Ruimte code]],Ruimtegroepen[#All],4,FALSE)</f>
        <v>Niet in onderhoud</v>
      </c>
      <c r="Q240" s="213">
        <v>20</v>
      </c>
      <c r="R240" s="213" t="s">
        <v>15</v>
      </c>
      <c r="S240" s="213">
        <f>IF(Q240&gt;0,IF(RIGHT(Ruimtestaat[[#This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</v>
      </c>
      <c r="T240" s="213">
        <f>IF(S240&gt;0,VLOOKUP($J240,Ruimtegroepen[],3,FALSE)*VLOOKUP($L240,Vloersoorten[],3,FALSE)*VLOOKUP($R240,Frequenties[],3,FALSE)*VLOOKUP($A240,Locaties[],3,FALSE),0)</f>
        <v>0</v>
      </c>
      <c r="U240" s="213">
        <f>Ruimtestaat[[#This Row],[Uitvoeringen werkdagen]]*Ruimtestaat[[#This Row],[Oppervlak (netto)]]</f>
        <v>840</v>
      </c>
      <c r="V240" s="253">
        <f>IF(T240&gt;0,Ruimtestaat[[#This Row],[Prest. (m2 /jaar) werkdagen]]/Ruimtestaat[[#This Row],[Norm (m2/uur) werkdagen]],0)</f>
        <v>0</v>
      </c>
      <c r="W240" s="254">
        <f>Ruimtestaat[[#This Row],[uren / jaar werkdagen]]*Tariefsopbouw!$D$38</f>
        <v>0</v>
      </c>
      <c r="X240" s="33"/>
      <c r="Y240" s="33">
        <f>IF(Ruimtestaat[[#This Row],[Frequentie weekend]]&gt;0,VALUE(LEFT(X240,1))*Q240,0)</f>
        <v>0</v>
      </c>
      <c r="Z240" s="33">
        <f>IF($Y240&gt;0,VLOOKUP($J240,Ruimtegroepen[],3,FALSE)*VLOOKUP($L240,Vloersoorten[],3,FALSE)*VLOOKUP($X240,Frequenties[],3,FALSE)*VLOOKUP(#REF!,Locaties[],3,FALSE),0)</f>
        <v>0</v>
      </c>
      <c r="AA240" s="33"/>
      <c r="AB240" s="33"/>
      <c r="AC240" s="33">
        <f>Ruimtestaat[[#This Row],[uren / jaar weekend]]*Tariefsopbouw!$D$40</f>
        <v>0</v>
      </c>
      <c r="AD240" s="88">
        <f>Ruimtestaat[[#This Row],[Prest. (m2 /jaar) weekend]]+Ruimtestaat[[#This Row],[Prest. (m2 /jaar) werkdagen]]</f>
        <v>840</v>
      </c>
      <c r="AE240" s="88">
        <f>Ruimtestaat[[#This Row],[uren / jaar weekend]]+Ruimtestaat[[#This Row],[uren / jaar werkdagen]]</f>
        <v>0</v>
      </c>
      <c r="AF240" s="89">
        <f>Ruimtestaat[[#This Row],[kosten / jaar weekend]]+Ruimtestaat[[#This Row],[kosten / jaar werkdagen]]</f>
        <v>0</v>
      </c>
    </row>
    <row r="241" spans="1:32" ht="15" customHeight="1">
      <c r="A241" s="213">
        <v>3</v>
      </c>
      <c r="B241" s="200" t="str">
        <f>VLOOKUP(Ruimtestaat[[#This Row],[Code]],Locaties[#All],2,FALSE)</f>
        <v>Karel de Grote College</v>
      </c>
      <c r="C241" s="240" t="str">
        <f>VLOOKUP(Ruimtestaat[[#This Row],[Code]],Locaties[#All],4,FALSE)</f>
        <v>Wilhelminasingel 15</v>
      </c>
      <c r="D241" s="240" t="str">
        <f>VLOOKUP(Ruimtestaat[[#This Row],[Code]],Locaties[#All],5,FALSE)</f>
        <v>6524 AJ</v>
      </c>
      <c r="E241" s="240" t="str">
        <f>VLOOKUP(Ruimtestaat[[#This Row],[Code]],Locaties[#All],6,FALSE)</f>
        <v>Nijmegen</v>
      </c>
      <c r="F241" s="241" t="s">
        <v>846</v>
      </c>
      <c r="G241" s="200">
        <v>1</v>
      </c>
      <c r="H241" s="200" t="s">
        <v>769</v>
      </c>
      <c r="I241" s="241" t="s">
        <v>805</v>
      </c>
      <c r="J241" s="240">
        <v>21</v>
      </c>
      <c r="K241" s="256" t="str">
        <f>VLOOKUP(Ruimtestaat[[#This Row],[Ruimte code]],Ruimtegroepen[#All],2,FALSE)</f>
        <v>Niet in onderhoud</v>
      </c>
      <c r="L241" s="240" t="s">
        <v>109</v>
      </c>
      <c r="M241" s="268" t="s">
        <v>649</v>
      </c>
      <c r="N241" s="269">
        <v>8</v>
      </c>
      <c r="O241" s="269"/>
      <c r="P241" s="240" t="str">
        <f>VLOOKUP(Ruimtestaat[[#This Row],[Ruimte code]],Ruimtegroepen[#All],4,FALSE)</f>
        <v>Niet in onderhoud</v>
      </c>
      <c r="Q241" s="213">
        <v>20</v>
      </c>
      <c r="R241" s="213" t="s">
        <v>15</v>
      </c>
      <c r="S241" s="213">
        <f>IF(Q241&gt;0,IF(RIGHT(Ruimtestaat[[#This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</v>
      </c>
      <c r="T241" s="213">
        <f>IF(S241&gt;0,VLOOKUP($J241,Ruimtegroepen[],3,FALSE)*VLOOKUP($L241,Vloersoorten[],3,FALSE)*VLOOKUP($R241,Frequenties[],3,FALSE)*VLOOKUP($A241,Locaties[],3,FALSE),0)</f>
        <v>0</v>
      </c>
      <c r="U241" s="213">
        <f>Ruimtestaat[[#This Row],[Uitvoeringen werkdagen]]*Ruimtestaat[[#This Row],[Oppervlak (netto)]]</f>
        <v>160</v>
      </c>
      <c r="V241" s="253">
        <f>IF(T241&gt;0,Ruimtestaat[[#This Row],[Prest. (m2 /jaar) werkdagen]]/Ruimtestaat[[#This Row],[Norm (m2/uur) werkdagen]],0)</f>
        <v>0</v>
      </c>
      <c r="W241" s="254">
        <f>Ruimtestaat[[#This Row],[uren / jaar werkdagen]]*Tariefsopbouw!$D$38</f>
        <v>0</v>
      </c>
      <c r="X241" s="33"/>
      <c r="Y241" s="33">
        <f>IF(Ruimtestaat[[#This Row],[Frequentie weekend]]&gt;0,VALUE(LEFT(X241,1))*Q241,0)</f>
        <v>0</v>
      </c>
      <c r="Z241" s="33">
        <f>IF($Y241&gt;0,VLOOKUP($J241,Ruimtegroepen[],3,FALSE)*VLOOKUP($L241,Vloersoorten[],3,FALSE)*VLOOKUP($X241,Frequenties[],3,FALSE)*VLOOKUP(#REF!,Locaties[],3,FALSE),0)</f>
        <v>0</v>
      </c>
      <c r="AA241" s="33"/>
      <c r="AB241" s="33"/>
      <c r="AC241" s="33">
        <f>Ruimtestaat[[#This Row],[uren / jaar weekend]]*Tariefsopbouw!$D$40</f>
        <v>0</v>
      </c>
      <c r="AD241" s="88">
        <f>Ruimtestaat[[#This Row],[Prest. (m2 /jaar) weekend]]+Ruimtestaat[[#This Row],[Prest. (m2 /jaar) werkdagen]]</f>
        <v>160</v>
      </c>
      <c r="AE241" s="88">
        <f>Ruimtestaat[[#This Row],[uren / jaar weekend]]+Ruimtestaat[[#This Row],[uren / jaar werkdagen]]</f>
        <v>0</v>
      </c>
      <c r="AF241" s="89">
        <f>Ruimtestaat[[#This Row],[kosten / jaar weekend]]+Ruimtestaat[[#This Row],[kosten / jaar werkdagen]]</f>
        <v>0</v>
      </c>
    </row>
    <row r="242" spans="1:32" ht="15" customHeight="1">
      <c r="A242" s="213">
        <v>3</v>
      </c>
      <c r="B242" s="200" t="str">
        <f>VLOOKUP(Ruimtestaat[[#This Row],[Code]],Locaties[#All],2,FALSE)</f>
        <v>Karel de Grote College</v>
      </c>
      <c r="C242" s="240" t="str">
        <f>VLOOKUP(Ruimtestaat[[#This Row],[Code]],Locaties[#All],4,FALSE)</f>
        <v>Wilhelminasingel 15</v>
      </c>
      <c r="D242" s="240" t="str">
        <f>VLOOKUP(Ruimtestaat[[#This Row],[Code]],Locaties[#All],5,FALSE)</f>
        <v>6524 AJ</v>
      </c>
      <c r="E242" s="240" t="str">
        <f>VLOOKUP(Ruimtestaat[[#This Row],[Code]],Locaties[#All],6,FALSE)</f>
        <v>Nijmegen</v>
      </c>
      <c r="F242" s="241" t="s">
        <v>846</v>
      </c>
      <c r="G242" s="200">
        <v>1</v>
      </c>
      <c r="H242" s="200" t="s">
        <v>476</v>
      </c>
      <c r="I242" s="241" t="s">
        <v>673</v>
      </c>
      <c r="J242" s="200">
        <v>16</v>
      </c>
      <c r="K242" s="256" t="str">
        <f>VLOOKUP(Ruimtestaat[[#This Row],[Ruimte code]],Ruimtegroepen[#All],2,FALSE)</f>
        <v>Lokaal</v>
      </c>
      <c r="L242" s="213" t="s">
        <v>110</v>
      </c>
      <c r="M242" s="268" t="s">
        <v>644</v>
      </c>
      <c r="N242" s="269">
        <v>54</v>
      </c>
      <c r="O242" s="212"/>
      <c r="P242" s="240" t="str">
        <f>VLOOKUP(Ruimtestaat[[#This Row],[Ruimte code]],Ruimtegroepen[#All],4,FALSE)</f>
        <v>L  (Lesruimte)</v>
      </c>
      <c r="Q242" s="213">
        <v>40</v>
      </c>
      <c r="R242" s="213" t="s">
        <v>2</v>
      </c>
      <c r="S242" s="213">
        <f>IF(Q242&gt;0,IF(RIGHT(Ruimtestaat[[#This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42" s="213">
        <f>IF(S242&gt;0,VLOOKUP($J242,Ruimtegroepen[],3,FALSE)*VLOOKUP($L242,Vloersoorten[],3,FALSE)*VLOOKUP($R242,Frequenties[],3,FALSE)*VLOOKUP($A242,Locaties[],3,FALSE),0)</f>
        <v>0</v>
      </c>
      <c r="U242" s="213">
        <f>Ruimtestaat[[#This Row],[Uitvoeringen werkdagen]]*Ruimtestaat[[#This Row],[Oppervlak (netto)]]</f>
        <v>10800</v>
      </c>
      <c r="V242" s="253">
        <f>IF(T242&gt;0,Ruimtestaat[[#This Row],[Prest. (m2 /jaar) werkdagen]]/Ruimtestaat[[#This Row],[Norm (m2/uur) werkdagen]],0)</f>
        <v>0</v>
      </c>
      <c r="W242" s="254">
        <f>Ruimtestaat[[#This Row],[uren / jaar werkdagen]]*Tariefsopbouw!$D$38</f>
        <v>0</v>
      </c>
      <c r="X242" s="33"/>
      <c r="Y242" s="33">
        <f>IF(Ruimtestaat[[#This Row],[Frequentie weekend]]&gt;0,VALUE(LEFT(X242,1))*Q242,0)</f>
        <v>0</v>
      </c>
      <c r="Z242" s="33">
        <f>IF($Y242&gt;0,VLOOKUP($J242,Ruimtegroepen[],3,FALSE)*VLOOKUP($L242,Vloersoorten[],3,FALSE)*VLOOKUP($X242,Frequenties[],3,FALSE)*VLOOKUP(#REF!,Locaties[],3,FALSE),0)</f>
        <v>0</v>
      </c>
      <c r="AA242" s="33"/>
      <c r="AB242" s="33"/>
      <c r="AC242" s="33">
        <f>Ruimtestaat[[#This Row],[uren / jaar weekend]]*Tariefsopbouw!$D$40</f>
        <v>0</v>
      </c>
      <c r="AD242" s="88">
        <f>Ruimtestaat[[#This Row],[Prest. (m2 /jaar) weekend]]+Ruimtestaat[[#This Row],[Prest. (m2 /jaar) werkdagen]]</f>
        <v>10800</v>
      </c>
      <c r="AE242" s="88">
        <f>Ruimtestaat[[#This Row],[uren / jaar weekend]]+Ruimtestaat[[#This Row],[uren / jaar werkdagen]]</f>
        <v>0</v>
      </c>
      <c r="AF242" s="89">
        <f>Ruimtestaat[[#This Row],[kosten / jaar weekend]]+Ruimtestaat[[#This Row],[kosten / jaar werkdagen]]</f>
        <v>0</v>
      </c>
    </row>
    <row r="243" spans="1:32" ht="15" customHeight="1">
      <c r="A243" s="213">
        <v>3</v>
      </c>
      <c r="B243" s="200" t="str">
        <f>VLOOKUP(Ruimtestaat[[#This Row],[Code]],Locaties[#All],2,FALSE)</f>
        <v>Karel de Grote College</v>
      </c>
      <c r="C243" s="240" t="str">
        <f>VLOOKUP(Ruimtestaat[[#This Row],[Code]],Locaties[#All],4,FALSE)</f>
        <v>Wilhelminasingel 15</v>
      </c>
      <c r="D243" s="240" t="str">
        <f>VLOOKUP(Ruimtestaat[[#This Row],[Code]],Locaties[#All],5,FALSE)</f>
        <v>6524 AJ</v>
      </c>
      <c r="E243" s="240" t="str">
        <f>VLOOKUP(Ruimtestaat[[#This Row],[Code]],Locaties[#All],6,FALSE)</f>
        <v>Nijmegen</v>
      </c>
      <c r="F243" s="241" t="s">
        <v>846</v>
      </c>
      <c r="G243" s="200">
        <v>1</v>
      </c>
      <c r="H243" s="200" t="s">
        <v>770</v>
      </c>
      <c r="I243" s="241" t="s">
        <v>806</v>
      </c>
      <c r="J243" s="240">
        <v>2</v>
      </c>
      <c r="K243" s="256" t="str">
        <f>VLOOKUP(Ruimtestaat[[#This Row],[Ruimte code]],Ruimtegroepen[#All],2,FALSE)</f>
        <v>Kantoren</v>
      </c>
      <c r="L243" s="240" t="s">
        <v>109</v>
      </c>
      <c r="M243" s="268" t="s">
        <v>649</v>
      </c>
      <c r="N243" s="269">
        <v>7</v>
      </c>
      <c r="O243" s="212"/>
      <c r="P243" s="240" t="str">
        <f>VLOOKUP(Ruimtestaat[[#This Row],[Ruimte code]],Ruimtegroepen[#All],4,FALSE)</f>
        <v>B  (Bureauruimte)</v>
      </c>
      <c r="Q243" s="213">
        <v>40</v>
      </c>
      <c r="R243" s="213" t="s">
        <v>17</v>
      </c>
      <c r="S243" s="213">
        <f>IF(Q243&gt;0,IF(RIGHT(Ruimtestaat[[#This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43" s="213">
        <f>IF(S243&gt;0,VLOOKUP($J243,Ruimtegroepen[],3,FALSE)*VLOOKUP($L243,Vloersoorten[],3,FALSE)*VLOOKUP($R243,Frequenties[],3,FALSE)*VLOOKUP($A243,Locaties[],3,FALSE),0)</f>
        <v>0</v>
      </c>
      <c r="U243" s="213">
        <f>Ruimtestaat[[#This Row],[Uitvoeringen werkdagen]]*Ruimtestaat[[#This Row],[Oppervlak (netto)]]</f>
        <v>560</v>
      </c>
      <c r="V243" s="253">
        <f>IF(T243&gt;0,Ruimtestaat[[#This Row],[Prest. (m2 /jaar) werkdagen]]/Ruimtestaat[[#This Row],[Norm (m2/uur) werkdagen]],0)</f>
        <v>0</v>
      </c>
      <c r="W243" s="254">
        <f>Ruimtestaat[[#This Row],[uren / jaar werkdagen]]*Tariefsopbouw!$D$38</f>
        <v>0</v>
      </c>
      <c r="X243" s="33"/>
      <c r="Y243" s="33">
        <f>IF(Ruimtestaat[[#This Row],[Frequentie weekend]]&gt;0,VALUE(LEFT(X243,1))*Q243,0)</f>
        <v>0</v>
      </c>
      <c r="Z243" s="33">
        <f>IF($Y243&gt;0,VLOOKUP($J243,Ruimtegroepen[],3,FALSE)*VLOOKUP($L243,Vloersoorten[],3,FALSE)*VLOOKUP($X243,Frequenties[],3,FALSE)*VLOOKUP(#REF!,Locaties[],3,FALSE),0)</f>
        <v>0</v>
      </c>
      <c r="AA243" s="33"/>
      <c r="AB243" s="33"/>
      <c r="AC243" s="33">
        <f>Ruimtestaat[[#This Row],[uren / jaar weekend]]*Tariefsopbouw!$D$40</f>
        <v>0</v>
      </c>
      <c r="AD243" s="88">
        <f>Ruimtestaat[[#This Row],[Prest. (m2 /jaar) weekend]]+Ruimtestaat[[#This Row],[Prest. (m2 /jaar) werkdagen]]</f>
        <v>560</v>
      </c>
      <c r="AE243" s="88">
        <f>Ruimtestaat[[#This Row],[uren / jaar weekend]]+Ruimtestaat[[#This Row],[uren / jaar werkdagen]]</f>
        <v>0</v>
      </c>
      <c r="AF243" s="89">
        <f>Ruimtestaat[[#This Row],[kosten / jaar weekend]]+Ruimtestaat[[#This Row],[kosten / jaar werkdagen]]</f>
        <v>0</v>
      </c>
    </row>
    <row r="244" spans="1:32" ht="15" customHeight="1">
      <c r="A244" s="213">
        <v>3</v>
      </c>
      <c r="B244" s="200" t="str">
        <f>VLOOKUP(Ruimtestaat[[#This Row],[Code]],Locaties[#All],2,FALSE)</f>
        <v>Karel de Grote College</v>
      </c>
      <c r="C244" s="240" t="str">
        <f>VLOOKUP(Ruimtestaat[[#This Row],[Code]],Locaties[#All],4,FALSE)</f>
        <v>Wilhelminasingel 15</v>
      </c>
      <c r="D244" s="240" t="str">
        <f>VLOOKUP(Ruimtestaat[[#This Row],[Code]],Locaties[#All],5,FALSE)</f>
        <v>6524 AJ</v>
      </c>
      <c r="E244" s="240" t="str">
        <f>VLOOKUP(Ruimtestaat[[#This Row],[Code]],Locaties[#All],6,FALSE)</f>
        <v>Nijmegen</v>
      </c>
      <c r="F244" s="241" t="s">
        <v>846</v>
      </c>
      <c r="G244" s="200">
        <v>1</v>
      </c>
      <c r="H244" s="200" t="s">
        <v>477</v>
      </c>
      <c r="I244" s="241" t="s">
        <v>807</v>
      </c>
      <c r="J244" s="240">
        <v>2</v>
      </c>
      <c r="K244" s="256" t="str">
        <f>VLOOKUP(Ruimtestaat[[#This Row],[Ruimte code]],Ruimtegroepen[#All],2,FALSE)</f>
        <v>Kantoren</v>
      </c>
      <c r="L244" s="240" t="s">
        <v>109</v>
      </c>
      <c r="M244" s="268" t="s">
        <v>649</v>
      </c>
      <c r="N244" s="269">
        <v>26</v>
      </c>
      <c r="O244" s="212"/>
      <c r="P244" s="240" t="str">
        <f>VLOOKUP(Ruimtestaat[[#This Row],[Ruimte code]],Ruimtegroepen[#All],4,FALSE)</f>
        <v>B  (Bureauruimte)</v>
      </c>
      <c r="Q244" s="213">
        <v>40</v>
      </c>
      <c r="R244" s="213" t="s">
        <v>17</v>
      </c>
      <c r="S244" s="213">
        <f>IF(Q244&gt;0,IF(RIGHT(Ruimtestaat[[#This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44" s="213">
        <f>IF(S244&gt;0,VLOOKUP($J244,Ruimtegroepen[],3,FALSE)*VLOOKUP($L244,Vloersoorten[],3,FALSE)*VLOOKUP($R244,Frequenties[],3,FALSE)*VLOOKUP($A244,Locaties[],3,FALSE),0)</f>
        <v>0</v>
      </c>
      <c r="U244" s="213">
        <f>Ruimtestaat[[#This Row],[Uitvoeringen werkdagen]]*Ruimtestaat[[#This Row],[Oppervlak (netto)]]</f>
        <v>2080</v>
      </c>
      <c r="V244" s="253">
        <f>IF(T244&gt;0,Ruimtestaat[[#This Row],[Prest. (m2 /jaar) werkdagen]]/Ruimtestaat[[#This Row],[Norm (m2/uur) werkdagen]],0)</f>
        <v>0</v>
      </c>
      <c r="W244" s="254">
        <f>Ruimtestaat[[#This Row],[uren / jaar werkdagen]]*Tariefsopbouw!$D$38</f>
        <v>0</v>
      </c>
      <c r="X244" s="33"/>
      <c r="Y244" s="33">
        <f>IF(Ruimtestaat[[#This Row],[Frequentie weekend]]&gt;0,VALUE(LEFT(X244,1))*Q244,0)</f>
        <v>0</v>
      </c>
      <c r="Z244" s="33">
        <f>IF($Y244&gt;0,VLOOKUP($J244,Ruimtegroepen[],3,FALSE)*VLOOKUP($L244,Vloersoorten[],3,FALSE)*VLOOKUP($X244,Frequenties[],3,FALSE)*VLOOKUP(#REF!,Locaties[],3,FALSE),0)</f>
        <v>0</v>
      </c>
      <c r="AA244" s="33"/>
      <c r="AB244" s="33"/>
      <c r="AC244" s="33">
        <f>Ruimtestaat[[#This Row],[uren / jaar weekend]]*Tariefsopbouw!$D$40</f>
        <v>0</v>
      </c>
      <c r="AD244" s="88">
        <f>Ruimtestaat[[#This Row],[Prest. (m2 /jaar) weekend]]+Ruimtestaat[[#This Row],[Prest. (m2 /jaar) werkdagen]]</f>
        <v>2080</v>
      </c>
      <c r="AE244" s="88">
        <f>Ruimtestaat[[#This Row],[uren / jaar weekend]]+Ruimtestaat[[#This Row],[uren / jaar werkdagen]]</f>
        <v>0</v>
      </c>
      <c r="AF244" s="89">
        <f>Ruimtestaat[[#This Row],[kosten / jaar weekend]]+Ruimtestaat[[#This Row],[kosten / jaar werkdagen]]</f>
        <v>0</v>
      </c>
    </row>
    <row r="245" spans="1:32" ht="15" customHeight="1">
      <c r="A245" s="213">
        <v>3</v>
      </c>
      <c r="B245" s="200" t="str">
        <f>VLOOKUP(Ruimtestaat[[#This Row],[Code]],Locaties[#All],2,FALSE)</f>
        <v>Karel de Grote College</v>
      </c>
      <c r="C245" s="240" t="str">
        <f>VLOOKUP(Ruimtestaat[[#This Row],[Code]],Locaties[#All],4,FALSE)</f>
        <v>Wilhelminasingel 15</v>
      </c>
      <c r="D245" s="240" t="str">
        <f>VLOOKUP(Ruimtestaat[[#This Row],[Code]],Locaties[#All],5,FALSE)</f>
        <v>6524 AJ</v>
      </c>
      <c r="E245" s="240" t="str">
        <f>VLOOKUP(Ruimtestaat[[#This Row],[Code]],Locaties[#All],6,FALSE)</f>
        <v>Nijmegen</v>
      </c>
      <c r="F245" s="241" t="s">
        <v>846</v>
      </c>
      <c r="G245" s="200">
        <v>1</v>
      </c>
      <c r="H245" s="200" t="s">
        <v>771</v>
      </c>
      <c r="I245" s="241" t="s">
        <v>808</v>
      </c>
      <c r="J245" s="240">
        <v>2</v>
      </c>
      <c r="K245" s="256" t="str">
        <f>VLOOKUP(Ruimtestaat[[#This Row],[Ruimte code]],Ruimtegroepen[#All],2,FALSE)</f>
        <v>Kantoren</v>
      </c>
      <c r="L245" s="240" t="s">
        <v>109</v>
      </c>
      <c r="M245" s="268" t="s">
        <v>649</v>
      </c>
      <c r="N245" s="269">
        <v>12</v>
      </c>
      <c r="O245" s="212"/>
      <c r="P245" s="240" t="str">
        <f>VLOOKUP(Ruimtestaat[[#This Row],[Ruimte code]],Ruimtegroepen[#All],4,FALSE)</f>
        <v>B  (Bureauruimte)</v>
      </c>
      <c r="Q245" s="213">
        <v>40</v>
      </c>
      <c r="R245" s="213" t="s">
        <v>17</v>
      </c>
      <c r="S245" s="213">
        <f>IF(Q245&gt;0,IF(RIGHT(Ruimtestaat[[#This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45" s="213">
        <f>IF(S245&gt;0,VLOOKUP($J245,Ruimtegroepen[],3,FALSE)*VLOOKUP($L245,Vloersoorten[],3,FALSE)*VLOOKUP($R245,Frequenties[],3,FALSE)*VLOOKUP($A245,Locaties[],3,FALSE),0)</f>
        <v>0</v>
      </c>
      <c r="U245" s="213">
        <f>Ruimtestaat[[#This Row],[Uitvoeringen werkdagen]]*Ruimtestaat[[#This Row],[Oppervlak (netto)]]</f>
        <v>960</v>
      </c>
      <c r="V245" s="253">
        <f>IF(T245&gt;0,Ruimtestaat[[#This Row],[Prest. (m2 /jaar) werkdagen]]/Ruimtestaat[[#This Row],[Norm (m2/uur) werkdagen]],0)</f>
        <v>0</v>
      </c>
      <c r="W245" s="254">
        <f>Ruimtestaat[[#This Row],[uren / jaar werkdagen]]*Tariefsopbouw!$D$38</f>
        <v>0</v>
      </c>
      <c r="X245" s="33"/>
      <c r="Y245" s="33">
        <f>IF(Ruimtestaat[[#This Row],[Frequentie weekend]]&gt;0,VALUE(LEFT(X245,1))*Q245,0)</f>
        <v>0</v>
      </c>
      <c r="Z245" s="33">
        <f>IF($Y245&gt;0,VLOOKUP($J245,Ruimtegroepen[],3,FALSE)*VLOOKUP($L245,Vloersoorten[],3,FALSE)*VLOOKUP($X245,Frequenties[],3,FALSE)*VLOOKUP(#REF!,Locaties[],3,FALSE),0)</f>
        <v>0</v>
      </c>
      <c r="AA245" s="33"/>
      <c r="AB245" s="33"/>
      <c r="AC245" s="33">
        <f>Ruimtestaat[[#This Row],[uren / jaar weekend]]*Tariefsopbouw!$D$40</f>
        <v>0</v>
      </c>
      <c r="AD245" s="88">
        <f>Ruimtestaat[[#This Row],[Prest. (m2 /jaar) weekend]]+Ruimtestaat[[#This Row],[Prest. (m2 /jaar) werkdagen]]</f>
        <v>960</v>
      </c>
      <c r="AE245" s="88">
        <f>Ruimtestaat[[#This Row],[uren / jaar weekend]]+Ruimtestaat[[#This Row],[uren / jaar werkdagen]]</f>
        <v>0</v>
      </c>
      <c r="AF245" s="89">
        <f>Ruimtestaat[[#This Row],[kosten / jaar weekend]]+Ruimtestaat[[#This Row],[kosten / jaar werkdagen]]</f>
        <v>0</v>
      </c>
    </row>
    <row r="246" spans="1:32" ht="15" customHeight="1">
      <c r="A246" s="213">
        <v>3</v>
      </c>
      <c r="B246" s="200" t="str">
        <f>VLOOKUP(Ruimtestaat[[#This Row],[Code]],Locaties[#All],2,FALSE)</f>
        <v>Karel de Grote College</v>
      </c>
      <c r="C246" s="240" t="str">
        <f>VLOOKUP(Ruimtestaat[[#This Row],[Code]],Locaties[#All],4,FALSE)</f>
        <v>Wilhelminasingel 15</v>
      </c>
      <c r="D246" s="240" t="str">
        <f>VLOOKUP(Ruimtestaat[[#This Row],[Code]],Locaties[#All],5,FALSE)</f>
        <v>6524 AJ</v>
      </c>
      <c r="E246" s="240" t="str">
        <f>VLOOKUP(Ruimtestaat[[#This Row],[Code]],Locaties[#All],6,FALSE)</f>
        <v>Nijmegen</v>
      </c>
      <c r="F246" s="241" t="s">
        <v>846</v>
      </c>
      <c r="G246" s="200">
        <v>1</v>
      </c>
      <c r="H246" s="200" t="s">
        <v>772</v>
      </c>
      <c r="I246" s="241" t="s">
        <v>809</v>
      </c>
      <c r="J246" s="240">
        <v>2</v>
      </c>
      <c r="K246" s="256" t="str">
        <f>VLOOKUP(Ruimtestaat[[#This Row],[Ruimte code]],Ruimtegroepen[#All],2,FALSE)</f>
        <v>Kantoren</v>
      </c>
      <c r="L246" s="240" t="s">
        <v>109</v>
      </c>
      <c r="M246" s="268" t="s">
        <v>649</v>
      </c>
      <c r="N246" s="269">
        <v>5</v>
      </c>
      <c r="O246" s="212"/>
      <c r="P246" s="240" t="str">
        <f>VLOOKUP(Ruimtestaat[[#This Row],[Ruimte code]],Ruimtegroepen[#All],4,FALSE)</f>
        <v>B  (Bureauruimte)</v>
      </c>
      <c r="Q246" s="213">
        <v>40</v>
      </c>
      <c r="R246" s="213" t="s">
        <v>17</v>
      </c>
      <c r="S246" s="213">
        <f>IF(Q246&gt;0,IF(RIGHT(Ruimtestaat[[#This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46" s="213">
        <f>IF(S246&gt;0,VLOOKUP($J246,Ruimtegroepen[],3,FALSE)*VLOOKUP($L246,Vloersoorten[],3,FALSE)*VLOOKUP($R246,Frequenties[],3,FALSE)*VLOOKUP($A246,Locaties[],3,FALSE),0)</f>
        <v>0</v>
      </c>
      <c r="U246" s="213">
        <f>Ruimtestaat[[#This Row],[Uitvoeringen werkdagen]]*Ruimtestaat[[#This Row],[Oppervlak (netto)]]</f>
        <v>400</v>
      </c>
      <c r="V246" s="253">
        <f>IF(T246&gt;0,Ruimtestaat[[#This Row],[Prest. (m2 /jaar) werkdagen]]/Ruimtestaat[[#This Row],[Norm (m2/uur) werkdagen]],0)</f>
        <v>0</v>
      </c>
      <c r="W246" s="254">
        <f>Ruimtestaat[[#This Row],[uren / jaar werkdagen]]*Tariefsopbouw!$D$38</f>
        <v>0</v>
      </c>
      <c r="X246" s="33"/>
      <c r="Y246" s="33">
        <f>IF(Ruimtestaat[[#This Row],[Frequentie weekend]]&gt;0,VALUE(LEFT(X246,1))*Q246,0)</f>
        <v>0</v>
      </c>
      <c r="Z246" s="33">
        <f>IF($Y246&gt;0,VLOOKUP($J246,Ruimtegroepen[],3,FALSE)*VLOOKUP($L246,Vloersoorten[],3,FALSE)*VLOOKUP($X246,Frequenties[],3,FALSE)*VLOOKUP(#REF!,Locaties[],3,FALSE),0)</f>
        <v>0</v>
      </c>
      <c r="AA246" s="33"/>
      <c r="AB246" s="33"/>
      <c r="AC246" s="33">
        <f>Ruimtestaat[[#This Row],[uren / jaar weekend]]*Tariefsopbouw!$D$40</f>
        <v>0</v>
      </c>
      <c r="AD246" s="88">
        <f>Ruimtestaat[[#This Row],[Prest. (m2 /jaar) weekend]]+Ruimtestaat[[#This Row],[Prest. (m2 /jaar) werkdagen]]</f>
        <v>400</v>
      </c>
      <c r="AE246" s="88">
        <f>Ruimtestaat[[#This Row],[uren / jaar weekend]]+Ruimtestaat[[#This Row],[uren / jaar werkdagen]]</f>
        <v>0</v>
      </c>
      <c r="AF246" s="89">
        <f>Ruimtestaat[[#This Row],[kosten / jaar weekend]]+Ruimtestaat[[#This Row],[kosten / jaar werkdagen]]</f>
        <v>0</v>
      </c>
    </row>
    <row r="247" spans="1:32" ht="15" customHeight="1">
      <c r="A247" s="213">
        <v>3</v>
      </c>
      <c r="B247" s="200" t="str">
        <f>VLOOKUP(Ruimtestaat[[#This Row],[Code]],Locaties[#All],2,FALSE)</f>
        <v>Karel de Grote College</v>
      </c>
      <c r="C247" s="240" t="str">
        <f>VLOOKUP(Ruimtestaat[[#This Row],[Code]],Locaties[#All],4,FALSE)</f>
        <v>Wilhelminasingel 15</v>
      </c>
      <c r="D247" s="240" t="str">
        <f>VLOOKUP(Ruimtestaat[[#This Row],[Code]],Locaties[#All],5,FALSE)</f>
        <v>6524 AJ</v>
      </c>
      <c r="E247" s="240" t="str">
        <f>VLOOKUP(Ruimtestaat[[#This Row],[Code]],Locaties[#All],6,FALSE)</f>
        <v>Nijmegen</v>
      </c>
      <c r="F247" s="241" t="s">
        <v>846</v>
      </c>
      <c r="G247" s="200">
        <v>1</v>
      </c>
      <c r="H247" s="200" t="s">
        <v>478</v>
      </c>
      <c r="I247" s="241" t="s">
        <v>810</v>
      </c>
      <c r="J247" s="240">
        <v>6</v>
      </c>
      <c r="K247" s="256" t="str">
        <f>VLOOKUP(Ruimtestaat[[#This Row],[Ruimte code]],Ruimtegroepen[#All],2,FALSE)</f>
        <v>Gangen/hallen</v>
      </c>
      <c r="L247" s="240" t="s">
        <v>111</v>
      </c>
      <c r="M247" s="268" t="s">
        <v>554</v>
      </c>
      <c r="N247" s="269">
        <v>83</v>
      </c>
      <c r="O247" s="212"/>
      <c r="P247" s="240" t="str">
        <f>VLOOKUP(Ruimtestaat[[#This Row],[Ruimte code]],Ruimtegroepen[#All],4,FALSE)</f>
        <v>V  (Verkeersruimte)</v>
      </c>
      <c r="Q247" s="213">
        <v>40</v>
      </c>
      <c r="R247" s="213" t="s">
        <v>2</v>
      </c>
      <c r="S247" s="213">
        <f>IF(Q247&gt;0,IF(RIGHT(Ruimtestaat[[#This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47" s="213">
        <f>IF(S247&gt;0,VLOOKUP($J247,Ruimtegroepen[],3,FALSE)*VLOOKUP($L247,Vloersoorten[],3,FALSE)*VLOOKUP($R247,Frequenties[],3,FALSE)*VLOOKUP($A247,Locaties[],3,FALSE),0)</f>
        <v>0</v>
      </c>
      <c r="U247" s="213">
        <f>Ruimtestaat[[#This Row],[Uitvoeringen werkdagen]]*Ruimtestaat[[#This Row],[Oppervlak (netto)]]</f>
        <v>16600</v>
      </c>
      <c r="V247" s="253">
        <f>IF(T247&gt;0,Ruimtestaat[[#This Row],[Prest. (m2 /jaar) werkdagen]]/Ruimtestaat[[#This Row],[Norm (m2/uur) werkdagen]],0)</f>
        <v>0</v>
      </c>
      <c r="W247" s="254">
        <f>Ruimtestaat[[#This Row],[uren / jaar werkdagen]]*Tariefsopbouw!$D$38</f>
        <v>0</v>
      </c>
      <c r="X247" s="33"/>
      <c r="Y247" s="33">
        <f>IF(Ruimtestaat[[#This Row],[Frequentie weekend]]&gt;0,VALUE(LEFT(X247,1))*Q247,0)</f>
        <v>0</v>
      </c>
      <c r="Z247" s="33">
        <f>IF($Y247&gt;0,VLOOKUP($J247,Ruimtegroepen[],3,FALSE)*VLOOKUP($L247,Vloersoorten[],3,FALSE)*VLOOKUP($X247,Frequenties[],3,FALSE)*VLOOKUP(#REF!,Locaties[],3,FALSE),0)</f>
        <v>0</v>
      </c>
      <c r="AA247" s="33"/>
      <c r="AB247" s="33"/>
      <c r="AC247" s="33">
        <f>Ruimtestaat[[#This Row],[uren / jaar weekend]]*Tariefsopbouw!$D$40</f>
        <v>0</v>
      </c>
      <c r="AD247" s="88">
        <f>Ruimtestaat[[#This Row],[Prest. (m2 /jaar) weekend]]+Ruimtestaat[[#This Row],[Prest. (m2 /jaar) werkdagen]]</f>
        <v>16600</v>
      </c>
      <c r="AE247" s="88">
        <f>Ruimtestaat[[#This Row],[uren / jaar weekend]]+Ruimtestaat[[#This Row],[uren / jaar werkdagen]]</f>
        <v>0</v>
      </c>
      <c r="AF247" s="89">
        <f>Ruimtestaat[[#This Row],[kosten / jaar weekend]]+Ruimtestaat[[#This Row],[kosten / jaar werkdagen]]</f>
        <v>0</v>
      </c>
    </row>
    <row r="248" spans="1:32" ht="15" customHeight="1">
      <c r="A248" s="213">
        <v>3</v>
      </c>
      <c r="B248" s="200" t="str">
        <f>VLOOKUP(Ruimtestaat[[#This Row],[Code]],Locaties[#All],2,FALSE)</f>
        <v>Karel de Grote College</v>
      </c>
      <c r="C248" s="240" t="str">
        <f>VLOOKUP(Ruimtestaat[[#This Row],[Code]],Locaties[#All],4,FALSE)</f>
        <v>Wilhelminasingel 15</v>
      </c>
      <c r="D248" s="240" t="str">
        <f>VLOOKUP(Ruimtestaat[[#This Row],[Code]],Locaties[#All],5,FALSE)</f>
        <v>6524 AJ</v>
      </c>
      <c r="E248" s="240" t="str">
        <f>VLOOKUP(Ruimtestaat[[#This Row],[Code]],Locaties[#All],6,FALSE)</f>
        <v>Nijmegen</v>
      </c>
      <c r="F248" s="241" t="s">
        <v>846</v>
      </c>
      <c r="G248" s="200">
        <v>1</v>
      </c>
      <c r="H248" s="200" t="s">
        <v>773</v>
      </c>
      <c r="I248" s="241" t="s">
        <v>811</v>
      </c>
      <c r="J248" s="240">
        <v>7</v>
      </c>
      <c r="K248" s="256" t="str">
        <f>VLOOKUP(Ruimtestaat[[#This Row],[Ruimte code]],Ruimtegroepen[#All],2,FALSE)</f>
        <v>Entree</v>
      </c>
      <c r="L248" s="240" t="s">
        <v>109</v>
      </c>
      <c r="M248" s="200" t="s">
        <v>549</v>
      </c>
      <c r="N248" s="269">
        <v>5</v>
      </c>
      <c r="O248" s="212"/>
      <c r="P248" s="240" t="str">
        <f>VLOOKUP(Ruimtestaat[[#This Row],[Ruimte code]],Ruimtegroepen[#All],4,FALSE)</f>
        <v>V  (Verkeersruimte)</v>
      </c>
      <c r="Q248" s="213">
        <v>40</v>
      </c>
      <c r="R248" s="213" t="s">
        <v>2</v>
      </c>
      <c r="S248" s="213">
        <f>IF(Q248&gt;0,IF(RIGHT(Ruimtestaat[[#This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48" s="213">
        <f>IF(S248&gt;0,VLOOKUP($J248,Ruimtegroepen[],3,FALSE)*VLOOKUP($L248,Vloersoorten[],3,FALSE)*VLOOKUP($R248,Frequenties[],3,FALSE)*VLOOKUP($A248,Locaties[],3,FALSE),0)</f>
        <v>0</v>
      </c>
      <c r="U248" s="213">
        <f>Ruimtestaat[[#This Row],[Uitvoeringen werkdagen]]*Ruimtestaat[[#This Row],[Oppervlak (netto)]]</f>
        <v>1000</v>
      </c>
      <c r="V248" s="253">
        <f>IF(T248&gt;0,Ruimtestaat[[#This Row],[Prest. (m2 /jaar) werkdagen]]/Ruimtestaat[[#This Row],[Norm (m2/uur) werkdagen]],0)</f>
        <v>0</v>
      </c>
      <c r="W248" s="254">
        <f>Ruimtestaat[[#This Row],[uren / jaar werkdagen]]*Tariefsopbouw!$D$38</f>
        <v>0</v>
      </c>
      <c r="X248" s="33"/>
      <c r="Y248" s="33">
        <f>IF(Ruimtestaat[[#This Row],[Frequentie weekend]]&gt;0,VALUE(LEFT(X248,1))*Q248,0)</f>
        <v>0</v>
      </c>
      <c r="Z248" s="33">
        <f>IF($Y248&gt;0,VLOOKUP($J248,Ruimtegroepen[],3,FALSE)*VLOOKUP($L248,Vloersoorten[],3,FALSE)*VLOOKUP($X248,Frequenties[],3,FALSE)*VLOOKUP(#REF!,Locaties[],3,FALSE),0)</f>
        <v>0</v>
      </c>
      <c r="AA248" s="33"/>
      <c r="AB248" s="33"/>
      <c r="AC248" s="33">
        <f>Ruimtestaat[[#This Row],[uren / jaar weekend]]*Tariefsopbouw!$D$40</f>
        <v>0</v>
      </c>
      <c r="AD248" s="88">
        <f>Ruimtestaat[[#This Row],[Prest. (m2 /jaar) weekend]]+Ruimtestaat[[#This Row],[Prest. (m2 /jaar) werkdagen]]</f>
        <v>1000</v>
      </c>
      <c r="AE248" s="88">
        <f>Ruimtestaat[[#This Row],[uren / jaar weekend]]+Ruimtestaat[[#This Row],[uren / jaar werkdagen]]</f>
        <v>0</v>
      </c>
      <c r="AF248" s="89">
        <f>Ruimtestaat[[#This Row],[kosten / jaar weekend]]+Ruimtestaat[[#This Row],[kosten / jaar werkdagen]]</f>
        <v>0</v>
      </c>
    </row>
    <row r="249" spans="1:32" ht="15" customHeight="1">
      <c r="A249" s="213">
        <v>3</v>
      </c>
      <c r="B249" s="200" t="str">
        <f>VLOOKUP(Ruimtestaat[[#This Row],[Code]],Locaties[#All],2,FALSE)</f>
        <v>Karel de Grote College</v>
      </c>
      <c r="C249" s="240" t="str">
        <f>VLOOKUP(Ruimtestaat[[#This Row],[Code]],Locaties[#All],4,FALSE)</f>
        <v>Wilhelminasingel 15</v>
      </c>
      <c r="D249" s="240" t="str">
        <f>VLOOKUP(Ruimtestaat[[#This Row],[Code]],Locaties[#All],5,FALSE)</f>
        <v>6524 AJ</v>
      </c>
      <c r="E249" s="240" t="str">
        <f>VLOOKUP(Ruimtestaat[[#This Row],[Code]],Locaties[#All],6,FALSE)</f>
        <v>Nijmegen</v>
      </c>
      <c r="F249" s="241" t="s">
        <v>846</v>
      </c>
      <c r="G249" s="200">
        <v>1</v>
      </c>
      <c r="H249" s="200" t="s">
        <v>774</v>
      </c>
      <c r="I249" s="241" t="s">
        <v>812</v>
      </c>
      <c r="J249" s="240">
        <v>2</v>
      </c>
      <c r="K249" s="256" t="str">
        <f>VLOOKUP(Ruimtestaat[[#This Row],[Ruimte code]],Ruimtegroepen[#All],2,FALSE)</f>
        <v>Kantoren</v>
      </c>
      <c r="L249" s="240" t="s">
        <v>109</v>
      </c>
      <c r="M249" s="268" t="s">
        <v>649</v>
      </c>
      <c r="N249" s="269">
        <v>7</v>
      </c>
      <c r="O249" s="212"/>
      <c r="P249" s="240" t="str">
        <f>VLOOKUP(Ruimtestaat[[#This Row],[Ruimte code]],Ruimtegroepen[#All],4,FALSE)</f>
        <v>B  (Bureauruimte)</v>
      </c>
      <c r="Q249" s="213">
        <v>40</v>
      </c>
      <c r="R249" s="213" t="s">
        <v>17</v>
      </c>
      <c r="S249" s="213">
        <f>IF(Q249&gt;0,IF(RIGHT(Ruimtestaat[[#This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49" s="213">
        <f>IF(S249&gt;0,VLOOKUP($J249,Ruimtegroepen[],3,FALSE)*VLOOKUP($L249,Vloersoorten[],3,FALSE)*VLOOKUP($R249,Frequenties[],3,FALSE)*VLOOKUP($A249,Locaties[],3,FALSE),0)</f>
        <v>0</v>
      </c>
      <c r="U249" s="213">
        <f>Ruimtestaat[[#This Row],[Uitvoeringen werkdagen]]*Ruimtestaat[[#This Row],[Oppervlak (netto)]]</f>
        <v>560</v>
      </c>
      <c r="V249" s="253">
        <f>IF(T249&gt;0,Ruimtestaat[[#This Row],[Prest. (m2 /jaar) werkdagen]]/Ruimtestaat[[#This Row],[Norm (m2/uur) werkdagen]],0)</f>
        <v>0</v>
      </c>
      <c r="W249" s="254">
        <f>Ruimtestaat[[#This Row],[uren / jaar werkdagen]]*Tariefsopbouw!$D$38</f>
        <v>0</v>
      </c>
      <c r="X249" s="33"/>
      <c r="Y249" s="33">
        <f>IF(Ruimtestaat[[#This Row],[Frequentie weekend]]&gt;0,VALUE(LEFT(X249,1))*Q249,0)</f>
        <v>0</v>
      </c>
      <c r="Z249" s="33">
        <f>IF($Y249&gt;0,VLOOKUP($J249,Ruimtegroepen[],3,FALSE)*VLOOKUP($L249,Vloersoorten[],3,FALSE)*VLOOKUP($X249,Frequenties[],3,FALSE)*VLOOKUP(#REF!,Locaties[],3,FALSE),0)</f>
        <v>0</v>
      </c>
      <c r="AA249" s="33"/>
      <c r="AB249" s="33"/>
      <c r="AC249" s="33">
        <f>Ruimtestaat[[#This Row],[uren / jaar weekend]]*Tariefsopbouw!$D$40</f>
        <v>0</v>
      </c>
      <c r="AD249" s="88">
        <f>Ruimtestaat[[#This Row],[Prest. (m2 /jaar) weekend]]+Ruimtestaat[[#This Row],[Prest. (m2 /jaar) werkdagen]]</f>
        <v>560</v>
      </c>
      <c r="AE249" s="88">
        <f>Ruimtestaat[[#This Row],[uren / jaar weekend]]+Ruimtestaat[[#This Row],[uren / jaar werkdagen]]</f>
        <v>0</v>
      </c>
      <c r="AF249" s="89">
        <f>Ruimtestaat[[#This Row],[kosten / jaar weekend]]+Ruimtestaat[[#This Row],[kosten / jaar werkdagen]]</f>
        <v>0</v>
      </c>
    </row>
    <row r="250" spans="1:32" ht="15" customHeight="1">
      <c r="A250" s="213">
        <v>3</v>
      </c>
      <c r="B250" s="200" t="str">
        <f>VLOOKUP(Ruimtestaat[[#This Row],[Code]],Locaties[#All],2,FALSE)</f>
        <v>Karel de Grote College</v>
      </c>
      <c r="C250" s="240" t="str">
        <f>VLOOKUP(Ruimtestaat[[#This Row],[Code]],Locaties[#All],4,FALSE)</f>
        <v>Wilhelminasingel 15</v>
      </c>
      <c r="D250" s="240" t="str">
        <f>VLOOKUP(Ruimtestaat[[#This Row],[Code]],Locaties[#All],5,FALSE)</f>
        <v>6524 AJ</v>
      </c>
      <c r="E250" s="240" t="str">
        <f>VLOOKUP(Ruimtestaat[[#This Row],[Code]],Locaties[#All],6,FALSE)</f>
        <v>Nijmegen</v>
      </c>
      <c r="F250" s="241" t="s">
        <v>846</v>
      </c>
      <c r="G250" s="200">
        <v>1</v>
      </c>
      <c r="H250" s="200" t="s">
        <v>775</v>
      </c>
      <c r="I250" s="241" t="s">
        <v>813</v>
      </c>
      <c r="J250" s="240">
        <v>2</v>
      </c>
      <c r="K250" s="256" t="str">
        <f>VLOOKUP(Ruimtestaat[[#This Row],[Ruimte code]],Ruimtegroepen[#All],2,FALSE)</f>
        <v>Kantoren</v>
      </c>
      <c r="L250" s="240" t="s">
        <v>109</v>
      </c>
      <c r="M250" s="268" t="s">
        <v>649</v>
      </c>
      <c r="N250" s="269">
        <v>15</v>
      </c>
      <c r="O250" s="212"/>
      <c r="P250" s="240" t="str">
        <f>VLOOKUP(Ruimtestaat[[#This Row],[Ruimte code]],Ruimtegroepen[#All],4,FALSE)</f>
        <v>B  (Bureauruimte)</v>
      </c>
      <c r="Q250" s="213">
        <v>40</v>
      </c>
      <c r="R250" s="213" t="s">
        <v>17</v>
      </c>
      <c r="S250" s="213">
        <f>IF(Q250&gt;0,IF(RIGHT(Ruimtestaat[[#This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50" s="213">
        <f>IF(S250&gt;0,VLOOKUP($J250,Ruimtegroepen[],3,FALSE)*VLOOKUP($L250,Vloersoorten[],3,FALSE)*VLOOKUP($R250,Frequenties[],3,FALSE)*VLOOKUP($A250,Locaties[],3,FALSE),0)</f>
        <v>0</v>
      </c>
      <c r="U250" s="213">
        <f>Ruimtestaat[[#This Row],[Uitvoeringen werkdagen]]*Ruimtestaat[[#This Row],[Oppervlak (netto)]]</f>
        <v>1200</v>
      </c>
      <c r="V250" s="253">
        <f>IF(T250&gt;0,Ruimtestaat[[#This Row],[Prest. (m2 /jaar) werkdagen]]/Ruimtestaat[[#This Row],[Norm (m2/uur) werkdagen]],0)</f>
        <v>0</v>
      </c>
      <c r="W250" s="254">
        <f>Ruimtestaat[[#This Row],[uren / jaar werkdagen]]*Tariefsopbouw!$D$38</f>
        <v>0</v>
      </c>
      <c r="X250" s="33"/>
      <c r="Y250" s="33">
        <f>IF(Ruimtestaat[[#This Row],[Frequentie weekend]]&gt;0,VALUE(LEFT(X250,1))*Q250,0)</f>
        <v>0</v>
      </c>
      <c r="Z250" s="33">
        <f>IF($Y250&gt;0,VLOOKUP($J250,Ruimtegroepen[],3,FALSE)*VLOOKUP($L250,Vloersoorten[],3,FALSE)*VLOOKUP($X250,Frequenties[],3,FALSE)*VLOOKUP(#REF!,Locaties[],3,FALSE),0)</f>
        <v>0</v>
      </c>
      <c r="AA250" s="33"/>
      <c r="AB250" s="33"/>
      <c r="AC250" s="33">
        <f>Ruimtestaat[[#This Row],[uren / jaar weekend]]*Tariefsopbouw!$D$40</f>
        <v>0</v>
      </c>
      <c r="AD250" s="88">
        <f>Ruimtestaat[[#This Row],[Prest. (m2 /jaar) weekend]]+Ruimtestaat[[#This Row],[Prest. (m2 /jaar) werkdagen]]</f>
        <v>1200</v>
      </c>
      <c r="AE250" s="88">
        <f>Ruimtestaat[[#This Row],[uren / jaar weekend]]+Ruimtestaat[[#This Row],[uren / jaar werkdagen]]</f>
        <v>0</v>
      </c>
      <c r="AF250" s="89">
        <f>Ruimtestaat[[#This Row],[kosten / jaar weekend]]+Ruimtestaat[[#This Row],[kosten / jaar werkdagen]]</f>
        <v>0</v>
      </c>
    </row>
    <row r="251" spans="1:32" ht="15" customHeight="1">
      <c r="A251" s="213">
        <v>3</v>
      </c>
      <c r="B251" s="200" t="str">
        <f>VLOOKUP(Ruimtestaat[[#This Row],[Code]],Locaties[#All],2,FALSE)</f>
        <v>Karel de Grote College</v>
      </c>
      <c r="C251" s="240" t="str">
        <f>VLOOKUP(Ruimtestaat[[#This Row],[Code]],Locaties[#All],4,FALSE)</f>
        <v>Wilhelminasingel 15</v>
      </c>
      <c r="D251" s="240" t="str">
        <f>VLOOKUP(Ruimtestaat[[#This Row],[Code]],Locaties[#All],5,FALSE)</f>
        <v>6524 AJ</v>
      </c>
      <c r="E251" s="240" t="str">
        <f>VLOOKUP(Ruimtestaat[[#This Row],[Code]],Locaties[#All],6,FALSE)</f>
        <v>Nijmegen</v>
      </c>
      <c r="F251" s="241" t="s">
        <v>846</v>
      </c>
      <c r="G251" s="200">
        <v>1</v>
      </c>
      <c r="H251" s="200" t="s">
        <v>480</v>
      </c>
      <c r="I251" s="241" t="s">
        <v>673</v>
      </c>
      <c r="J251" s="200">
        <v>16</v>
      </c>
      <c r="K251" s="256" t="str">
        <f>VLOOKUP(Ruimtestaat[[#This Row],[Ruimte code]],Ruimtegroepen[#All],2,FALSE)</f>
        <v>Lokaal</v>
      </c>
      <c r="L251" s="213" t="s">
        <v>110</v>
      </c>
      <c r="M251" s="268" t="s">
        <v>644</v>
      </c>
      <c r="N251" s="269">
        <v>67</v>
      </c>
      <c r="O251" s="212"/>
      <c r="P251" s="240" t="str">
        <f>VLOOKUP(Ruimtestaat[[#This Row],[Ruimte code]],Ruimtegroepen[#All],4,FALSE)</f>
        <v>L  (Lesruimte)</v>
      </c>
      <c r="Q251" s="213">
        <v>40</v>
      </c>
      <c r="R251" s="213" t="s">
        <v>2</v>
      </c>
      <c r="S251" s="213">
        <f>IF(Q251&gt;0,IF(RIGHT(Ruimtestaat[[#This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1" s="213">
        <f>IF(S251&gt;0,VLOOKUP($J251,Ruimtegroepen[],3,FALSE)*VLOOKUP($L251,Vloersoorten[],3,FALSE)*VLOOKUP($R251,Frequenties[],3,FALSE)*VLOOKUP($A251,Locaties[],3,FALSE),0)</f>
        <v>0</v>
      </c>
      <c r="U251" s="213">
        <f>Ruimtestaat[[#This Row],[Uitvoeringen werkdagen]]*Ruimtestaat[[#This Row],[Oppervlak (netto)]]</f>
        <v>13400</v>
      </c>
      <c r="V251" s="253">
        <f>IF(T251&gt;0,Ruimtestaat[[#This Row],[Prest. (m2 /jaar) werkdagen]]/Ruimtestaat[[#This Row],[Norm (m2/uur) werkdagen]],0)</f>
        <v>0</v>
      </c>
      <c r="W251" s="254">
        <f>Ruimtestaat[[#This Row],[uren / jaar werkdagen]]*Tariefsopbouw!$D$38</f>
        <v>0</v>
      </c>
      <c r="X251" s="33"/>
      <c r="Y251" s="33">
        <f>IF(Ruimtestaat[[#This Row],[Frequentie weekend]]&gt;0,VALUE(LEFT(X251,1))*Q251,0)</f>
        <v>0</v>
      </c>
      <c r="Z251" s="33">
        <f>IF($Y251&gt;0,VLOOKUP($J251,Ruimtegroepen[],3,FALSE)*VLOOKUP($L251,Vloersoorten[],3,FALSE)*VLOOKUP($X251,Frequenties[],3,FALSE)*VLOOKUP(#REF!,Locaties[],3,FALSE),0)</f>
        <v>0</v>
      </c>
      <c r="AA251" s="33"/>
      <c r="AB251" s="33"/>
      <c r="AC251" s="33">
        <f>Ruimtestaat[[#This Row],[uren / jaar weekend]]*Tariefsopbouw!$D$40</f>
        <v>0</v>
      </c>
      <c r="AD251" s="88">
        <f>Ruimtestaat[[#This Row],[Prest. (m2 /jaar) weekend]]+Ruimtestaat[[#This Row],[Prest. (m2 /jaar) werkdagen]]</f>
        <v>13400</v>
      </c>
      <c r="AE251" s="88">
        <f>Ruimtestaat[[#This Row],[uren / jaar weekend]]+Ruimtestaat[[#This Row],[uren / jaar werkdagen]]</f>
        <v>0</v>
      </c>
      <c r="AF251" s="89">
        <f>Ruimtestaat[[#This Row],[kosten / jaar weekend]]+Ruimtestaat[[#This Row],[kosten / jaar werkdagen]]</f>
        <v>0</v>
      </c>
    </row>
    <row r="252" spans="1:32" ht="15" customHeight="1">
      <c r="A252" s="213">
        <v>3</v>
      </c>
      <c r="B252" s="200" t="str">
        <f>VLOOKUP(Ruimtestaat[[#This Row],[Code]],Locaties[#All],2,FALSE)</f>
        <v>Karel de Grote College</v>
      </c>
      <c r="C252" s="240" t="str">
        <f>VLOOKUP(Ruimtestaat[[#This Row],[Code]],Locaties[#All],4,FALSE)</f>
        <v>Wilhelminasingel 15</v>
      </c>
      <c r="D252" s="240" t="str">
        <f>VLOOKUP(Ruimtestaat[[#This Row],[Code]],Locaties[#All],5,FALSE)</f>
        <v>6524 AJ</v>
      </c>
      <c r="E252" s="240" t="str">
        <f>VLOOKUP(Ruimtestaat[[#This Row],[Code]],Locaties[#All],6,FALSE)</f>
        <v>Nijmegen</v>
      </c>
      <c r="F252" s="241" t="s">
        <v>845</v>
      </c>
      <c r="G252" s="200">
        <v>1</v>
      </c>
      <c r="H252" s="200" t="s">
        <v>481</v>
      </c>
      <c r="I252" s="241" t="s">
        <v>673</v>
      </c>
      <c r="J252" s="200">
        <v>16</v>
      </c>
      <c r="K252" s="256" t="str">
        <f>VLOOKUP(Ruimtestaat[[#This Row],[Ruimte code]],Ruimtegroepen[#All],2,FALSE)</f>
        <v>Lokaal</v>
      </c>
      <c r="L252" s="213" t="s">
        <v>110</v>
      </c>
      <c r="M252" s="268" t="s">
        <v>644</v>
      </c>
      <c r="N252" s="269">
        <v>69</v>
      </c>
      <c r="O252" s="212"/>
      <c r="P252" s="240" t="str">
        <f>VLOOKUP(Ruimtestaat[[#This Row],[Ruimte code]],Ruimtegroepen[#All],4,FALSE)</f>
        <v>L  (Lesruimte)</v>
      </c>
      <c r="Q252" s="213">
        <v>40</v>
      </c>
      <c r="R252" s="213" t="s">
        <v>2</v>
      </c>
      <c r="S252" s="213">
        <f>IF(Q252&gt;0,IF(RIGHT(Ruimtestaat[[#This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2" s="213">
        <f>IF(S252&gt;0,VLOOKUP($J252,Ruimtegroepen[],3,FALSE)*VLOOKUP($L252,Vloersoorten[],3,FALSE)*VLOOKUP($R252,Frequenties[],3,FALSE)*VLOOKUP($A252,Locaties[],3,FALSE),0)</f>
        <v>0</v>
      </c>
      <c r="U252" s="213">
        <f>Ruimtestaat[[#This Row],[Uitvoeringen werkdagen]]*Ruimtestaat[[#This Row],[Oppervlak (netto)]]</f>
        <v>13800</v>
      </c>
      <c r="V252" s="253">
        <f>IF(T252&gt;0,Ruimtestaat[[#This Row],[Prest. (m2 /jaar) werkdagen]]/Ruimtestaat[[#This Row],[Norm (m2/uur) werkdagen]],0)</f>
        <v>0</v>
      </c>
      <c r="W252" s="254">
        <f>Ruimtestaat[[#This Row],[uren / jaar werkdagen]]*Tariefsopbouw!$D$38</f>
        <v>0</v>
      </c>
      <c r="X252" s="33"/>
      <c r="Y252" s="33">
        <f>IF(Ruimtestaat[[#This Row],[Frequentie weekend]]&gt;0,VALUE(LEFT(X252,1))*Q252,0)</f>
        <v>0</v>
      </c>
      <c r="Z252" s="33">
        <f>IF($Y252&gt;0,VLOOKUP($J252,Ruimtegroepen[],3,FALSE)*VLOOKUP($L252,Vloersoorten[],3,FALSE)*VLOOKUP($X252,Frequenties[],3,FALSE)*VLOOKUP(#REF!,Locaties[],3,FALSE),0)</f>
        <v>0</v>
      </c>
      <c r="AA252" s="33"/>
      <c r="AB252" s="33"/>
      <c r="AC252" s="33">
        <f>Ruimtestaat[[#This Row],[uren / jaar weekend]]*Tariefsopbouw!$D$40</f>
        <v>0</v>
      </c>
      <c r="AD252" s="88">
        <f>Ruimtestaat[[#This Row],[Prest. (m2 /jaar) weekend]]+Ruimtestaat[[#This Row],[Prest. (m2 /jaar) werkdagen]]</f>
        <v>13800</v>
      </c>
      <c r="AE252" s="88">
        <f>Ruimtestaat[[#This Row],[uren / jaar weekend]]+Ruimtestaat[[#This Row],[uren / jaar werkdagen]]</f>
        <v>0</v>
      </c>
      <c r="AF252" s="89">
        <f>Ruimtestaat[[#This Row],[kosten / jaar weekend]]+Ruimtestaat[[#This Row],[kosten / jaar werkdagen]]</f>
        <v>0</v>
      </c>
    </row>
    <row r="253" spans="1:32" ht="15" customHeight="1">
      <c r="A253" s="213">
        <v>3</v>
      </c>
      <c r="B253" s="200" t="str">
        <f>VLOOKUP(Ruimtestaat[[#This Row],[Code]],Locaties[#All],2,FALSE)</f>
        <v>Karel de Grote College</v>
      </c>
      <c r="C253" s="240" t="str">
        <f>VLOOKUP(Ruimtestaat[[#This Row],[Code]],Locaties[#All],4,FALSE)</f>
        <v>Wilhelminasingel 15</v>
      </c>
      <c r="D253" s="240" t="str">
        <f>VLOOKUP(Ruimtestaat[[#This Row],[Code]],Locaties[#All],5,FALSE)</f>
        <v>6524 AJ</v>
      </c>
      <c r="E253" s="240" t="str">
        <f>VLOOKUP(Ruimtestaat[[#This Row],[Code]],Locaties[#All],6,FALSE)</f>
        <v>Nijmegen</v>
      </c>
      <c r="F253" s="241" t="s">
        <v>845</v>
      </c>
      <c r="G253" s="200">
        <v>1</v>
      </c>
      <c r="H253" s="200" t="s">
        <v>482</v>
      </c>
      <c r="I253" s="241" t="s">
        <v>814</v>
      </c>
      <c r="J253" s="240">
        <v>8</v>
      </c>
      <c r="K253" s="256" t="str">
        <f>VLOOKUP(Ruimtestaat[[#This Row],[Ruimte code]],Ruimtegroepen[#All],2,FALSE)</f>
        <v>Multifunctionele ruimte</v>
      </c>
      <c r="L253" s="213" t="s">
        <v>110</v>
      </c>
      <c r="M253" s="268" t="s">
        <v>644</v>
      </c>
      <c r="N253" s="269">
        <v>144</v>
      </c>
      <c r="O253" s="212"/>
      <c r="P253" s="240" t="str">
        <f>VLOOKUP(Ruimtestaat[[#This Row],[Ruimte code]],Ruimtegroepen[#All],4,FALSE)</f>
        <v>L  (Lesruimte)</v>
      </c>
      <c r="Q253" s="213">
        <v>40</v>
      </c>
      <c r="R253" s="213" t="s">
        <v>2</v>
      </c>
      <c r="S253" s="213">
        <f>IF(Q253&gt;0,IF(RIGHT(Ruimtestaat[[#This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3" s="213">
        <f>IF(S253&gt;0,VLOOKUP($J253,Ruimtegroepen[],3,FALSE)*VLOOKUP($L253,Vloersoorten[],3,FALSE)*VLOOKUP($R253,Frequenties[],3,FALSE)*VLOOKUP($A253,Locaties[],3,FALSE),0)</f>
        <v>0</v>
      </c>
      <c r="U253" s="213">
        <f>Ruimtestaat[[#This Row],[Uitvoeringen werkdagen]]*Ruimtestaat[[#This Row],[Oppervlak (netto)]]</f>
        <v>28800</v>
      </c>
      <c r="V253" s="253">
        <f>IF(T253&gt;0,Ruimtestaat[[#This Row],[Prest. (m2 /jaar) werkdagen]]/Ruimtestaat[[#This Row],[Norm (m2/uur) werkdagen]],0)</f>
        <v>0</v>
      </c>
      <c r="W253" s="254">
        <f>Ruimtestaat[[#This Row],[uren / jaar werkdagen]]*Tariefsopbouw!$D$38</f>
        <v>0</v>
      </c>
      <c r="X253" s="33"/>
      <c r="Y253" s="33">
        <f>IF(Ruimtestaat[[#This Row],[Frequentie weekend]]&gt;0,VALUE(LEFT(X253,1))*Q253,0)</f>
        <v>0</v>
      </c>
      <c r="Z253" s="33">
        <f>IF($Y253&gt;0,VLOOKUP($J253,Ruimtegroepen[],3,FALSE)*VLOOKUP($L253,Vloersoorten[],3,FALSE)*VLOOKUP($X253,Frequenties[],3,FALSE)*VLOOKUP(#REF!,Locaties[],3,FALSE),0)</f>
        <v>0</v>
      </c>
      <c r="AA253" s="33"/>
      <c r="AB253" s="33"/>
      <c r="AC253" s="33">
        <f>Ruimtestaat[[#This Row],[uren / jaar weekend]]*Tariefsopbouw!$D$40</f>
        <v>0</v>
      </c>
      <c r="AD253" s="88">
        <f>Ruimtestaat[[#This Row],[Prest. (m2 /jaar) weekend]]+Ruimtestaat[[#This Row],[Prest. (m2 /jaar) werkdagen]]</f>
        <v>28800</v>
      </c>
      <c r="AE253" s="88">
        <f>Ruimtestaat[[#This Row],[uren / jaar weekend]]+Ruimtestaat[[#This Row],[uren / jaar werkdagen]]</f>
        <v>0</v>
      </c>
      <c r="AF253" s="89">
        <f>Ruimtestaat[[#This Row],[kosten / jaar weekend]]+Ruimtestaat[[#This Row],[kosten / jaar werkdagen]]</f>
        <v>0</v>
      </c>
    </row>
    <row r="254" spans="1:32" ht="15" customHeight="1">
      <c r="A254" s="213">
        <v>3</v>
      </c>
      <c r="B254" s="200" t="str">
        <f>VLOOKUP(Ruimtestaat[[#This Row],[Code]],Locaties[#All],2,FALSE)</f>
        <v>Karel de Grote College</v>
      </c>
      <c r="C254" s="240" t="str">
        <f>VLOOKUP(Ruimtestaat[[#This Row],[Code]],Locaties[#All],4,FALSE)</f>
        <v>Wilhelminasingel 15</v>
      </c>
      <c r="D254" s="240" t="str">
        <f>VLOOKUP(Ruimtestaat[[#This Row],[Code]],Locaties[#All],5,FALSE)</f>
        <v>6524 AJ</v>
      </c>
      <c r="E254" s="240" t="str">
        <f>VLOOKUP(Ruimtestaat[[#This Row],[Code]],Locaties[#All],6,FALSE)</f>
        <v>Nijmegen</v>
      </c>
      <c r="F254" s="241" t="s">
        <v>845</v>
      </c>
      <c r="G254" s="200">
        <v>1</v>
      </c>
      <c r="H254" s="200" t="s">
        <v>484</v>
      </c>
      <c r="I254" s="241" t="s">
        <v>815</v>
      </c>
      <c r="J254" s="213">
        <v>6</v>
      </c>
      <c r="K254" s="256" t="str">
        <f>VLOOKUP(Ruimtestaat[[#This Row],[Ruimte code]],Ruimtegroepen[#All],2,FALSE)</f>
        <v>Gangen/hallen</v>
      </c>
      <c r="L254" s="213" t="s">
        <v>110</v>
      </c>
      <c r="M254" s="268" t="s">
        <v>644</v>
      </c>
      <c r="N254" s="269">
        <v>55</v>
      </c>
      <c r="O254" s="212"/>
      <c r="P254" s="240" t="str">
        <f>VLOOKUP(Ruimtestaat[[#This Row],[Ruimte code]],Ruimtegroepen[#All],4,FALSE)</f>
        <v>V  (Verkeersruimte)</v>
      </c>
      <c r="Q254" s="213">
        <v>40</v>
      </c>
      <c r="R254" s="213" t="s">
        <v>2</v>
      </c>
      <c r="S254" s="213">
        <f>IF(Q254&gt;0,IF(RIGHT(Ruimtestaat[[#This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4" s="213">
        <f>IF(S254&gt;0,VLOOKUP($J254,Ruimtegroepen[],3,FALSE)*VLOOKUP($L254,Vloersoorten[],3,FALSE)*VLOOKUP($R254,Frequenties[],3,FALSE)*VLOOKUP($A254,Locaties[],3,FALSE),0)</f>
        <v>0</v>
      </c>
      <c r="U254" s="213">
        <f>Ruimtestaat[[#This Row],[Uitvoeringen werkdagen]]*Ruimtestaat[[#This Row],[Oppervlak (netto)]]</f>
        <v>11000</v>
      </c>
      <c r="V254" s="253">
        <f>IF(T254&gt;0,Ruimtestaat[[#This Row],[Prest. (m2 /jaar) werkdagen]]/Ruimtestaat[[#This Row],[Norm (m2/uur) werkdagen]],0)</f>
        <v>0</v>
      </c>
      <c r="W254" s="254">
        <f>Ruimtestaat[[#This Row],[uren / jaar werkdagen]]*Tariefsopbouw!$D$38</f>
        <v>0</v>
      </c>
      <c r="X254" s="33"/>
      <c r="Y254" s="33">
        <f>IF(Ruimtestaat[[#This Row],[Frequentie weekend]]&gt;0,VALUE(LEFT(X254,1))*Q254,0)</f>
        <v>0</v>
      </c>
      <c r="Z254" s="33">
        <f>IF($Y254&gt;0,VLOOKUP($J254,Ruimtegroepen[],3,FALSE)*VLOOKUP($L254,Vloersoorten[],3,FALSE)*VLOOKUP($X254,Frequenties[],3,FALSE)*VLOOKUP(#REF!,Locaties[],3,FALSE),0)</f>
        <v>0</v>
      </c>
      <c r="AA254" s="33"/>
      <c r="AB254" s="33"/>
      <c r="AC254" s="33">
        <f>Ruimtestaat[[#This Row],[uren / jaar weekend]]*Tariefsopbouw!$D$40</f>
        <v>0</v>
      </c>
      <c r="AD254" s="88">
        <f>Ruimtestaat[[#This Row],[Prest. (m2 /jaar) weekend]]+Ruimtestaat[[#This Row],[Prest. (m2 /jaar) werkdagen]]</f>
        <v>11000</v>
      </c>
      <c r="AE254" s="88">
        <f>Ruimtestaat[[#This Row],[uren / jaar weekend]]+Ruimtestaat[[#This Row],[uren / jaar werkdagen]]</f>
        <v>0</v>
      </c>
      <c r="AF254" s="89">
        <f>Ruimtestaat[[#This Row],[kosten / jaar weekend]]+Ruimtestaat[[#This Row],[kosten / jaar werkdagen]]</f>
        <v>0</v>
      </c>
    </row>
    <row r="255" spans="1:32" ht="15" customHeight="1">
      <c r="A255" s="213">
        <v>3</v>
      </c>
      <c r="B255" s="200" t="str">
        <f>VLOOKUP(Ruimtestaat[[#This Row],[Code]],Locaties[#All],2,FALSE)</f>
        <v>Karel de Grote College</v>
      </c>
      <c r="C255" s="240" t="str">
        <f>VLOOKUP(Ruimtestaat[[#This Row],[Code]],Locaties[#All],4,FALSE)</f>
        <v>Wilhelminasingel 15</v>
      </c>
      <c r="D255" s="240" t="str">
        <f>VLOOKUP(Ruimtestaat[[#This Row],[Code]],Locaties[#All],5,FALSE)</f>
        <v>6524 AJ</v>
      </c>
      <c r="E255" s="240" t="str">
        <f>VLOOKUP(Ruimtestaat[[#This Row],[Code]],Locaties[#All],6,FALSE)</f>
        <v>Nijmegen</v>
      </c>
      <c r="F255" s="241" t="s">
        <v>845</v>
      </c>
      <c r="G255" s="200">
        <v>1</v>
      </c>
      <c r="H255" s="200" t="s">
        <v>485</v>
      </c>
      <c r="I255" s="241" t="s">
        <v>816</v>
      </c>
      <c r="J255" s="200">
        <v>10</v>
      </c>
      <c r="K255" s="256" t="str">
        <f>VLOOKUP(Ruimtestaat[[#This Row],[Ruimte code]],Ruimtegroepen[#All],2,FALSE)</f>
        <v>Trappenhuizen/lift</v>
      </c>
      <c r="L255" s="240" t="s">
        <v>111</v>
      </c>
      <c r="M255" s="268" t="s">
        <v>554</v>
      </c>
      <c r="N255" s="269">
        <v>70</v>
      </c>
      <c r="O255" s="212"/>
      <c r="P255" s="240" t="str">
        <f>VLOOKUP(Ruimtestaat[[#This Row],[Ruimte code]],Ruimtegroepen[#All],4,FALSE)</f>
        <v>V  (Verkeersruimte)</v>
      </c>
      <c r="Q255" s="213">
        <v>40</v>
      </c>
      <c r="R255" s="213" t="s">
        <v>2</v>
      </c>
      <c r="S255" s="213">
        <f>IF(Q255&gt;0,IF(RIGHT(Ruimtestaat[[#This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5" s="213">
        <f>IF(S255&gt;0,VLOOKUP($J255,Ruimtegroepen[],3,FALSE)*VLOOKUP($L255,Vloersoorten[],3,FALSE)*VLOOKUP($R255,Frequenties[],3,FALSE)*VLOOKUP($A255,Locaties[],3,FALSE),0)</f>
        <v>0</v>
      </c>
      <c r="U255" s="213">
        <f>Ruimtestaat[[#This Row],[Uitvoeringen werkdagen]]*Ruimtestaat[[#This Row],[Oppervlak (netto)]]</f>
        <v>14000</v>
      </c>
      <c r="V255" s="253">
        <f>IF(T255&gt;0,Ruimtestaat[[#This Row],[Prest. (m2 /jaar) werkdagen]]/Ruimtestaat[[#This Row],[Norm (m2/uur) werkdagen]],0)</f>
        <v>0</v>
      </c>
      <c r="W255" s="254">
        <f>Ruimtestaat[[#This Row],[uren / jaar werkdagen]]*Tariefsopbouw!$D$38</f>
        <v>0</v>
      </c>
      <c r="X255" s="33"/>
      <c r="Y255" s="33">
        <f>IF(Ruimtestaat[[#This Row],[Frequentie weekend]]&gt;0,VALUE(LEFT(X255,1))*Q255,0)</f>
        <v>0</v>
      </c>
      <c r="Z255" s="33">
        <f>IF($Y255&gt;0,VLOOKUP($J255,Ruimtegroepen[],3,FALSE)*VLOOKUP($L255,Vloersoorten[],3,FALSE)*VLOOKUP($X255,Frequenties[],3,FALSE)*VLOOKUP(#REF!,Locaties[],3,FALSE),0)</f>
        <v>0</v>
      </c>
      <c r="AA255" s="33"/>
      <c r="AB255" s="33"/>
      <c r="AC255" s="33">
        <f>Ruimtestaat[[#This Row],[uren / jaar weekend]]*Tariefsopbouw!$D$40</f>
        <v>0</v>
      </c>
      <c r="AD255" s="88">
        <f>Ruimtestaat[[#This Row],[Prest. (m2 /jaar) weekend]]+Ruimtestaat[[#This Row],[Prest. (m2 /jaar) werkdagen]]</f>
        <v>14000</v>
      </c>
      <c r="AE255" s="88">
        <f>Ruimtestaat[[#This Row],[uren / jaar weekend]]+Ruimtestaat[[#This Row],[uren / jaar werkdagen]]</f>
        <v>0</v>
      </c>
      <c r="AF255" s="89">
        <f>Ruimtestaat[[#This Row],[kosten / jaar weekend]]+Ruimtestaat[[#This Row],[kosten / jaar werkdagen]]</f>
        <v>0</v>
      </c>
    </row>
    <row r="256" spans="1:32" ht="15" customHeight="1">
      <c r="A256" s="213">
        <v>3</v>
      </c>
      <c r="B256" s="200" t="str">
        <f>VLOOKUP(Ruimtestaat[[#This Row],[Code]],Locaties[#All],2,FALSE)</f>
        <v>Karel de Grote College</v>
      </c>
      <c r="C256" s="240" t="str">
        <f>VLOOKUP(Ruimtestaat[[#This Row],[Code]],Locaties[#All],4,FALSE)</f>
        <v>Wilhelminasingel 15</v>
      </c>
      <c r="D256" s="240" t="str">
        <f>VLOOKUP(Ruimtestaat[[#This Row],[Code]],Locaties[#All],5,FALSE)</f>
        <v>6524 AJ</v>
      </c>
      <c r="E256" s="240" t="str">
        <f>VLOOKUP(Ruimtestaat[[#This Row],[Code]],Locaties[#All],6,FALSE)</f>
        <v>Nijmegen</v>
      </c>
      <c r="F256" s="241" t="s">
        <v>845</v>
      </c>
      <c r="G256" s="200">
        <v>1</v>
      </c>
      <c r="H256" s="200" t="s">
        <v>486</v>
      </c>
      <c r="I256" s="241" t="s">
        <v>690</v>
      </c>
      <c r="J256" s="200">
        <v>5</v>
      </c>
      <c r="K256" s="256" t="str">
        <f>VLOOKUP(Ruimtestaat[[#This Row],[Ruimte code]],Ruimtegroepen[#All],2,FALSE)</f>
        <v>Sanitair</v>
      </c>
      <c r="L256" s="240" t="s">
        <v>111</v>
      </c>
      <c r="M256" s="268" t="s">
        <v>766</v>
      </c>
      <c r="N256" s="269">
        <v>16</v>
      </c>
      <c r="O256" s="212"/>
      <c r="P256" s="240" t="str">
        <f>VLOOKUP(Ruimtestaat[[#This Row],[Ruimte code]],Ruimtegroepen[#All],4,FALSE)</f>
        <v>S  (Sanitair)</v>
      </c>
      <c r="Q256" s="213">
        <v>40</v>
      </c>
      <c r="R256" s="213" t="s">
        <v>2</v>
      </c>
      <c r="S256" s="213">
        <f>IF(Q256&gt;0,IF(RIGHT(Ruimtestaat[[#This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6" s="213">
        <f>IF(S256&gt;0,VLOOKUP($J256,Ruimtegroepen[],3,FALSE)*VLOOKUP($L256,Vloersoorten[],3,FALSE)*VLOOKUP($R256,Frequenties[],3,FALSE)*VLOOKUP($A256,Locaties[],3,FALSE),0)</f>
        <v>0</v>
      </c>
      <c r="U256" s="213">
        <f>Ruimtestaat[[#This Row],[Uitvoeringen werkdagen]]*Ruimtestaat[[#This Row],[Oppervlak (netto)]]</f>
        <v>3200</v>
      </c>
      <c r="V256" s="253">
        <f>IF(T256&gt;0,Ruimtestaat[[#This Row],[Prest. (m2 /jaar) werkdagen]]/Ruimtestaat[[#This Row],[Norm (m2/uur) werkdagen]],0)</f>
        <v>0</v>
      </c>
      <c r="W256" s="254">
        <f>Ruimtestaat[[#This Row],[uren / jaar werkdagen]]*Tariefsopbouw!$D$38</f>
        <v>0</v>
      </c>
      <c r="X256" s="33"/>
      <c r="Y256" s="33">
        <f>IF(Ruimtestaat[[#This Row],[Frequentie weekend]]&gt;0,VALUE(LEFT(X256,1))*Q256,0)</f>
        <v>0</v>
      </c>
      <c r="Z256" s="33">
        <f>IF($Y256&gt;0,VLOOKUP($J256,Ruimtegroepen[],3,FALSE)*VLOOKUP($L256,Vloersoorten[],3,FALSE)*VLOOKUP($X256,Frequenties[],3,FALSE)*VLOOKUP(#REF!,Locaties[],3,FALSE),0)</f>
        <v>0</v>
      </c>
      <c r="AA256" s="33"/>
      <c r="AB256" s="33"/>
      <c r="AC256" s="33">
        <f>Ruimtestaat[[#This Row],[uren / jaar weekend]]*Tariefsopbouw!$D$40</f>
        <v>0</v>
      </c>
      <c r="AD256" s="88">
        <f>Ruimtestaat[[#This Row],[Prest. (m2 /jaar) weekend]]+Ruimtestaat[[#This Row],[Prest. (m2 /jaar) werkdagen]]</f>
        <v>3200</v>
      </c>
      <c r="AE256" s="88">
        <f>Ruimtestaat[[#This Row],[uren / jaar weekend]]+Ruimtestaat[[#This Row],[uren / jaar werkdagen]]</f>
        <v>0</v>
      </c>
      <c r="AF256" s="89">
        <f>Ruimtestaat[[#This Row],[kosten / jaar weekend]]+Ruimtestaat[[#This Row],[kosten / jaar werkdagen]]</f>
        <v>0</v>
      </c>
    </row>
    <row r="257" spans="1:32" ht="15" customHeight="1">
      <c r="A257" s="213">
        <v>3</v>
      </c>
      <c r="B257" s="200" t="str">
        <f>VLOOKUP(Ruimtestaat[[#This Row],[Code]],Locaties[#All],2,FALSE)</f>
        <v>Karel de Grote College</v>
      </c>
      <c r="C257" s="240" t="str">
        <f>VLOOKUP(Ruimtestaat[[#This Row],[Code]],Locaties[#All],4,FALSE)</f>
        <v>Wilhelminasingel 15</v>
      </c>
      <c r="D257" s="240" t="str">
        <f>VLOOKUP(Ruimtestaat[[#This Row],[Code]],Locaties[#All],5,FALSE)</f>
        <v>6524 AJ</v>
      </c>
      <c r="E257" s="240" t="str">
        <f>VLOOKUP(Ruimtestaat[[#This Row],[Code]],Locaties[#All],6,FALSE)</f>
        <v>Nijmegen</v>
      </c>
      <c r="F257" s="241" t="s">
        <v>845</v>
      </c>
      <c r="G257" s="200">
        <v>1</v>
      </c>
      <c r="H257" s="200" t="s">
        <v>488</v>
      </c>
      <c r="I257" s="241" t="s">
        <v>817</v>
      </c>
      <c r="J257" s="240">
        <v>21</v>
      </c>
      <c r="K257" s="256" t="str">
        <f>VLOOKUP(Ruimtestaat[[#This Row],[Ruimte code]],Ruimtegroepen[#All],2,FALSE)</f>
        <v>Niet in onderhoud</v>
      </c>
      <c r="L257" s="213" t="s">
        <v>110</v>
      </c>
      <c r="M257" s="268" t="s">
        <v>644</v>
      </c>
      <c r="N257" s="269"/>
      <c r="O257" s="269">
        <v>6</v>
      </c>
      <c r="P257" s="240" t="str">
        <f>VLOOKUP(Ruimtestaat[[#This Row],[Ruimte code]],Ruimtegroepen[#All],4,FALSE)</f>
        <v>Niet in onderhoud</v>
      </c>
      <c r="Q257" s="213">
        <v>0</v>
      </c>
      <c r="R257" s="213"/>
      <c r="S257" s="213">
        <f>IF(Q257&gt;0,IF(RIGHT(Ruimtestaat[[#This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57" s="213">
        <f>IF(S257&gt;0,VLOOKUP($J257,Ruimtegroepen[],3,FALSE)*VLOOKUP($L257,Vloersoorten[],3,FALSE)*VLOOKUP($R257,Frequenties[],3,FALSE)*VLOOKUP($A257,Locaties[],3,FALSE),0)</f>
        <v>0</v>
      </c>
      <c r="U257" s="213">
        <f>Ruimtestaat[[#This Row],[Uitvoeringen werkdagen]]*Ruimtestaat[[#This Row],[Oppervlak (netto)]]</f>
        <v>0</v>
      </c>
      <c r="V257" s="253">
        <f>IF(T257&gt;0,Ruimtestaat[[#This Row],[Prest. (m2 /jaar) werkdagen]]/Ruimtestaat[[#This Row],[Norm (m2/uur) werkdagen]],0)</f>
        <v>0</v>
      </c>
      <c r="W257" s="254">
        <f>Ruimtestaat[[#This Row],[uren / jaar werkdagen]]*Tariefsopbouw!$D$38</f>
        <v>0</v>
      </c>
      <c r="X257" s="33"/>
      <c r="Y257" s="33">
        <f>IF(Ruimtestaat[[#This Row],[Frequentie weekend]]&gt;0,VALUE(LEFT(X257,1))*Q257,0)</f>
        <v>0</v>
      </c>
      <c r="Z257" s="33">
        <f>IF($Y257&gt;0,VLOOKUP($J257,Ruimtegroepen[],3,FALSE)*VLOOKUP($L257,Vloersoorten[],3,FALSE)*VLOOKUP($X257,Frequenties[],3,FALSE)*VLOOKUP(#REF!,Locaties[],3,FALSE),0)</f>
        <v>0</v>
      </c>
      <c r="AA257" s="33"/>
      <c r="AB257" s="33"/>
      <c r="AC257" s="33">
        <f>Ruimtestaat[[#This Row],[uren / jaar weekend]]*Tariefsopbouw!$D$40</f>
        <v>0</v>
      </c>
      <c r="AD257" s="88">
        <f>Ruimtestaat[[#This Row],[Prest. (m2 /jaar) weekend]]+Ruimtestaat[[#This Row],[Prest. (m2 /jaar) werkdagen]]</f>
        <v>0</v>
      </c>
      <c r="AE257" s="88">
        <f>Ruimtestaat[[#This Row],[uren / jaar weekend]]+Ruimtestaat[[#This Row],[uren / jaar werkdagen]]</f>
        <v>0</v>
      </c>
      <c r="AF257" s="89">
        <f>Ruimtestaat[[#This Row],[kosten / jaar weekend]]+Ruimtestaat[[#This Row],[kosten / jaar werkdagen]]</f>
        <v>0</v>
      </c>
    </row>
    <row r="258" spans="1:32" ht="15" customHeight="1">
      <c r="A258" s="213">
        <v>3</v>
      </c>
      <c r="B258" s="200" t="str">
        <f>VLOOKUP(Ruimtestaat[[#This Row],[Code]],Locaties[#All],2,FALSE)</f>
        <v>Karel de Grote College</v>
      </c>
      <c r="C258" s="240" t="str">
        <f>VLOOKUP(Ruimtestaat[[#This Row],[Code]],Locaties[#All],4,FALSE)</f>
        <v>Wilhelminasingel 15</v>
      </c>
      <c r="D258" s="240" t="str">
        <f>VLOOKUP(Ruimtestaat[[#This Row],[Code]],Locaties[#All],5,FALSE)</f>
        <v>6524 AJ</v>
      </c>
      <c r="E258" s="240" t="str">
        <f>VLOOKUP(Ruimtestaat[[#This Row],[Code]],Locaties[#All],6,FALSE)</f>
        <v>Nijmegen</v>
      </c>
      <c r="F258" s="241" t="s">
        <v>845</v>
      </c>
      <c r="G258" s="200">
        <v>1</v>
      </c>
      <c r="H258" s="200" t="s">
        <v>489</v>
      </c>
      <c r="I258" s="241" t="s">
        <v>818</v>
      </c>
      <c r="J258" s="240">
        <v>12</v>
      </c>
      <c r="K258" s="256" t="str">
        <f>VLOOKUP(Ruimtestaat[[#This Row],[Ruimte code]],Ruimtegroepen[#All],2,FALSE)</f>
        <v>kantine</v>
      </c>
      <c r="L258" s="213" t="s">
        <v>110</v>
      </c>
      <c r="M258" s="268" t="s">
        <v>644</v>
      </c>
      <c r="N258" s="269">
        <v>468</v>
      </c>
      <c r="O258" s="212"/>
      <c r="P258" s="240" t="str">
        <f>VLOOKUP(Ruimtestaat[[#This Row],[Ruimte code]],Ruimtegroepen[#All],4,FALSE)</f>
        <v>V  (Verkeersruimte)</v>
      </c>
      <c r="Q258" s="213">
        <v>40</v>
      </c>
      <c r="R258" s="213" t="s">
        <v>2</v>
      </c>
      <c r="S258" s="213">
        <f>IF(Q258&gt;0,IF(RIGHT(Ruimtestaat[[#This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8" s="213">
        <f>IF(S258&gt;0,VLOOKUP($J258,Ruimtegroepen[],3,FALSE)*VLOOKUP($L258,Vloersoorten[],3,FALSE)*VLOOKUP($R258,Frequenties[],3,FALSE)*VLOOKUP($A258,Locaties[],3,FALSE),0)</f>
        <v>0</v>
      </c>
      <c r="U258" s="213">
        <f>Ruimtestaat[[#This Row],[Uitvoeringen werkdagen]]*Ruimtestaat[[#This Row],[Oppervlak (netto)]]</f>
        <v>93600</v>
      </c>
      <c r="V258" s="253">
        <f>IF(T258&gt;0,Ruimtestaat[[#This Row],[Prest. (m2 /jaar) werkdagen]]/Ruimtestaat[[#This Row],[Norm (m2/uur) werkdagen]],0)</f>
        <v>0</v>
      </c>
      <c r="W258" s="254">
        <f>Ruimtestaat[[#This Row],[uren / jaar werkdagen]]*Tariefsopbouw!$D$38</f>
        <v>0</v>
      </c>
      <c r="X258" s="33"/>
      <c r="Y258" s="33">
        <f>IF(Ruimtestaat[[#This Row],[Frequentie weekend]]&gt;0,VALUE(LEFT(X258,1))*Q258,0)</f>
        <v>0</v>
      </c>
      <c r="Z258" s="33">
        <f>IF($Y258&gt;0,VLOOKUP($J258,Ruimtegroepen[],3,FALSE)*VLOOKUP($L258,Vloersoorten[],3,FALSE)*VLOOKUP($X258,Frequenties[],3,FALSE)*VLOOKUP(#REF!,Locaties[],3,FALSE),0)</f>
        <v>0</v>
      </c>
      <c r="AA258" s="33"/>
      <c r="AB258" s="33"/>
      <c r="AC258" s="33">
        <f>Ruimtestaat[[#This Row],[uren / jaar weekend]]*Tariefsopbouw!$D$40</f>
        <v>0</v>
      </c>
      <c r="AD258" s="88">
        <f>Ruimtestaat[[#This Row],[Prest. (m2 /jaar) weekend]]+Ruimtestaat[[#This Row],[Prest. (m2 /jaar) werkdagen]]</f>
        <v>93600</v>
      </c>
      <c r="AE258" s="88">
        <f>Ruimtestaat[[#This Row],[uren / jaar weekend]]+Ruimtestaat[[#This Row],[uren / jaar werkdagen]]</f>
        <v>0</v>
      </c>
      <c r="AF258" s="89">
        <f>Ruimtestaat[[#This Row],[kosten / jaar weekend]]+Ruimtestaat[[#This Row],[kosten / jaar werkdagen]]</f>
        <v>0</v>
      </c>
    </row>
    <row r="259" spans="1:32" ht="15" customHeight="1">
      <c r="A259" s="213">
        <v>3</v>
      </c>
      <c r="B259" s="200" t="str">
        <f>VLOOKUP(Ruimtestaat[[#This Row],[Code]],Locaties[#All],2,FALSE)</f>
        <v>Karel de Grote College</v>
      </c>
      <c r="C259" s="240" t="str">
        <f>VLOOKUP(Ruimtestaat[[#This Row],[Code]],Locaties[#All],4,FALSE)</f>
        <v>Wilhelminasingel 15</v>
      </c>
      <c r="D259" s="240" t="str">
        <f>VLOOKUP(Ruimtestaat[[#This Row],[Code]],Locaties[#All],5,FALSE)</f>
        <v>6524 AJ</v>
      </c>
      <c r="E259" s="240" t="str">
        <f>VLOOKUP(Ruimtestaat[[#This Row],[Code]],Locaties[#All],6,FALSE)</f>
        <v>Nijmegen</v>
      </c>
      <c r="F259" s="241" t="s">
        <v>763</v>
      </c>
      <c r="G259" s="200">
        <v>1</v>
      </c>
      <c r="H259" s="200" t="s">
        <v>490</v>
      </c>
      <c r="I259" s="241" t="s">
        <v>673</v>
      </c>
      <c r="J259" s="200">
        <v>16</v>
      </c>
      <c r="K259" s="256" t="str">
        <f>VLOOKUP(Ruimtestaat[[#This Row],[Ruimte code]],Ruimtegroepen[#All],2,FALSE)</f>
        <v>Lokaal</v>
      </c>
      <c r="L259" s="213" t="s">
        <v>110</v>
      </c>
      <c r="M259" s="268" t="s">
        <v>644</v>
      </c>
      <c r="N259" s="269">
        <v>48</v>
      </c>
      <c r="O259" s="212"/>
      <c r="P259" s="240" t="str">
        <f>VLOOKUP(Ruimtestaat[[#This Row],[Ruimte code]],Ruimtegroepen[#All],4,FALSE)</f>
        <v>L  (Lesruimte)</v>
      </c>
      <c r="Q259" s="213">
        <v>40</v>
      </c>
      <c r="R259" s="213" t="s">
        <v>2</v>
      </c>
      <c r="S259" s="213">
        <f>IF(Q259&gt;0,IF(RIGHT(Ruimtestaat[[#This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59" s="213">
        <f>IF(S259&gt;0,VLOOKUP($J259,Ruimtegroepen[],3,FALSE)*VLOOKUP($L259,Vloersoorten[],3,FALSE)*VLOOKUP($R259,Frequenties[],3,FALSE)*VLOOKUP($A259,Locaties[],3,FALSE),0)</f>
        <v>0</v>
      </c>
      <c r="U259" s="213">
        <f>Ruimtestaat[[#This Row],[Uitvoeringen werkdagen]]*Ruimtestaat[[#This Row],[Oppervlak (netto)]]</f>
        <v>9600</v>
      </c>
      <c r="V259" s="253">
        <f>IF(T259&gt;0,Ruimtestaat[[#This Row],[Prest. (m2 /jaar) werkdagen]]/Ruimtestaat[[#This Row],[Norm (m2/uur) werkdagen]],0)</f>
        <v>0</v>
      </c>
      <c r="W259" s="254">
        <f>Ruimtestaat[[#This Row],[uren / jaar werkdagen]]*Tariefsopbouw!$D$38</f>
        <v>0</v>
      </c>
      <c r="X259" s="33"/>
      <c r="Y259" s="33">
        <f>IF(Ruimtestaat[[#This Row],[Frequentie weekend]]&gt;0,VALUE(LEFT(X259,1))*Q259,0)</f>
        <v>0</v>
      </c>
      <c r="Z259" s="33">
        <f>IF($Y259&gt;0,VLOOKUP($J259,Ruimtegroepen[],3,FALSE)*VLOOKUP($L259,Vloersoorten[],3,FALSE)*VLOOKUP($X259,Frequenties[],3,FALSE)*VLOOKUP(#REF!,Locaties[],3,FALSE),0)</f>
        <v>0</v>
      </c>
      <c r="AA259" s="33"/>
      <c r="AB259" s="33"/>
      <c r="AC259" s="33">
        <f>Ruimtestaat[[#This Row],[uren / jaar weekend]]*Tariefsopbouw!$D$40</f>
        <v>0</v>
      </c>
      <c r="AD259" s="88">
        <f>Ruimtestaat[[#This Row],[Prest. (m2 /jaar) weekend]]+Ruimtestaat[[#This Row],[Prest. (m2 /jaar) werkdagen]]</f>
        <v>9600</v>
      </c>
      <c r="AE259" s="88">
        <f>Ruimtestaat[[#This Row],[uren / jaar weekend]]+Ruimtestaat[[#This Row],[uren / jaar werkdagen]]</f>
        <v>0</v>
      </c>
      <c r="AF259" s="89">
        <f>Ruimtestaat[[#This Row],[kosten / jaar weekend]]+Ruimtestaat[[#This Row],[kosten / jaar werkdagen]]</f>
        <v>0</v>
      </c>
    </row>
    <row r="260" spans="1:32" ht="15" customHeight="1">
      <c r="A260" s="213">
        <v>3</v>
      </c>
      <c r="B260" s="200" t="str">
        <f>VLOOKUP(Ruimtestaat[[#This Row],[Code]],Locaties[#All],2,FALSE)</f>
        <v>Karel de Grote College</v>
      </c>
      <c r="C260" s="240" t="str">
        <f>VLOOKUP(Ruimtestaat[[#This Row],[Code]],Locaties[#All],4,FALSE)</f>
        <v>Wilhelminasingel 15</v>
      </c>
      <c r="D260" s="240" t="str">
        <f>VLOOKUP(Ruimtestaat[[#This Row],[Code]],Locaties[#All],5,FALSE)</f>
        <v>6524 AJ</v>
      </c>
      <c r="E260" s="240" t="str">
        <f>VLOOKUP(Ruimtestaat[[#This Row],[Code]],Locaties[#All],6,FALSE)</f>
        <v>Nijmegen</v>
      </c>
      <c r="F260" s="241" t="s">
        <v>845</v>
      </c>
      <c r="G260" s="200">
        <v>1</v>
      </c>
      <c r="H260" s="200" t="s">
        <v>776</v>
      </c>
      <c r="I260" s="241" t="s">
        <v>819</v>
      </c>
      <c r="J260" s="240">
        <v>21</v>
      </c>
      <c r="K260" s="256" t="str">
        <f>VLOOKUP(Ruimtestaat[[#This Row],[Ruimte code]],Ruimtegroepen[#All],2,FALSE)</f>
        <v>Niet in onderhoud</v>
      </c>
      <c r="L260" s="240" t="s">
        <v>111</v>
      </c>
      <c r="M260" s="268" t="s">
        <v>647</v>
      </c>
      <c r="N260" s="269"/>
      <c r="O260" s="269">
        <v>16</v>
      </c>
      <c r="P260" s="240" t="str">
        <f>VLOOKUP(Ruimtestaat[[#This Row],[Ruimte code]],Ruimtegroepen[#All],4,FALSE)</f>
        <v>Niet in onderhoud</v>
      </c>
      <c r="Q260" s="213">
        <v>0</v>
      </c>
      <c r="R260" s="213"/>
      <c r="S260" s="213">
        <f>IF(Q260&gt;0,IF(RIGHT(Ruimtestaat[[#This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60" s="213">
        <f>IF(S260&gt;0,VLOOKUP($J260,Ruimtegroepen[],3,FALSE)*VLOOKUP($L260,Vloersoorten[],3,FALSE)*VLOOKUP($R260,Frequenties[],3,FALSE)*VLOOKUP($A260,Locaties[],3,FALSE),0)</f>
        <v>0</v>
      </c>
      <c r="U260" s="213">
        <f>Ruimtestaat[[#This Row],[Uitvoeringen werkdagen]]*Ruimtestaat[[#This Row],[Oppervlak (netto)]]</f>
        <v>0</v>
      </c>
      <c r="V260" s="253">
        <f>IF(T260&gt;0,Ruimtestaat[[#This Row],[Prest. (m2 /jaar) werkdagen]]/Ruimtestaat[[#This Row],[Norm (m2/uur) werkdagen]],0)</f>
        <v>0</v>
      </c>
      <c r="W260" s="254">
        <f>Ruimtestaat[[#This Row],[uren / jaar werkdagen]]*Tariefsopbouw!$D$38</f>
        <v>0</v>
      </c>
      <c r="X260" s="33"/>
      <c r="Y260" s="33">
        <f>IF(Ruimtestaat[[#This Row],[Frequentie weekend]]&gt;0,VALUE(LEFT(X260,1))*Q260,0)</f>
        <v>0</v>
      </c>
      <c r="Z260" s="33">
        <f>IF($Y260&gt;0,VLOOKUP($J260,Ruimtegroepen[],3,FALSE)*VLOOKUP($L260,Vloersoorten[],3,FALSE)*VLOOKUP($X260,Frequenties[],3,FALSE)*VLOOKUP(#REF!,Locaties[],3,FALSE),0)</f>
        <v>0</v>
      </c>
      <c r="AA260" s="33"/>
      <c r="AB260" s="33"/>
      <c r="AC260" s="33">
        <f>Ruimtestaat[[#This Row],[uren / jaar weekend]]*Tariefsopbouw!$D$40</f>
        <v>0</v>
      </c>
      <c r="AD260" s="88">
        <f>Ruimtestaat[[#This Row],[Prest. (m2 /jaar) weekend]]+Ruimtestaat[[#This Row],[Prest. (m2 /jaar) werkdagen]]</f>
        <v>0</v>
      </c>
      <c r="AE260" s="88">
        <f>Ruimtestaat[[#This Row],[uren / jaar weekend]]+Ruimtestaat[[#This Row],[uren / jaar werkdagen]]</f>
        <v>0</v>
      </c>
      <c r="AF260" s="89">
        <f>Ruimtestaat[[#This Row],[kosten / jaar weekend]]+Ruimtestaat[[#This Row],[kosten / jaar werkdagen]]</f>
        <v>0</v>
      </c>
    </row>
    <row r="261" spans="1:32" ht="15" customHeight="1">
      <c r="A261" s="213">
        <v>3</v>
      </c>
      <c r="B261" s="200" t="str">
        <f>VLOOKUP(Ruimtestaat[[#This Row],[Code]],Locaties[#All],2,FALSE)</f>
        <v>Karel de Grote College</v>
      </c>
      <c r="C261" s="240" t="str">
        <f>VLOOKUP(Ruimtestaat[[#This Row],[Code]],Locaties[#All],4,FALSE)</f>
        <v>Wilhelminasingel 15</v>
      </c>
      <c r="D261" s="240" t="str">
        <f>VLOOKUP(Ruimtestaat[[#This Row],[Code]],Locaties[#All],5,FALSE)</f>
        <v>6524 AJ</v>
      </c>
      <c r="E261" s="240" t="str">
        <f>VLOOKUP(Ruimtestaat[[#This Row],[Code]],Locaties[#All],6,FALSE)</f>
        <v>Nijmegen</v>
      </c>
      <c r="F261" s="241" t="s">
        <v>763</v>
      </c>
      <c r="G261" s="200">
        <v>1</v>
      </c>
      <c r="H261" s="200" t="s">
        <v>491</v>
      </c>
      <c r="I261" s="241" t="s">
        <v>690</v>
      </c>
      <c r="J261" s="200">
        <v>5</v>
      </c>
      <c r="K261" s="256" t="str">
        <f>VLOOKUP(Ruimtestaat[[#This Row],[Ruimte code]],Ruimtegroepen[#All],2,FALSE)</f>
        <v>Sanitair</v>
      </c>
      <c r="L261" s="240" t="s">
        <v>111</v>
      </c>
      <c r="M261" s="268" t="s">
        <v>766</v>
      </c>
      <c r="N261" s="269">
        <v>12</v>
      </c>
      <c r="O261" s="212"/>
      <c r="P261" s="240" t="str">
        <f>VLOOKUP(Ruimtestaat[[#This Row],[Ruimte code]],Ruimtegroepen[#All],4,FALSE)</f>
        <v>S  (Sanitair)</v>
      </c>
      <c r="Q261" s="213">
        <v>40</v>
      </c>
      <c r="R261" s="213" t="s">
        <v>2</v>
      </c>
      <c r="S261" s="213">
        <f>IF(Q261&gt;0,IF(RIGHT(Ruimtestaat[[#This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1" s="213">
        <f>IF(S261&gt;0,VLOOKUP($J261,Ruimtegroepen[],3,FALSE)*VLOOKUP($L261,Vloersoorten[],3,FALSE)*VLOOKUP($R261,Frequenties[],3,FALSE)*VLOOKUP($A261,Locaties[],3,FALSE),0)</f>
        <v>0</v>
      </c>
      <c r="U261" s="213">
        <f>Ruimtestaat[[#This Row],[Uitvoeringen werkdagen]]*Ruimtestaat[[#This Row],[Oppervlak (netto)]]</f>
        <v>2400</v>
      </c>
      <c r="V261" s="253">
        <f>IF(T261&gt;0,Ruimtestaat[[#This Row],[Prest. (m2 /jaar) werkdagen]]/Ruimtestaat[[#This Row],[Norm (m2/uur) werkdagen]],0)</f>
        <v>0</v>
      </c>
      <c r="W261" s="254">
        <f>Ruimtestaat[[#This Row],[uren / jaar werkdagen]]*Tariefsopbouw!$D$38</f>
        <v>0</v>
      </c>
      <c r="X261" s="33"/>
      <c r="Y261" s="33">
        <f>IF(Ruimtestaat[[#This Row],[Frequentie weekend]]&gt;0,VALUE(LEFT(X261,1))*Q261,0)</f>
        <v>0</v>
      </c>
      <c r="Z261" s="33">
        <f>IF($Y261&gt;0,VLOOKUP($J261,Ruimtegroepen[],3,FALSE)*VLOOKUP($L261,Vloersoorten[],3,FALSE)*VLOOKUP($X261,Frequenties[],3,FALSE)*VLOOKUP(#REF!,Locaties[],3,FALSE),0)</f>
        <v>0</v>
      </c>
      <c r="AA261" s="33"/>
      <c r="AB261" s="33"/>
      <c r="AC261" s="33">
        <f>Ruimtestaat[[#This Row],[uren / jaar weekend]]*Tariefsopbouw!$D$40</f>
        <v>0</v>
      </c>
      <c r="AD261" s="88">
        <f>Ruimtestaat[[#This Row],[Prest. (m2 /jaar) weekend]]+Ruimtestaat[[#This Row],[Prest. (m2 /jaar) werkdagen]]</f>
        <v>2400</v>
      </c>
      <c r="AE261" s="88">
        <f>Ruimtestaat[[#This Row],[uren / jaar weekend]]+Ruimtestaat[[#This Row],[uren / jaar werkdagen]]</f>
        <v>0</v>
      </c>
      <c r="AF261" s="89">
        <f>Ruimtestaat[[#This Row],[kosten / jaar weekend]]+Ruimtestaat[[#This Row],[kosten / jaar werkdagen]]</f>
        <v>0</v>
      </c>
    </row>
    <row r="262" spans="1:32" ht="15" customHeight="1">
      <c r="A262" s="213">
        <v>3</v>
      </c>
      <c r="B262" s="200" t="str">
        <f>VLOOKUP(Ruimtestaat[[#This Row],[Code]],Locaties[#All],2,FALSE)</f>
        <v>Karel de Grote College</v>
      </c>
      <c r="C262" s="240" t="str">
        <f>VLOOKUP(Ruimtestaat[[#This Row],[Code]],Locaties[#All],4,FALSE)</f>
        <v>Wilhelminasingel 15</v>
      </c>
      <c r="D262" s="240" t="str">
        <f>VLOOKUP(Ruimtestaat[[#This Row],[Code]],Locaties[#All],5,FALSE)</f>
        <v>6524 AJ</v>
      </c>
      <c r="E262" s="240" t="str">
        <f>VLOOKUP(Ruimtestaat[[#This Row],[Code]],Locaties[#All],6,FALSE)</f>
        <v>Nijmegen</v>
      </c>
      <c r="F262" s="241" t="s">
        <v>763</v>
      </c>
      <c r="G262" s="200">
        <v>1</v>
      </c>
      <c r="H262" s="200" t="s">
        <v>492</v>
      </c>
      <c r="I262" s="241" t="s">
        <v>820</v>
      </c>
      <c r="J262" s="240">
        <v>2</v>
      </c>
      <c r="K262" s="256" t="str">
        <f>VLOOKUP(Ruimtestaat[[#This Row],[Ruimte code]],Ruimtegroepen[#All],2,FALSE)</f>
        <v>Kantoren</v>
      </c>
      <c r="L262" s="240" t="s">
        <v>109</v>
      </c>
      <c r="M262" s="268" t="s">
        <v>649</v>
      </c>
      <c r="N262" s="269">
        <v>33</v>
      </c>
      <c r="O262" s="212"/>
      <c r="P262" s="240" t="str">
        <f>VLOOKUP(Ruimtestaat[[#This Row],[Ruimte code]],Ruimtegroepen[#All],4,FALSE)</f>
        <v>B  (Bureauruimte)</v>
      </c>
      <c r="Q262" s="213">
        <v>40</v>
      </c>
      <c r="R262" s="213" t="s">
        <v>17</v>
      </c>
      <c r="S262" s="213">
        <f>IF(Q262&gt;0,IF(RIGHT(Ruimtestaat[[#This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62" s="213">
        <f>IF(S262&gt;0,VLOOKUP($J262,Ruimtegroepen[],3,FALSE)*VLOOKUP($L262,Vloersoorten[],3,FALSE)*VLOOKUP($R262,Frequenties[],3,FALSE)*VLOOKUP($A262,Locaties[],3,FALSE),0)</f>
        <v>0</v>
      </c>
      <c r="U262" s="213">
        <f>Ruimtestaat[[#This Row],[Uitvoeringen werkdagen]]*Ruimtestaat[[#This Row],[Oppervlak (netto)]]</f>
        <v>2640</v>
      </c>
      <c r="V262" s="253">
        <f>IF(T262&gt;0,Ruimtestaat[[#This Row],[Prest. (m2 /jaar) werkdagen]]/Ruimtestaat[[#This Row],[Norm (m2/uur) werkdagen]],0)</f>
        <v>0</v>
      </c>
      <c r="W262" s="254">
        <f>Ruimtestaat[[#This Row],[uren / jaar werkdagen]]*Tariefsopbouw!$D$38</f>
        <v>0</v>
      </c>
      <c r="X262" s="33"/>
      <c r="Y262" s="33">
        <f>IF(Ruimtestaat[[#This Row],[Frequentie weekend]]&gt;0,VALUE(LEFT(X262,1))*Q262,0)</f>
        <v>0</v>
      </c>
      <c r="Z262" s="33">
        <f>IF($Y262&gt;0,VLOOKUP($J262,Ruimtegroepen[],3,FALSE)*VLOOKUP($L262,Vloersoorten[],3,FALSE)*VLOOKUP($X262,Frequenties[],3,FALSE)*VLOOKUP(#REF!,Locaties[],3,FALSE),0)</f>
        <v>0</v>
      </c>
      <c r="AA262" s="33"/>
      <c r="AB262" s="33"/>
      <c r="AC262" s="33">
        <f>Ruimtestaat[[#This Row],[uren / jaar weekend]]*Tariefsopbouw!$D$40</f>
        <v>0</v>
      </c>
      <c r="AD262" s="88">
        <f>Ruimtestaat[[#This Row],[Prest. (m2 /jaar) weekend]]+Ruimtestaat[[#This Row],[Prest. (m2 /jaar) werkdagen]]</f>
        <v>2640</v>
      </c>
      <c r="AE262" s="88">
        <f>Ruimtestaat[[#This Row],[uren / jaar weekend]]+Ruimtestaat[[#This Row],[uren / jaar werkdagen]]</f>
        <v>0</v>
      </c>
      <c r="AF262" s="89">
        <f>Ruimtestaat[[#This Row],[kosten / jaar weekend]]+Ruimtestaat[[#This Row],[kosten / jaar werkdagen]]</f>
        <v>0</v>
      </c>
    </row>
    <row r="263" spans="1:32" ht="15" customHeight="1">
      <c r="A263" s="213">
        <v>3</v>
      </c>
      <c r="B263" s="200" t="str">
        <f>VLOOKUP(Ruimtestaat[[#This Row],[Code]],Locaties[#All],2,FALSE)</f>
        <v>Karel de Grote College</v>
      </c>
      <c r="C263" s="240" t="str">
        <f>VLOOKUP(Ruimtestaat[[#This Row],[Code]],Locaties[#All],4,FALSE)</f>
        <v>Wilhelminasingel 15</v>
      </c>
      <c r="D263" s="240" t="str">
        <f>VLOOKUP(Ruimtestaat[[#This Row],[Code]],Locaties[#All],5,FALSE)</f>
        <v>6524 AJ</v>
      </c>
      <c r="E263" s="240" t="str">
        <f>VLOOKUP(Ruimtestaat[[#This Row],[Code]],Locaties[#All],6,FALSE)</f>
        <v>Nijmegen</v>
      </c>
      <c r="F263" s="241" t="s">
        <v>763</v>
      </c>
      <c r="G263" s="200">
        <v>1</v>
      </c>
      <c r="H263" s="200" t="s">
        <v>777</v>
      </c>
      <c r="I263" s="241" t="s">
        <v>821</v>
      </c>
      <c r="J263" s="240">
        <v>2</v>
      </c>
      <c r="K263" s="256" t="str">
        <f>VLOOKUP(Ruimtestaat[[#This Row],[Ruimte code]],Ruimtegroepen[#All],2,FALSE)</f>
        <v>Kantoren</v>
      </c>
      <c r="L263" s="240" t="s">
        <v>109</v>
      </c>
      <c r="M263" s="268" t="s">
        <v>649</v>
      </c>
      <c r="N263" s="269">
        <v>8</v>
      </c>
      <c r="O263" s="212"/>
      <c r="P263" s="240" t="str">
        <f>VLOOKUP(Ruimtestaat[[#This Row],[Ruimte code]],Ruimtegroepen[#All],4,FALSE)</f>
        <v>B  (Bureauruimte)</v>
      </c>
      <c r="Q263" s="213">
        <v>40</v>
      </c>
      <c r="R263" s="213" t="s">
        <v>17</v>
      </c>
      <c r="S263" s="213">
        <f>IF(Q263&gt;0,IF(RIGHT(Ruimtestaat[[#This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63" s="213">
        <f>IF(S263&gt;0,VLOOKUP($J263,Ruimtegroepen[],3,FALSE)*VLOOKUP($L263,Vloersoorten[],3,FALSE)*VLOOKUP($R263,Frequenties[],3,FALSE)*VLOOKUP($A263,Locaties[],3,FALSE),0)</f>
        <v>0</v>
      </c>
      <c r="U263" s="213">
        <f>Ruimtestaat[[#This Row],[Uitvoeringen werkdagen]]*Ruimtestaat[[#This Row],[Oppervlak (netto)]]</f>
        <v>640</v>
      </c>
      <c r="V263" s="253">
        <f>IF(T263&gt;0,Ruimtestaat[[#This Row],[Prest. (m2 /jaar) werkdagen]]/Ruimtestaat[[#This Row],[Norm (m2/uur) werkdagen]],0)</f>
        <v>0</v>
      </c>
      <c r="W263" s="254">
        <f>Ruimtestaat[[#This Row],[uren / jaar werkdagen]]*Tariefsopbouw!$D$38</f>
        <v>0</v>
      </c>
      <c r="X263" s="33"/>
      <c r="Y263" s="33">
        <f>IF(Ruimtestaat[[#This Row],[Frequentie weekend]]&gt;0,VALUE(LEFT(X263,1))*Q263,0)</f>
        <v>0</v>
      </c>
      <c r="Z263" s="33">
        <f>IF($Y263&gt;0,VLOOKUP($J263,Ruimtegroepen[],3,FALSE)*VLOOKUP($L263,Vloersoorten[],3,FALSE)*VLOOKUP($X263,Frequenties[],3,FALSE)*VLOOKUP(#REF!,Locaties[],3,FALSE),0)</f>
        <v>0</v>
      </c>
      <c r="AA263" s="33"/>
      <c r="AB263" s="33"/>
      <c r="AC263" s="33">
        <f>Ruimtestaat[[#This Row],[uren / jaar weekend]]*Tariefsopbouw!$D$40</f>
        <v>0</v>
      </c>
      <c r="AD263" s="88">
        <f>Ruimtestaat[[#This Row],[Prest. (m2 /jaar) weekend]]+Ruimtestaat[[#This Row],[Prest. (m2 /jaar) werkdagen]]</f>
        <v>640</v>
      </c>
      <c r="AE263" s="88">
        <f>Ruimtestaat[[#This Row],[uren / jaar weekend]]+Ruimtestaat[[#This Row],[uren / jaar werkdagen]]</f>
        <v>0</v>
      </c>
      <c r="AF263" s="89">
        <f>Ruimtestaat[[#This Row],[kosten / jaar weekend]]+Ruimtestaat[[#This Row],[kosten / jaar werkdagen]]</f>
        <v>0</v>
      </c>
    </row>
    <row r="264" spans="1:32" ht="15" customHeight="1">
      <c r="A264" s="213">
        <v>3</v>
      </c>
      <c r="B264" s="200" t="str">
        <f>VLOOKUP(Ruimtestaat[[#This Row],[Code]],Locaties[#All],2,FALSE)</f>
        <v>Karel de Grote College</v>
      </c>
      <c r="C264" s="240" t="str">
        <f>VLOOKUP(Ruimtestaat[[#This Row],[Code]],Locaties[#All],4,FALSE)</f>
        <v>Wilhelminasingel 15</v>
      </c>
      <c r="D264" s="240" t="str">
        <f>VLOOKUP(Ruimtestaat[[#This Row],[Code]],Locaties[#All],5,FALSE)</f>
        <v>6524 AJ</v>
      </c>
      <c r="E264" s="240" t="str">
        <f>VLOOKUP(Ruimtestaat[[#This Row],[Code]],Locaties[#All],6,FALSE)</f>
        <v>Nijmegen</v>
      </c>
      <c r="F264" s="241" t="s">
        <v>763</v>
      </c>
      <c r="G264" s="200">
        <v>1</v>
      </c>
      <c r="H264" s="200" t="s">
        <v>493</v>
      </c>
      <c r="I264" s="241" t="s">
        <v>822</v>
      </c>
      <c r="J264" s="200">
        <v>10</v>
      </c>
      <c r="K264" s="256" t="str">
        <f>VLOOKUP(Ruimtestaat[[#This Row],[Ruimte code]],Ruimtegroepen[#All],2,FALSE)</f>
        <v>Trappenhuizen/lift</v>
      </c>
      <c r="L264" s="240" t="s">
        <v>111</v>
      </c>
      <c r="M264" s="268" t="s">
        <v>766</v>
      </c>
      <c r="N264" s="269">
        <v>11</v>
      </c>
      <c r="O264" s="212"/>
      <c r="P264" s="240" t="str">
        <f>VLOOKUP(Ruimtestaat[[#This Row],[Ruimte code]],Ruimtegroepen[#All],4,FALSE)</f>
        <v>V  (Verkeersruimte)</v>
      </c>
      <c r="Q264" s="213">
        <v>40</v>
      </c>
      <c r="R264" s="213" t="s">
        <v>2</v>
      </c>
      <c r="S264" s="213">
        <f>IF(Q264&gt;0,IF(RIGHT(Ruimtestaat[[#This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4" s="213">
        <f>IF(S264&gt;0,VLOOKUP($J264,Ruimtegroepen[],3,FALSE)*VLOOKUP($L264,Vloersoorten[],3,FALSE)*VLOOKUP($R264,Frequenties[],3,FALSE)*VLOOKUP($A264,Locaties[],3,FALSE),0)</f>
        <v>0</v>
      </c>
      <c r="U264" s="213">
        <f>Ruimtestaat[[#This Row],[Uitvoeringen werkdagen]]*Ruimtestaat[[#This Row],[Oppervlak (netto)]]</f>
        <v>2200</v>
      </c>
      <c r="V264" s="253">
        <f>IF(T264&gt;0,Ruimtestaat[[#This Row],[Prest. (m2 /jaar) werkdagen]]/Ruimtestaat[[#This Row],[Norm (m2/uur) werkdagen]],0)</f>
        <v>0</v>
      </c>
      <c r="W264" s="254">
        <f>Ruimtestaat[[#This Row],[uren / jaar werkdagen]]*Tariefsopbouw!$D$38</f>
        <v>0</v>
      </c>
      <c r="X264" s="33"/>
      <c r="Y264" s="33">
        <f>IF(Ruimtestaat[[#This Row],[Frequentie weekend]]&gt;0,VALUE(LEFT(X264,1))*Q264,0)</f>
        <v>0</v>
      </c>
      <c r="Z264" s="33">
        <f>IF($Y264&gt;0,VLOOKUP($J264,Ruimtegroepen[],3,FALSE)*VLOOKUP($L264,Vloersoorten[],3,FALSE)*VLOOKUP($X264,Frequenties[],3,FALSE)*VLOOKUP(#REF!,Locaties[],3,FALSE),0)</f>
        <v>0</v>
      </c>
      <c r="AA264" s="33"/>
      <c r="AB264" s="33"/>
      <c r="AC264" s="33">
        <f>Ruimtestaat[[#This Row],[uren / jaar weekend]]*Tariefsopbouw!$D$40</f>
        <v>0</v>
      </c>
      <c r="AD264" s="88">
        <f>Ruimtestaat[[#This Row],[Prest. (m2 /jaar) weekend]]+Ruimtestaat[[#This Row],[Prest. (m2 /jaar) werkdagen]]</f>
        <v>2200</v>
      </c>
      <c r="AE264" s="88">
        <f>Ruimtestaat[[#This Row],[uren / jaar weekend]]+Ruimtestaat[[#This Row],[uren / jaar werkdagen]]</f>
        <v>0</v>
      </c>
      <c r="AF264" s="89">
        <f>Ruimtestaat[[#This Row],[kosten / jaar weekend]]+Ruimtestaat[[#This Row],[kosten / jaar werkdagen]]</f>
        <v>0</v>
      </c>
    </row>
    <row r="265" spans="1:32" ht="15" customHeight="1">
      <c r="A265" s="213">
        <v>3</v>
      </c>
      <c r="B265" s="200" t="str">
        <f>VLOOKUP(Ruimtestaat[[#This Row],[Code]],Locaties[#All],2,FALSE)</f>
        <v>Karel de Grote College</v>
      </c>
      <c r="C265" s="240" t="str">
        <f>VLOOKUP(Ruimtestaat[[#This Row],[Code]],Locaties[#All],4,FALSE)</f>
        <v>Wilhelminasingel 15</v>
      </c>
      <c r="D265" s="240" t="str">
        <f>VLOOKUP(Ruimtestaat[[#This Row],[Code]],Locaties[#All],5,FALSE)</f>
        <v>6524 AJ</v>
      </c>
      <c r="E265" s="240" t="str">
        <f>VLOOKUP(Ruimtestaat[[#This Row],[Code]],Locaties[#All],6,FALSE)</f>
        <v>Nijmegen</v>
      </c>
      <c r="F265" s="241" t="s">
        <v>763</v>
      </c>
      <c r="G265" s="200">
        <v>1</v>
      </c>
      <c r="H265" s="200" t="s">
        <v>494</v>
      </c>
      <c r="I265" s="241" t="s">
        <v>816</v>
      </c>
      <c r="J265" s="200">
        <v>10</v>
      </c>
      <c r="K265" s="256" t="str">
        <f>VLOOKUP(Ruimtestaat[[#This Row],[Ruimte code]],Ruimtegroepen[#All],2,FALSE)</f>
        <v>Trappenhuizen/lift</v>
      </c>
      <c r="L265" s="240" t="s">
        <v>111</v>
      </c>
      <c r="M265" s="268" t="s">
        <v>766</v>
      </c>
      <c r="N265" s="269">
        <v>27</v>
      </c>
      <c r="O265" s="212"/>
      <c r="P265" s="240" t="str">
        <f>VLOOKUP(Ruimtestaat[[#This Row],[Ruimte code]],Ruimtegroepen[#All],4,FALSE)</f>
        <v>V  (Verkeersruimte)</v>
      </c>
      <c r="Q265" s="213">
        <v>40</v>
      </c>
      <c r="R265" s="213" t="s">
        <v>2</v>
      </c>
      <c r="S265" s="213">
        <f>IF(Q265&gt;0,IF(RIGHT(Ruimtestaat[[#This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5" s="213">
        <f>IF(S265&gt;0,VLOOKUP($J265,Ruimtegroepen[],3,FALSE)*VLOOKUP($L265,Vloersoorten[],3,FALSE)*VLOOKUP($R265,Frequenties[],3,FALSE)*VLOOKUP($A265,Locaties[],3,FALSE),0)</f>
        <v>0</v>
      </c>
      <c r="U265" s="213">
        <f>Ruimtestaat[[#This Row],[Uitvoeringen werkdagen]]*Ruimtestaat[[#This Row],[Oppervlak (netto)]]</f>
        <v>5400</v>
      </c>
      <c r="V265" s="253">
        <f>IF(T265&gt;0,Ruimtestaat[[#This Row],[Prest. (m2 /jaar) werkdagen]]/Ruimtestaat[[#This Row],[Norm (m2/uur) werkdagen]],0)</f>
        <v>0</v>
      </c>
      <c r="W265" s="254">
        <f>Ruimtestaat[[#This Row],[uren / jaar werkdagen]]*Tariefsopbouw!$D$38</f>
        <v>0</v>
      </c>
      <c r="X265" s="33"/>
      <c r="Y265" s="33">
        <f>IF(Ruimtestaat[[#This Row],[Frequentie weekend]]&gt;0,VALUE(LEFT(X265,1))*Q265,0)</f>
        <v>0</v>
      </c>
      <c r="Z265" s="33">
        <f>IF($Y265&gt;0,VLOOKUP($J265,Ruimtegroepen[],3,FALSE)*VLOOKUP($L265,Vloersoorten[],3,FALSE)*VLOOKUP($X265,Frequenties[],3,FALSE)*VLOOKUP(#REF!,Locaties[],3,FALSE),0)</f>
        <v>0</v>
      </c>
      <c r="AA265" s="33"/>
      <c r="AB265" s="33"/>
      <c r="AC265" s="33">
        <f>Ruimtestaat[[#This Row],[uren / jaar weekend]]*Tariefsopbouw!$D$40</f>
        <v>0</v>
      </c>
      <c r="AD265" s="88">
        <f>Ruimtestaat[[#This Row],[Prest. (m2 /jaar) weekend]]+Ruimtestaat[[#This Row],[Prest. (m2 /jaar) werkdagen]]</f>
        <v>5400</v>
      </c>
      <c r="AE265" s="88">
        <f>Ruimtestaat[[#This Row],[uren / jaar weekend]]+Ruimtestaat[[#This Row],[uren / jaar werkdagen]]</f>
        <v>0</v>
      </c>
      <c r="AF265" s="89">
        <f>Ruimtestaat[[#This Row],[kosten / jaar weekend]]+Ruimtestaat[[#This Row],[kosten / jaar werkdagen]]</f>
        <v>0</v>
      </c>
    </row>
    <row r="266" spans="1:32" ht="15" customHeight="1">
      <c r="A266" s="213">
        <v>3</v>
      </c>
      <c r="B266" s="200" t="str">
        <f>VLOOKUP(Ruimtestaat[[#This Row],[Code]],Locaties[#All],2,FALSE)</f>
        <v>Karel de Grote College</v>
      </c>
      <c r="C266" s="240" t="str">
        <f>VLOOKUP(Ruimtestaat[[#This Row],[Code]],Locaties[#All],4,FALSE)</f>
        <v>Wilhelminasingel 15</v>
      </c>
      <c r="D266" s="240" t="str">
        <f>VLOOKUP(Ruimtestaat[[#This Row],[Code]],Locaties[#All],5,FALSE)</f>
        <v>6524 AJ</v>
      </c>
      <c r="E266" s="240" t="str">
        <f>VLOOKUP(Ruimtestaat[[#This Row],[Code]],Locaties[#All],6,FALSE)</f>
        <v>Nijmegen</v>
      </c>
      <c r="F266" s="241" t="s">
        <v>763</v>
      </c>
      <c r="G266" s="200">
        <v>1</v>
      </c>
      <c r="H266" s="200" t="s">
        <v>495</v>
      </c>
      <c r="I266" s="241" t="s">
        <v>823</v>
      </c>
      <c r="J266" s="200">
        <v>5</v>
      </c>
      <c r="K266" s="256" t="str">
        <f>VLOOKUP(Ruimtestaat[[#This Row],[Ruimte code]],Ruimtegroepen[#All],2,FALSE)</f>
        <v>Sanitair</v>
      </c>
      <c r="L266" s="240" t="s">
        <v>111</v>
      </c>
      <c r="M266" s="268" t="s">
        <v>766</v>
      </c>
      <c r="N266" s="269">
        <v>11</v>
      </c>
      <c r="O266" s="212"/>
      <c r="P266" s="240" t="str">
        <f>VLOOKUP(Ruimtestaat[[#This Row],[Ruimte code]],Ruimtegroepen[#All],4,FALSE)</f>
        <v>S  (Sanitair)</v>
      </c>
      <c r="Q266" s="213">
        <v>40</v>
      </c>
      <c r="R266" s="213" t="s">
        <v>2</v>
      </c>
      <c r="S266" s="213">
        <f>IF(Q266&gt;0,IF(RIGHT(Ruimtestaat[[#This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6" s="213">
        <f>IF(S266&gt;0,VLOOKUP($J266,Ruimtegroepen[],3,FALSE)*VLOOKUP($L266,Vloersoorten[],3,FALSE)*VLOOKUP($R266,Frequenties[],3,FALSE)*VLOOKUP($A266,Locaties[],3,FALSE),0)</f>
        <v>0</v>
      </c>
      <c r="U266" s="213">
        <f>Ruimtestaat[[#This Row],[Uitvoeringen werkdagen]]*Ruimtestaat[[#This Row],[Oppervlak (netto)]]</f>
        <v>2200</v>
      </c>
      <c r="V266" s="253">
        <f>IF(T266&gt;0,Ruimtestaat[[#This Row],[Prest. (m2 /jaar) werkdagen]]/Ruimtestaat[[#This Row],[Norm (m2/uur) werkdagen]],0)</f>
        <v>0</v>
      </c>
      <c r="W266" s="254">
        <f>Ruimtestaat[[#This Row],[uren / jaar werkdagen]]*Tariefsopbouw!$D$38</f>
        <v>0</v>
      </c>
      <c r="X266" s="33"/>
      <c r="Y266" s="33">
        <f>IF(Ruimtestaat[[#This Row],[Frequentie weekend]]&gt;0,VALUE(LEFT(X266,1))*Q266,0)</f>
        <v>0</v>
      </c>
      <c r="Z266" s="33">
        <f>IF($Y266&gt;0,VLOOKUP($J266,Ruimtegroepen[],3,FALSE)*VLOOKUP($L266,Vloersoorten[],3,FALSE)*VLOOKUP($X266,Frequenties[],3,FALSE)*VLOOKUP(#REF!,Locaties[],3,FALSE),0)</f>
        <v>0</v>
      </c>
      <c r="AA266" s="33"/>
      <c r="AB266" s="33"/>
      <c r="AC266" s="33">
        <f>Ruimtestaat[[#This Row],[uren / jaar weekend]]*Tariefsopbouw!$D$40</f>
        <v>0</v>
      </c>
      <c r="AD266" s="88">
        <f>Ruimtestaat[[#This Row],[Prest. (m2 /jaar) weekend]]+Ruimtestaat[[#This Row],[Prest. (m2 /jaar) werkdagen]]</f>
        <v>2200</v>
      </c>
      <c r="AE266" s="88">
        <f>Ruimtestaat[[#This Row],[uren / jaar weekend]]+Ruimtestaat[[#This Row],[uren / jaar werkdagen]]</f>
        <v>0</v>
      </c>
      <c r="AF266" s="89">
        <f>Ruimtestaat[[#This Row],[kosten / jaar weekend]]+Ruimtestaat[[#This Row],[kosten / jaar werkdagen]]</f>
        <v>0</v>
      </c>
    </row>
    <row r="267" spans="1:32" ht="15" customHeight="1">
      <c r="A267" s="213">
        <v>3</v>
      </c>
      <c r="B267" s="200" t="str">
        <f>VLOOKUP(Ruimtestaat[[#This Row],[Code]],Locaties[#All],2,FALSE)</f>
        <v>Karel de Grote College</v>
      </c>
      <c r="C267" s="240" t="str">
        <f>VLOOKUP(Ruimtestaat[[#This Row],[Code]],Locaties[#All],4,FALSE)</f>
        <v>Wilhelminasingel 15</v>
      </c>
      <c r="D267" s="240" t="str">
        <f>VLOOKUP(Ruimtestaat[[#This Row],[Code]],Locaties[#All],5,FALSE)</f>
        <v>6524 AJ</v>
      </c>
      <c r="E267" s="240" t="str">
        <f>VLOOKUP(Ruimtestaat[[#This Row],[Code]],Locaties[#All],6,FALSE)</f>
        <v>Nijmegen</v>
      </c>
      <c r="F267" s="241" t="s">
        <v>763</v>
      </c>
      <c r="G267" s="200">
        <v>1</v>
      </c>
      <c r="H267" s="200" t="s">
        <v>496</v>
      </c>
      <c r="I267" s="241" t="s">
        <v>824</v>
      </c>
      <c r="J267" s="213">
        <v>6</v>
      </c>
      <c r="K267" s="256" t="str">
        <f>VLOOKUP(Ruimtestaat[[#This Row],[Ruimte code]],Ruimtegroepen[#All],2,FALSE)</f>
        <v>Gangen/hallen</v>
      </c>
      <c r="L267" s="240" t="s">
        <v>111</v>
      </c>
      <c r="M267" s="268" t="s">
        <v>766</v>
      </c>
      <c r="N267" s="269">
        <v>35</v>
      </c>
      <c r="O267" s="212"/>
      <c r="P267" s="240" t="str">
        <f>VLOOKUP(Ruimtestaat[[#This Row],[Ruimte code]],Ruimtegroepen[#All],4,FALSE)</f>
        <v>V  (Verkeersruimte)</v>
      </c>
      <c r="Q267" s="213">
        <v>40</v>
      </c>
      <c r="R267" s="213" t="s">
        <v>2</v>
      </c>
      <c r="S267" s="213">
        <f>IF(Q267&gt;0,IF(RIGHT(Ruimtestaat[[#This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7" s="213">
        <f>IF(S267&gt;0,VLOOKUP($J267,Ruimtegroepen[],3,FALSE)*VLOOKUP($L267,Vloersoorten[],3,FALSE)*VLOOKUP($R267,Frequenties[],3,FALSE)*VLOOKUP($A267,Locaties[],3,FALSE),0)</f>
        <v>0</v>
      </c>
      <c r="U267" s="213">
        <f>Ruimtestaat[[#This Row],[Uitvoeringen werkdagen]]*Ruimtestaat[[#This Row],[Oppervlak (netto)]]</f>
        <v>7000</v>
      </c>
      <c r="V267" s="253">
        <f>IF(T267&gt;0,Ruimtestaat[[#This Row],[Prest. (m2 /jaar) werkdagen]]/Ruimtestaat[[#This Row],[Norm (m2/uur) werkdagen]],0)</f>
        <v>0</v>
      </c>
      <c r="W267" s="254">
        <f>Ruimtestaat[[#This Row],[uren / jaar werkdagen]]*Tariefsopbouw!$D$38</f>
        <v>0</v>
      </c>
      <c r="X267" s="33"/>
      <c r="Y267" s="33">
        <f>IF(Ruimtestaat[[#This Row],[Frequentie weekend]]&gt;0,VALUE(LEFT(X267,1))*Q267,0)</f>
        <v>0</v>
      </c>
      <c r="Z267" s="33">
        <f>IF($Y267&gt;0,VLOOKUP($J267,Ruimtegroepen[],3,FALSE)*VLOOKUP($L267,Vloersoorten[],3,FALSE)*VLOOKUP($X267,Frequenties[],3,FALSE)*VLOOKUP(#REF!,Locaties[],3,FALSE),0)</f>
        <v>0</v>
      </c>
      <c r="AA267" s="33"/>
      <c r="AB267" s="33"/>
      <c r="AC267" s="33">
        <f>Ruimtestaat[[#This Row],[uren / jaar weekend]]*Tariefsopbouw!$D$40</f>
        <v>0</v>
      </c>
      <c r="AD267" s="88">
        <f>Ruimtestaat[[#This Row],[Prest. (m2 /jaar) weekend]]+Ruimtestaat[[#This Row],[Prest. (m2 /jaar) werkdagen]]</f>
        <v>7000</v>
      </c>
      <c r="AE267" s="88">
        <f>Ruimtestaat[[#This Row],[uren / jaar weekend]]+Ruimtestaat[[#This Row],[uren / jaar werkdagen]]</f>
        <v>0</v>
      </c>
      <c r="AF267" s="89">
        <f>Ruimtestaat[[#This Row],[kosten / jaar weekend]]+Ruimtestaat[[#This Row],[kosten / jaar werkdagen]]</f>
        <v>0</v>
      </c>
    </row>
    <row r="268" spans="1:32" ht="15" customHeight="1">
      <c r="A268" s="213">
        <v>3</v>
      </c>
      <c r="B268" s="200" t="str">
        <f>VLOOKUP(Ruimtestaat[[#This Row],[Code]],Locaties[#All],2,FALSE)</f>
        <v>Karel de Grote College</v>
      </c>
      <c r="C268" s="240" t="str">
        <f>VLOOKUP(Ruimtestaat[[#This Row],[Code]],Locaties[#All],4,FALSE)</f>
        <v>Wilhelminasingel 15</v>
      </c>
      <c r="D268" s="240" t="str">
        <f>VLOOKUP(Ruimtestaat[[#This Row],[Code]],Locaties[#All],5,FALSE)</f>
        <v>6524 AJ</v>
      </c>
      <c r="E268" s="240" t="str">
        <f>VLOOKUP(Ruimtestaat[[#This Row],[Code]],Locaties[#All],6,FALSE)</f>
        <v>Nijmegen</v>
      </c>
      <c r="F268" s="241" t="s">
        <v>763</v>
      </c>
      <c r="G268" s="200">
        <v>1</v>
      </c>
      <c r="H268" s="200" t="s">
        <v>496</v>
      </c>
      <c r="I268" s="241" t="s">
        <v>825</v>
      </c>
      <c r="J268" s="213">
        <v>6</v>
      </c>
      <c r="K268" s="256" t="str">
        <f>VLOOKUP(Ruimtestaat[[#This Row],[Ruimte code]],Ruimtegroepen[#All],2,FALSE)</f>
        <v>Gangen/hallen</v>
      </c>
      <c r="L268" s="240" t="s">
        <v>112</v>
      </c>
      <c r="M268" s="268" t="s">
        <v>765</v>
      </c>
      <c r="N268" s="269">
        <v>12</v>
      </c>
      <c r="O268" s="212"/>
      <c r="P268" s="240" t="str">
        <f>VLOOKUP(Ruimtestaat[[#This Row],[Ruimte code]],Ruimtegroepen[#All],4,FALSE)</f>
        <v>V  (Verkeersruimte)</v>
      </c>
      <c r="Q268" s="213">
        <v>40</v>
      </c>
      <c r="R268" s="213" t="s">
        <v>2</v>
      </c>
      <c r="S268" s="213">
        <f>IF(Q268&gt;0,IF(RIGHT(Ruimtestaat[[#This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8" s="213">
        <f>IF(S268&gt;0,VLOOKUP($J268,Ruimtegroepen[],3,FALSE)*VLOOKUP($L268,Vloersoorten[],3,FALSE)*VLOOKUP($R268,Frequenties[],3,FALSE)*VLOOKUP($A268,Locaties[],3,FALSE),0)</f>
        <v>0</v>
      </c>
      <c r="U268" s="213">
        <f>Ruimtestaat[[#This Row],[Uitvoeringen werkdagen]]*Ruimtestaat[[#This Row],[Oppervlak (netto)]]</f>
        <v>2400</v>
      </c>
      <c r="V268" s="253">
        <f>IF(T268&gt;0,Ruimtestaat[[#This Row],[Prest. (m2 /jaar) werkdagen]]/Ruimtestaat[[#This Row],[Norm (m2/uur) werkdagen]],0)</f>
        <v>0</v>
      </c>
      <c r="W268" s="254">
        <f>Ruimtestaat[[#This Row],[uren / jaar werkdagen]]*Tariefsopbouw!$D$38</f>
        <v>0</v>
      </c>
      <c r="X268" s="33"/>
      <c r="Y268" s="33">
        <f>IF(Ruimtestaat[[#This Row],[Frequentie weekend]]&gt;0,VALUE(LEFT(X268,1))*Q268,0)</f>
        <v>0</v>
      </c>
      <c r="Z268" s="33">
        <f>IF($Y268&gt;0,VLOOKUP($J268,Ruimtegroepen[],3,FALSE)*VLOOKUP($L268,Vloersoorten[],3,FALSE)*VLOOKUP($X268,Frequenties[],3,FALSE)*VLOOKUP(#REF!,Locaties[],3,FALSE),0)</f>
        <v>0</v>
      </c>
      <c r="AA268" s="33"/>
      <c r="AB268" s="33"/>
      <c r="AC268" s="33">
        <f>Ruimtestaat[[#This Row],[uren / jaar weekend]]*Tariefsopbouw!$D$40</f>
        <v>0</v>
      </c>
      <c r="AD268" s="88">
        <f>Ruimtestaat[[#This Row],[Prest. (m2 /jaar) weekend]]+Ruimtestaat[[#This Row],[Prest. (m2 /jaar) werkdagen]]</f>
        <v>2400</v>
      </c>
      <c r="AE268" s="88">
        <f>Ruimtestaat[[#This Row],[uren / jaar weekend]]+Ruimtestaat[[#This Row],[uren / jaar werkdagen]]</f>
        <v>0</v>
      </c>
      <c r="AF268" s="89">
        <f>Ruimtestaat[[#This Row],[kosten / jaar weekend]]+Ruimtestaat[[#This Row],[kosten / jaar werkdagen]]</f>
        <v>0</v>
      </c>
    </row>
    <row r="269" spans="1:32" ht="15" customHeight="1">
      <c r="A269" s="213">
        <v>3</v>
      </c>
      <c r="B269" s="200" t="str">
        <f>VLOOKUP(Ruimtestaat[[#This Row],[Code]],Locaties[#All],2,FALSE)</f>
        <v>Karel de Grote College</v>
      </c>
      <c r="C269" s="240" t="str">
        <f>VLOOKUP(Ruimtestaat[[#This Row],[Code]],Locaties[#All],4,FALSE)</f>
        <v>Wilhelminasingel 15</v>
      </c>
      <c r="D269" s="240" t="str">
        <f>VLOOKUP(Ruimtestaat[[#This Row],[Code]],Locaties[#All],5,FALSE)</f>
        <v>6524 AJ</v>
      </c>
      <c r="E269" s="240" t="str">
        <f>VLOOKUP(Ruimtestaat[[#This Row],[Code]],Locaties[#All],6,FALSE)</f>
        <v>Nijmegen</v>
      </c>
      <c r="F269" s="241" t="s">
        <v>761</v>
      </c>
      <c r="G269" s="200">
        <v>1</v>
      </c>
      <c r="H269" s="200" t="s">
        <v>778</v>
      </c>
      <c r="I269" s="241" t="s">
        <v>826</v>
      </c>
      <c r="J269" s="213">
        <v>6</v>
      </c>
      <c r="K269" s="256" t="str">
        <f>VLOOKUP(Ruimtestaat[[#This Row],[Ruimte code]],Ruimtegroepen[#All],2,FALSE)</f>
        <v>Gangen/hallen</v>
      </c>
      <c r="L269" s="213" t="s">
        <v>110</v>
      </c>
      <c r="M269" s="268" t="s">
        <v>644</v>
      </c>
      <c r="N269" s="269">
        <v>20</v>
      </c>
      <c r="O269" s="212"/>
      <c r="P269" s="240" t="str">
        <f>VLOOKUP(Ruimtestaat[[#This Row],[Ruimte code]],Ruimtegroepen[#All],4,FALSE)</f>
        <v>V  (Verkeersruimte)</v>
      </c>
      <c r="Q269" s="213">
        <v>40</v>
      </c>
      <c r="R269" s="213" t="s">
        <v>2</v>
      </c>
      <c r="S269" s="213">
        <f>IF(Q269&gt;0,IF(RIGHT(Ruimtestaat[[#This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69" s="213">
        <f>IF(S269&gt;0,VLOOKUP($J269,Ruimtegroepen[],3,FALSE)*VLOOKUP($L269,Vloersoorten[],3,FALSE)*VLOOKUP($R269,Frequenties[],3,FALSE)*VLOOKUP($A269,Locaties[],3,FALSE),0)</f>
        <v>0</v>
      </c>
      <c r="U269" s="213">
        <f>Ruimtestaat[[#This Row],[Uitvoeringen werkdagen]]*Ruimtestaat[[#This Row],[Oppervlak (netto)]]</f>
        <v>4000</v>
      </c>
      <c r="V269" s="253">
        <f>IF(T269&gt;0,Ruimtestaat[[#This Row],[Prest. (m2 /jaar) werkdagen]]/Ruimtestaat[[#This Row],[Norm (m2/uur) werkdagen]],0)</f>
        <v>0</v>
      </c>
      <c r="W269" s="254">
        <f>Ruimtestaat[[#This Row],[uren / jaar werkdagen]]*Tariefsopbouw!$D$38</f>
        <v>0</v>
      </c>
      <c r="X269" s="33"/>
      <c r="Y269" s="33">
        <f>IF(Ruimtestaat[[#This Row],[Frequentie weekend]]&gt;0,VALUE(LEFT(X269,1))*Q269,0)</f>
        <v>0</v>
      </c>
      <c r="Z269" s="33">
        <f>IF($Y269&gt;0,VLOOKUP($J269,Ruimtegroepen[],3,FALSE)*VLOOKUP($L269,Vloersoorten[],3,FALSE)*VLOOKUP($X269,Frequenties[],3,FALSE)*VLOOKUP(#REF!,Locaties[],3,FALSE),0)</f>
        <v>0</v>
      </c>
      <c r="AA269" s="33"/>
      <c r="AB269" s="33"/>
      <c r="AC269" s="33">
        <f>Ruimtestaat[[#This Row],[uren / jaar weekend]]*Tariefsopbouw!$D$40</f>
        <v>0</v>
      </c>
      <c r="AD269" s="88">
        <f>Ruimtestaat[[#This Row],[Prest. (m2 /jaar) weekend]]+Ruimtestaat[[#This Row],[Prest. (m2 /jaar) werkdagen]]</f>
        <v>4000</v>
      </c>
      <c r="AE269" s="88">
        <f>Ruimtestaat[[#This Row],[uren / jaar weekend]]+Ruimtestaat[[#This Row],[uren / jaar werkdagen]]</f>
        <v>0</v>
      </c>
      <c r="AF269" s="89">
        <f>Ruimtestaat[[#This Row],[kosten / jaar weekend]]+Ruimtestaat[[#This Row],[kosten / jaar werkdagen]]</f>
        <v>0</v>
      </c>
    </row>
    <row r="270" spans="1:32" ht="15" customHeight="1">
      <c r="A270" s="213">
        <v>3</v>
      </c>
      <c r="B270" s="200" t="str">
        <f>VLOOKUP(Ruimtestaat[[#This Row],[Code]],Locaties[#All],2,FALSE)</f>
        <v>Karel de Grote College</v>
      </c>
      <c r="C270" s="240" t="str">
        <f>VLOOKUP(Ruimtestaat[[#This Row],[Code]],Locaties[#All],4,FALSE)</f>
        <v>Wilhelminasingel 15</v>
      </c>
      <c r="D270" s="240" t="str">
        <f>VLOOKUP(Ruimtestaat[[#This Row],[Code]],Locaties[#All],5,FALSE)</f>
        <v>6524 AJ</v>
      </c>
      <c r="E270" s="240" t="str">
        <f>VLOOKUP(Ruimtestaat[[#This Row],[Code]],Locaties[#All],6,FALSE)</f>
        <v>Nijmegen</v>
      </c>
      <c r="F270" s="241" t="s">
        <v>763</v>
      </c>
      <c r="G270" s="200">
        <v>1</v>
      </c>
      <c r="H270" s="200" t="s">
        <v>497</v>
      </c>
      <c r="I270" s="241" t="s">
        <v>673</v>
      </c>
      <c r="J270" s="200">
        <v>16</v>
      </c>
      <c r="K270" s="256" t="str">
        <f>VLOOKUP(Ruimtestaat[[#This Row],[Ruimte code]],Ruimtegroepen[#All],2,FALSE)</f>
        <v>Lokaal</v>
      </c>
      <c r="L270" s="240" t="s">
        <v>112</v>
      </c>
      <c r="M270" s="268" t="s">
        <v>645</v>
      </c>
      <c r="N270" s="269">
        <v>61</v>
      </c>
      <c r="O270" s="212"/>
      <c r="P270" s="240" t="str">
        <f>VLOOKUP(Ruimtestaat[[#This Row],[Ruimte code]],Ruimtegroepen[#All],4,FALSE)</f>
        <v>L  (Lesruimte)</v>
      </c>
      <c r="Q270" s="213">
        <v>40</v>
      </c>
      <c r="R270" s="213" t="s">
        <v>2</v>
      </c>
      <c r="S270" s="213">
        <f>IF(Q270&gt;0,IF(RIGHT(Ruimtestaat[[#This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0" s="213">
        <f>IF(S270&gt;0,VLOOKUP($J270,Ruimtegroepen[],3,FALSE)*VLOOKUP($L270,Vloersoorten[],3,FALSE)*VLOOKUP($R270,Frequenties[],3,FALSE)*VLOOKUP($A270,Locaties[],3,FALSE),0)</f>
        <v>0</v>
      </c>
      <c r="U270" s="213">
        <f>Ruimtestaat[[#This Row],[Uitvoeringen werkdagen]]*Ruimtestaat[[#This Row],[Oppervlak (netto)]]</f>
        <v>12200</v>
      </c>
      <c r="V270" s="253">
        <f>IF(T270&gt;0,Ruimtestaat[[#This Row],[Prest. (m2 /jaar) werkdagen]]/Ruimtestaat[[#This Row],[Norm (m2/uur) werkdagen]],0)</f>
        <v>0</v>
      </c>
      <c r="W270" s="254">
        <f>Ruimtestaat[[#This Row],[uren / jaar werkdagen]]*Tariefsopbouw!$D$38</f>
        <v>0</v>
      </c>
      <c r="X270" s="33"/>
      <c r="Y270" s="33">
        <f>IF(Ruimtestaat[[#This Row],[Frequentie weekend]]&gt;0,VALUE(LEFT(X270,1))*Q270,0)</f>
        <v>0</v>
      </c>
      <c r="Z270" s="33">
        <f>IF($Y270&gt;0,VLOOKUP($J270,Ruimtegroepen[],3,FALSE)*VLOOKUP($L270,Vloersoorten[],3,FALSE)*VLOOKUP($X270,Frequenties[],3,FALSE)*VLOOKUP(#REF!,Locaties[],3,FALSE),0)</f>
        <v>0</v>
      </c>
      <c r="AA270" s="33"/>
      <c r="AB270" s="33"/>
      <c r="AC270" s="33">
        <f>Ruimtestaat[[#This Row],[uren / jaar weekend]]*Tariefsopbouw!$D$40</f>
        <v>0</v>
      </c>
      <c r="AD270" s="88">
        <f>Ruimtestaat[[#This Row],[Prest. (m2 /jaar) weekend]]+Ruimtestaat[[#This Row],[Prest. (m2 /jaar) werkdagen]]</f>
        <v>12200</v>
      </c>
      <c r="AE270" s="88">
        <f>Ruimtestaat[[#This Row],[uren / jaar weekend]]+Ruimtestaat[[#This Row],[uren / jaar werkdagen]]</f>
        <v>0</v>
      </c>
      <c r="AF270" s="89">
        <f>Ruimtestaat[[#This Row],[kosten / jaar weekend]]+Ruimtestaat[[#This Row],[kosten / jaar werkdagen]]</f>
        <v>0</v>
      </c>
    </row>
    <row r="271" spans="1:32" ht="15" customHeight="1">
      <c r="A271" s="213">
        <v>3</v>
      </c>
      <c r="B271" s="200" t="str">
        <f>VLOOKUP(Ruimtestaat[[#This Row],[Code]],Locaties[#All],2,FALSE)</f>
        <v>Karel de Grote College</v>
      </c>
      <c r="C271" s="240" t="str">
        <f>VLOOKUP(Ruimtestaat[[#This Row],[Code]],Locaties[#All],4,FALSE)</f>
        <v>Wilhelminasingel 15</v>
      </c>
      <c r="D271" s="240" t="str">
        <f>VLOOKUP(Ruimtestaat[[#This Row],[Code]],Locaties[#All],5,FALSE)</f>
        <v>6524 AJ</v>
      </c>
      <c r="E271" s="240" t="str">
        <f>VLOOKUP(Ruimtestaat[[#This Row],[Code]],Locaties[#All],6,FALSE)</f>
        <v>Nijmegen</v>
      </c>
      <c r="F271" s="241" t="s">
        <v>763</v>
      </c>
      <c r="G271" s="200">
        <v>1</v>
      </c>
      <c r="H271" s="200" t="s">
        <v>779</v>
      </c>
      <c r="I271" s="241" t="s">
        <v>673</v>
      </c>
      <c r="J271" s="200">
        <v>16</v>
      </c>
      <c r="K271" s="256" t="str">
        <f>VLOOKUP(Ruimtestaat[[#This Row],[Ruimte code]],Ruimtegroepen[#All],2,FALSE)</f>
        <v>Lokaal</v>
      </c>
      <c r="L271" s="240" t="s">
        <v>112</v>
      </c>
      <c r="M271" s="268" t="s">
        <v>645</v>
      </c>
      <c r="N271" s="269">
        <v>60</v>
      </c>
      <c r="O271" s="212"/>
      <c r="P271" s="240" t="str">
        <f>VLOOKUP(Ruimtestaat[[#This Row],[Ruimte code]],Ruimtegroepen[#All],4,FALSE)</f>
        <v>L  (Lesruimte)</v>
      </c>
      <c r="Q271" s="213">
        <v>40</v>
      </c>
      <c r="R271" s="213" t="s">
        <v>2</v>
      </c>
      <c r="S271" s="213">
        <f>IF(Q271&gt;0,IF(RIGHT(Ruimtestaat[[#This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1" s="213">
        <f>IF(S271&gt;0,VLOOKUP($J271,Ruimtegroepen[],3,FALSE)*VLOOKUP($L271,Vloersoorten[],3,FALSE)*VLOOKUP($R271,Frequenties[],3,FALSE)*VLOOKUP($A271,Locaties[],3,FALSE),0)</f>
        <v>0</v>
      </c>
      <c r="U271" s="213">
        <f>Ruimtestaat[[#This Row],[Uitvoeringen werkdagen]]*Ruimtestaat[[#This Row],[Oppervlak (netto)]]</f>
        <v>12000</v>
      </c>
      <c r="V271" s="253">
        <f>IF(T271&gt;0,Ruimtestaat[[#This Row],[Prest. (m2 /jaar) werkdagen]]/Ruimtestaat[[#This Row],[Norm (m2/uur) werkdagen]],0)</f>
        <v>0</v>
      </c>
      <c r="W271" s="254">
        <f>Ruimtestaat[[#This Row],[uren / jaar werkdagen]]*Tariefsopbouw!$D$38</f>
        <v>0</v>
      </c>
      <c r="X271" s="33"/>
      <c r="Y271" s="33">
        <f>IF(Ruimtestaat[[#This Row],[Frequentie weekend]]&gt;0,VALUE(LEFT(X271,1))*Q271,0)</f>
        <v>0</v>
      </c>
      <c r="Z271" s="33">
        <f>IF($Y271&gt;0,VLOOKUP($J271,Ruimtegroepen[],3,FALSE)*VLOOKUP($L271,Vloersoorten[],3,FALSE)*VLOOKUP($X271,Frequenties[],3,FALSE)*VLOOKUP(#REF!,Locaties[],3,FALSE),0)</f>
        <v>0</v>
      </c>
      <c r="AA271" s="33"/>
      <c r="AB271" s="33"/>
      <c r="AC271" s="33">
        <f>Ruimtestaat[[#This Row],[uren / jaar weekend]]*Tariefsopbouw!$D$40</f>
        <v>0</v>
      </c>
      <c r="AD271" s="88">
        <f>Ruimtestaat[[#This Row],[Prest. (m2 /jaar) weekend]]+Ruimtestaat[[#This Row],[Prest. (m2 /jaar) werkdagen]]</f>
        <v>12000</v>
      </c>
      <c r="AE271" s="88">
        <f>Ruimtestaat[[#This Row],[uren / jaar weekend]]+Ruimtestaat[[#This Row],[uren / jaar werkdagen]]</f>
        <v>0</v>
      </c>
      <c r="AF271" s="89">
        <f>Ruimtestaat[[#This Row],[kosten / jaar weekend]]+Ruimtestaat[[#This Row],[kosten / jaar werkdagen]]</f>
        <v>0</v>
      </c>
    </row>
    <row r="272" spans="1:32" ht="15" customHeight="1">
      <c r="A272" s="213">
        <v>3</v>
      </c>
      <c r="B272" s="200" t="str">
        <f>VLOOKUP(Ruimtestaat[[#This Row],[Code]],Locaties[#All],2,FALSE)</f>
        <v>Karel de Grote College</v>
      </c>
      <c r="C272" s="240" t="str">
        <f>VLOOKUP(Ruimtestaat[[#This Row],[Code]],Locaties[#All],4,FALSE)</f>
        <v>Wilhelminasingel 15</v>
      </c>
      <c r="D272" s="240" t="str">
        <f>VLOOKUP(Ruimtestaat[[#This Row],[Code]],Locaties[#All],5,FALSE)</f>
        <v>6524 AJ</v>
      </c>
      <c r="E272" s="240" t="str">
        <f>VLOOKUP(Ruimtestaat[[#This Row],[Code]],Locaties[#All],6,FALSE)</f>
        <v>Nijmegen</v>
      </c>
      <c r="F272" s="241" t="s">
        <v>763</v>
      </c>
      <c r="G272" s="200">
        <v>1</v>
      </c>
      <c r="H272" s="200" t="s">
        <v>780</v>
      </c>
      <c r="I272" s="241" t="s">
        <v>827</v>
      </c>
      <c r="J272" s="240">
        <v>13</v>
      </c>
      <c r="K272" s="256" t="str">
        <f>VLOOKUP(Ruimtestaat[[#This Row],[Ruimte code]],Ruimtegroepen[#All],2,FALSE)</f>
        <v>Praktijklokalen</v>
      </c>
      <c r="L272" s="240" t="s">
        <v>112</v>
      </c>
      <c r="M272" s="268" t="s">
        <v>645</v>
      </c>
      <c r="N272" s="269">
        <v>76</v>
      </c>
      <c r="O272" s="212"/>
      <c r="P272" s="240" t="str">
        <f>VLOOKUP(Ruimtestaat[[#This Row],[Ruimte code]],Ruimtegroepen[#All],4,FALSE)</f>
        <v>L  (Lesruimte)</v>
      </c>
      <c r="Q272" s="213">
        <v>40</v>
      </c>
      <c r="R272" s="213" t="s">
        <v>2</v>
      </c>
      <c r="S272" s="213">
        <f>IF(Q272&gt;0,IF(RIGHT(Ruimtestaat[[#This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2" s="213">
        <f>IF(S272&gt;0,VLOOKUP($J272,Ruimtegroepen[],3,FALSE)*VLOOKUP($L272,Vloersoorten[],3,FALSE)*VLOOKUP($R272,Frequenties[],3,FALSE)*VLOOKUP($A272,Locaties[],3,FALSE),0)</f>
        <v>0</v>
      </c>
      <c r="U272" s="213">
        <f>Ruimtestaat[[#This Row],[Uitvoeringen werkdagen]]*Ruimtestaat[[#This Row],[Oppervlak (netto)]]</f>
        <v>15200</v>
      </c>
      <c r="V272" s="253">
        <f>IF(T272&gt;0,Ruimtestaat[[#This Row],[Prest. (m2 /jaar) werkdagen]]/Ruimtestaat[[#This Row],[Norm (m2/uur) werkdagen]],0)</f>
        <v>0</v>
      </c>
      <c r="W272" s="254">
        <f>Ruimtestaat[[#This Row],[uren / jaar werkdagen]]*Tariefsopbouw!$D$38</f>
        <v>0</v>
      </c>
      <c r="X272" s="33"/>
      <c r="Y272" s="33">
        <f>IF(Ruimtestaat[[#This Row],[Frequentie weekend]]&gt;0,VALUE(LEFT(X272,1))*Q272,0)</f>
        <v>0</v>
      </c>
      <c r="Z272" s="33">
        <f>IF($Y272&gt;0,VLOOKUP($J272,Ruimtegroepen[],3,FALSE)*VLOOKUP($L272,Vloersoorten[],3,FALSE)*VLOOKUP($X272,Frequenties[],3,FALSE)*VLOOKUP(#REF!,Locaties[],3,FALSE),0)</f>
        <v>0</v>
      </c>
      <c r="AA272" s="33"/>
      <c r="AB272" s="33"/>
      <c r="AC272" s="33">
        <f>Ruimtestaat[[#This Row],[uren / jaar weekend]]*Tariefsopbouw!$D$40</f>
        <v>0</v>
      </c>
      <c r="AD272" s="88">
        <f>Ruimtestaat[[#This Row],[Prest. (m2 /jaar) weekend]]+Ruimtestaat[[#This Row],[Prest. (m2 /jaar) werkdagen]]</f>
        <v>15200</v>
      </c>
      <c r="AE272" s="88">
        <f>Ruimtestaat[[#This Row],[uren / jaar weekend]]+Ruimtestaat[[#This Row],[uren / jaar werkdagen]]</f>
        <v>0</v>
      </c>
      <c r="AF272" s="89">
        <f>Ruimtestaat[[#This Row],[kosten / jaar weekend]]+Ruimtestaat[[#This Row],[kosten / jaar werkdagen]]</f>
        <v>0</v>
      </c>
    </row>
    <row r="273" spans="1:32" ht="15" customHeight="1">
      <c r="A273" s="213">
        <v>3</v>
      </c>
      <c r="B273" s="200" t="str">
        <f>VLOOKUP(Ruimtestaat[[#This Row],[Code]],Locaties[#All],2,FALSE)</f>
        <v>Karel de Grote College</v>
      </c>
      <c r="C273" s="240" t="str">
        <f>VLOOKUP(Ruimtestaat[[#This Row],[Code]],Locaties[#All],4,FALSE)</f>
        <v>Wilhelminasingel 15</v>
      </c>
      <c r="D273" s="240" t="str">
        <f>VLOOKUP(Ruimtestaat[[#This Row],[Code]],Locaties[#All],5,FALSE)</f>
        <v>6524 AJ</v>
      </c>
      <c r="E273" s="240" t="str">
        <f>VLOOKUP(Ruimtestaat[[#This Row],[Code]],Locaties[#All],6,FALSE)</f>
        <v>Nijmegen</v>
      </c>
      <c r="F273" s="241" t="s">
        <v>761</v>
      </c>
      <c r="G273" s="200">
        <v>1</v>
      </c>
      <c r="H273" s="200" t="s">
        <v>781</v>
      </c>
      <c r="I273" s="241" t="s">
        <v>816</v>
      </c>
      <c r="J273" s="200">
        <v>10</v>
      </c>
      <c r="K273" s="256" t="str">
        <f>VLOOKUP(Ruimtestaat[[#This Row],[Ruimte code]],Ruimtegroepen[#All],2,FALSE)</f>
        <v>Trappenhuizen/lift</v>
      </c>
      <c r="L273" s="240" t="s">
        <v>111</v>
      </c>
      <c r="M273" s="268" t="s">
        <v>554</v>
      </c>
      <c r="N273" s="269">
        <v>8</v>
      </c>
      <c r="O273" s="212"/>
      <c r="P273" s="240" t="str">
        <f>VLOOKUP(Ruimtestaat[[#This Row],[Ruimte code]],Ruimtegroepen[#All],4,FALSE)</f>
        <v>V  (Verkeersruimte)</v>
      </c>
      <c r="Q273" s="213">
        <v>40</v>
      </c>
      <c r="R273" s="213" t="s">
        <v>2</v>
      </c>
      <c r="S273" s="213">
        <f>IF(Q273&gt;0,IF(RIGHT(Ruimtestaat[[#This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3" s="213">
        <f>IF(S273&gt;0,VLOOKUP($J273,Ruimtegroepen[],3,FALSE)*VLOOKUP($L273,Vloersoorten[],3,FALSE)*VLOOKUP($R273,Frequenties[],3,FALSE)*VLOOKUP($A273,Locaties[],3,FALSE),0)</f>
        <v>0</v>
      </c>
      <c r="U273" s="213">
        <f>Ruimtestaat[[#This Row],[Uitvoeringen werkdagen]]*Ruimtestaat[[#This Row],[Oppervlak (netto)]]</f>
        <v>1600</v>
      </c>
      <c r="V273" s="253">
        <f>IF(T273&gt;0,Ruimtestaat[[#This Row],[Prest. (m2 /jaar) werkdagen]]/Ruimtestaat[[#This Row],[Norm (m2/uur) werkdagen]],0)</f>
        <v>0</v>
      </c>
      <c r="W273" s="254">
        <f>Ruimtestaat[[#This Row],[uren / jaar werkdagen]]*Tariefsopbouw!$D$38</f>
        <v>0</v>
      </c>
      <c r="X273" s="33"/>
      <c r="Y273" s="33">
        <f>IF(Ruimtestaat[[#This Row],[Frequentie weekend]]&gt;0,VALUE(LEFT(X273,1))*Q273,0)</f>
        <v>0</v>
      </c>
      <c r="Z273" s="33">
        <f>IF($Y273&gt;0,VLOOKUP($J273,Ruimtegroepen[],3,FALSE)*VLOOKUP($L273,Vloersoorten[],3,FALSE)*VLOOKUP($X273,Frequenties[],3,FALSE)*VLOOKUP(#REF!,Locaties[],3,FALSE),0)</f>
        <v>0</v>
      </c>
      <c r="AA273" s="33"/>
      <c r="AB273" s="33"/>
      <c r="AC273" s="33">
        <f>Ruimtestaat[[#This Row],[uren / jaar weekend]]*Tariefsopbouw!$D$40</f>
        <v>0</v>
      </c>
      <c r="AD273" s="88">
        <f>Ruimtestaat[[#This Row],[Prest. (m2 /jaar) weekend]]+Ruimtestaat[[#This Row],[Prest. (m2 /jaar) werkdagen]]</f>
        <v>1600</v>
      </c>
      <c r="AE273" s="88">
        <f>Ruimtestaat[[#This Row],[uren / jaar weekend]]+Ruimtestaat[[#This Row],[uren / jaar werkdagen]]</f>
        <v>0</v>
      </c>
      <c r="AF273" s="89">
        <f>Ruimtestaat[[#This Row],[kosten / jaar weekend]]+Ruimtestaat[[#This Row],[kosten / jaar werkdagen]]</f>
        <v>0</v>
      </c>
    </row>
    <row r="274" spans="1:32" ht="15" customHeight="1">
      <c r="A274" s="213">
        <v>3</v>
      </c>
      <c r="B274" s="200" t="str">
        <f>VLOOKUP(Ruimtestaat[[#This Row],[Code]],Locaties[#All],2,FALSE)</f>
        <v>Karel de Grote College</v>
      </c>
      <c r="C274" s="240" t="str">
        <f>VLOOKUP(Ruimtestaat[[#This Row],[Code]],Locaties[#All],4,FALSE)</f>
        <v>Wilhelminasingel 15</v>
      </c>
      <c r="D274" s="240" t="str">
        <f>VLOOKUP(Ruimtestaat[[#This Row],[Code]],Locaties[#All],5,FALSE)</f>
        <v>6524 AJ</v>
      </c>
      <c r="E274" s="240" t="str">
        <f>VLOOKUP(Ruimtestaat[[#This Row],[Code]],Locaties[#All],6,FALSE)</f>
        <v>Nijmegen</v>
      </c>
      <c r="F274" s="241" t="s">
        <v>761</v>
      </c>
      <c r="G274" s="200">
        <v>1</v>
      </c>
      <c r="H274" s="200" t="s">
        <v>782</v>
      </c>
      <c r="I274" s="241" t="s">
        <v>828</v>
      </c>
      <c r="J274" s="240">
        <v>19</v>
      </c>
      <c r="K274" s="256" t="str">
        <f>VLOOKUP(Ruimtestaat[[#This Row],[Ruimte code]],Ruimtegroepen[#All],2,FALSE)</f>
        <v>Kleedruimten</v>
      </c>
      <c r="L274" s="213" t="s">
        <v>110</v>
      </c>
      <c r="M274" s="268" t="s">
        <v>644</v>
      </c>
      <c r="N274" s="269">
        <v>8</v>
      </c>
      <c r="O274" s="212"/>
      <c r="P274" s="240" t="str">
        <f>VLOOKUP(Ruimtestaat[[#This Row],[Ruimte code]],Ruimtegroepen[#All],4,FALSE)</f>
        <v>V  (Verkeersruimte)</v>
      </c>
      <c r="Q274" s="213">
        <v>40</v>
      </c>
      <c r="R274" s="213" t="s">
        <v>2</v>
      </c>
      <c r="S274" s="213">
        <f>IF(Q274&gt;0,IF(RIGHT(Ruimtestaat[[#This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4" s="213">
        <f>IF(S274&gt;0,VLOOKUP($J274,Ruimtegroepen[],3,FALSE)*VLOOKUP($L274,Vloersoorten[],3,FALSE)*VLOOKUP($R274,Frequenties[],3,FALSE)*VLOOKUP($A274,Locaties[],3,FALSE),0)</f>
        <v>0</v>
      </c>
      <c r="U274" s="213">
        <f>Ruimtestaat[[#This Row],[Uitvoeringen werkdagen]]*Ruimtestaat[[#This Row],[Oppervlak (netto)]]</f>
        <v>1600</v>
      </c>
      <c r="V274" s="253">
        <f>IF(T274&gt;0,Ruimtestaat[[#This Row],[Prest. (m2 /jaar) werkdagen]]/Ruimtestaat[[#This Row],[Norm (m2/uur) werkdagen]],0)</f>
        <v>0</v>
      </c>
      <c r="W274" s="254">
        <f>Ruimtestaat[[#This Row],[uren / jaar werkdagen]]*Tariefsopbouw!$D$38</f>
        <v>0</v>
      </c>
      <c r="X274" s="33"/>
      <c r="Y274" s="33">
        <f>IF(Ruimtestaat[[#This Row],[Frequentie weekend]]&gt;0,VALUE(LEFT(X274,1))*Q274,0)</f>
        <v>0</v>
      </c>
      <c r="Z274" s="33">
        <f>IF($Y274&gt;0,VLOOKUP($J274,Ruimtegroepen[],3,FALSE)*VLOOKUP($L274,Vloersoorten[],3,FALSE)*VLOOKUP($X274,Frequenties[],3,FALSE)*VLOOKUP(#REF!,Locaties[],3,FALSE),0)</f>
        <v>0</v>
      </c>
      <c r="AA274" s="33"/>
      <c r="AB274" s="33"/>
      <c r="AC274" s="33">
        <f>Ruimtestaat[[#This Row],[uren / jaar weekend]]*Tariefsopbouw!$D$40</f>
        <v>0</v>
      </c>
      <c r="AD274" s="88">
        <f>Ruimtestaat[[#This Row],[Prest. (m2 /jaar) weekend]]+Ruimtestaat[[#This Row],[Prest. (m2 /jaar) werkdagen]]</f>
        <v>1600</v>
      </c>
      <c r="AE274" s="88">
        <f>Ruimtestaat[[#This Row],[uren / jaar weekend]]+Ruimtestaat[[#This Row],[uren / jaar werkdagen]]</f>
        <v>0</v>
      </c>
      <c r="AF274" s="89">
        <f>Ruimtestaat[[#This Row],[kosten / jaar weekend]]+Ruimtestaat[[#This Row],[kosten / jaar werkdagen]]</f>
        <v>0</v>
      </c>
    </row>
    <row r="275" spans="1:32" ht="15" customHeight="1">
      <c r="A275" s="213">
        <v>3</v>
      </c>
      <c r="B275" s="200" t="str">
        <f>VLOOKUP(Ruimtestaat[[#This Row],[Code]],Locaties[#All],2,FALSE)</f>
        <v>Karel de Grote College</v>
      </c>
      <c r="C275" s="240" t="str">
        <f>VLOOKUP(Ruimtestaat[[#This Row],[Code]],Locaties[#All],4,FALSE)</f>
        <v>Wilhelminasingel 15</v>
      </c>
      <c r="D275" s="240" t="str">
        <f>VLOOKUP(Ruimtestaat[[#This Row],[Code]],Locaties[#All],5,FALSE)</f>
        <v>6524 AJ</v>
      </c>
      <c r="E275" s="240" t="str">
        <f>VLOOKUP(Ruimtestaat[[#This Row],[Code]],Locaties[#All],6,FALSE)</f>
        <v>Nijmegen</v>
      </c>
      <c r="F275" s="241" t="s">
        <v>761</v>
      </c>
      <c r="G275" s="200">
        <v>1</v>
      </c>
      <c r="H275" s="200" t="s">
        <v>783</v>
      </c>
      <c r="I275" s="241" t="s">
        <v>829</v>
      </c>
      <c r="J275" s="240">
        <v>2</v>
      </c>
      <c r="K275" s="256" t="str">
        <f>VLOOKUP(Ruimtestaat[[#This Row],[Ruimte code]],Ruimtegroepen[#All],2,FALSE)</f>
        <v>Kantoren</v>
      </c>
      <c r="L275" s="213" t="s">
        <v>110</v>
      </c>
      <c r="M275" s="268" t="s">
        <v>644</v>
      </c>
      <c r="N275" s="269">
        <v>19</v>
      </c>
      <c r="O275" s="212"/>
      <c r="P275" s="240" t="str">
        <f>VLOOKUP(Ruimtestaat[[#This Row],[Ruimte code]],Ruimtegroepen[#All],4,FALSE)</f>
        <v>B  (Bureauruimte)</v>
      </c>
      <c r="Q275" s="213">
        <v>40</v>
      </c>
      <c r="R275" s="213" t="s">
        <v>17</v>
      </c>
      <c r="S275" s="213">
        <f>IF(Q275&gt;0,IF(RIGHT(Ruimtestaat[[#This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75" s="213">
        <f>IF(S275&gt;0,VLOOKUP($J275,Ruimtegroepen[],3,FALSE)*VLOOKUP($L275,Vloersoorten[],3,FALSE)*VLOOKUP($R275,Frequenties[],3,FALSE)*VLOOKUP($A275,Locaties[],3,FALSE),0)</f>
        <v>0</v>
      </c>
      <c r="U275" s="213">
        <f>Ruimtestaat[[#This Row],[Uitvoeringen werkdagen]]*Ruimtestaat[[#This Row],[Oppervlak (netto)]]</f>
        <v>1520</v>
      </c>
      <c r="V275" s="253">
        <f>IF(T275&gt;0,Ruimtestaat[[#This Row],[Prest. (m2 /jaar) werkdagen]]/Ruimtestaat[[#This Row],[Norm (m2/uur) werkdagen]],0)</f>
        <v>0</v>
      </c>
      <c r="W275" s="254">
        <f>Ruimtestaat[[#This Row],[uren / jaar werkdagen]]*Tariefsopbouw!$D$38</f>
        <v>0</v>
      </c>
      <c r="X275" s="33"/>
      <c r="Y275" s="33">
        <f>IF(Ruimtestaat[[#This Row],[Frequentie weekend]]&gt;0,VALUE(LEFT(X275,1))*Q275,0)</f>
        <v>0</v>
      </c>
      <c r="Z275" s="33">
        <f>IF($Y275&gt;0,VLOOKUP($J275,Ruimtegroepen[],3,FALSE)*VLOOKUP($L275,Vloersoorten[],3,FALSE)*VLOOKUP($X275,Frequenties[],3,FALSE)*VLOOKUP(#REF!,Locaties[],3,FALSE),0)</f>
        <v>0</v>
      </c>
      <c r="AA275" s="33"/>
      <c r="AB275" s="33"/>
      <c r="AC275" s="33">
        <f>Ruimtestaat[[#This Row],[uren / jaar weekend]]*Tariefsopbouw!$D$40</f>
        <v>0</v>
      </c>
      <c r="AD275" s="88">
        <f>Ruimtestaat[[#This Row],[Prest. (m2 /jaar) weekend]]+Ruimtestaat[[#This Row],[Prest. (m2 /jaar) werkdagen]]</f>
        <v>1520</v>
      </c>
      <c r="AE275" s="88">
        <f>Ruimtestaat[[#This Row],[uren / jaar weekend]]+Ruimtestaat[[#This Row],[uren / jaar werkdagen]]</f>
        <v>0</v>
      </c>
      <c r="AF275" s="89">
        <f>Ruimtestaat[[#This Row],[kosten / jaar weekend]]+Ruimtestaat[[#This Row],[kosten / jaar werkdagen]]</f>
        <v>0</v>
      </c>
    </row>
    <row r="276" spans="1:32" ht="15" customHeight="1">
      <c r="A276" s="213">
        <v>3</v>
      </c>
      <c r="B276" s="200" t="str">
        <f>VLOOKUP(Ruimtestaat[[#This Row],[Code]],Locaties[#All],2,FALSE)</f>
        <v>Karel de Grote College</v>
      </c>
      <c r="C276" s="240" t="str">
        <f>VLOOKUP(Ruimtestaat[[#This Row],[Code]],Locaties[#All],4,FALSE)</f>
        <v>Wilhelminasingel 15</v>
      </c>
      <c r="D276" s="240" t="str">
        <f>VLOOKUP(Ruimtestaat[[#This Row],[Code]],Locaties[#All],5,FALSE)</f>
        <v>6524 AJ</v>
      </c>
      <c r="E276" s="240" t="str">
        <f>VLOOKUP(Ruimtestaat[[#This Row],[Code]],Locaties[#All],6,FALSE)</f>
        <v>Nijmegen</v>
      </c>
      <c r="F276" s="241" t="s">
        <v>761</v>
      </c>
      <c r="G276" s="200">
        <v>1</v>
      </c>
      <c r="H276" s="200" t="s">
        <v>784</v>
      </c>
      <c r="I276" s="241" t="s">
        <v>830</v>
      </c>
      <c r="J276" s="240">
        <v>13</v>
      </c>
      <c r="K276" s="256" t="str">
        <f>VLOOKUP(Ruimtestaat[[#This Row],[Ruimte code]],Ruimtegroepen[#All],2,FALSE)</f>
        <v>Praktijklokalen</v>
      </c>
      <c r="L276" s="240" t="s">
        <v>112</v>
      </c>
      <c r="M276" s="268" t="s">
        <v>645</v>
      </c>
      <c r="N276" s="269">
        <v>101</v>
      </c>
      <c r="O276" s="212"/>
      <c r="P276" s="240" t="str">
        <f>VLOOKUP(Ruimtestaat[[#This Row],[Ruimte code]],Ruimtegroepen[#All],4,FALSE)</f>
        <v>L  (Lesruimte)</v>
      </c>
      <c r="Q276" s="213">
        <v>40</v>
      </c>
      <c r="R276" s="213" t="s">
        <v>2</v>
      </c>
      <c r="S276" s="213">
        <f>IF(Q276&gt;0,IF(RIGHT(Ruimtestaat[[#This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6" s="213">
        <f>IF(S276&gt;0,VLOOKUP($J276,Ruimtegroepen[],3,FALSE)*VLOOKUP($L276,Vloersoorten[],3,FALSE)*VLOOKUP($R276,Frequenties[],3,FALSE)*VLOOKUP($A276,Locaties[],3,FALSE),0)</f>
        <v>0</v>
      </c>
      <c r="U276" s="213">
        <f>Ruimtestaat[[#This Row],[Uitvoeringen werkdagen]]*Ruimtestaat[[#This Row],[Oppervlak (netto)]]</f>
        <v>20200</v>
      </c>
      <c r="V276" s="253">
        <f>IF(T276&gt;0,Ruimtestaat[[#This Row],[Prest. (m2 /jaar) werkdagen]]/Ruimtestaat[[#This Row],[Norm (m2/uur) werkdagen]],0)</f>
        <v>0</v>
      </c>
      <c r="W276" s="254">
        <f>Ruimtestaat[[#This Row],[uren / jaar werkdagen]]*Tariefsopbouw!$D$38</f>
        <v>0</v>
      </c>
      <c r="X276" s="33"/>
      <c r="Y276" s="33">
        <f>IF(Ruimtestaat[[#This Row],[Frequentie weekend]]&gt;0,VALUE(LEFT(X276,1))*Q276,0)</f>
        <v>0</v>
      </c>
      <c r="Z276" s="33">
        <f>IF($Y276&gt;0,VLOOKUP($J276,Ruimtegroepen[],3,FALSE)*VLOOKUP($L276,Vloersoorten[],3,FALSE)*VLOOKUP($X276,Frequenties[],3,FALSE)*VLOOKUP(#REF!,Locaties[],3,FALSE),0)</f>
        <v>0</v>
      </c>
      <c r="AA276" s="33"/>
      <c r="AB276" s="33"/>
      <c r="AC276" s="33">
        <f>Ruimtestaat[[#This Row],[uren / jaar weekend]]*Tariefsopbouw!$D$40</f>
        <v>0</v>
      </c>
      <c r="AD276" s="88">
        <f>Ruimtestaat[[#This Row],[Prest. (m2 /jaar) weekend]]+Ruimtestaat[[#This Row],[Prest. (m2 /jaar) werkdagen]]</f>
        <v>20200</v>
      </c>
      <c r="AE276" s="88">
        <f>Ruimtestaat[[#This Row],[uren / jaar weekend]]+Ruimtestaat[[#This Row],[uren / jaar werkdagen]]</f>
        <v>0</v>
      </c>
      <c r="AF276" s="89">
        <f>Ruimtestaat[[#This Row],[kosten / jaar weekend]]+Ruimtestaat[[#This Row],[kosten / jaar werkdagen]]</f>
        <v>0</v>
      </c>
    </row>
    <row r="277" spans="1:32" ht="15" customHeight="1">
      <c r="A277" s="213">
        <v>3</v>
      </c>
      <c r="B277" s="200" t="str">
        <f>VLOOKUP(Ruimtestaat[[#This Row],[Code]],Locaties[#All],2,FALSE)</f>
        <v>Karel de Grote College</v>
      </c>
      <c r="C277" s="240" t="str">
        <f>VLOOKUP(Ruimtestaat[[#This Row],[Code]],Locaties[#All],4,FALSE)</f>
        <v>Wilhelminasingel 15</v>
      </c>
      <c r="D277" s="240" t="str">
        <f>VLOOKUP(Ruimtestaat[[#This Row],[Code]],Locaties[#All],5,FALSE)</f>
        <v>6524 AJ</v>
      </c>
      <c r="E277" s="240" t="str">
        <f>VLOOKUP(Ruimtestaat[[#This Row],[Code]],Locaties[#All],6,FALSE)</f>
        <v>Nijmegen</v>
      </c>
      <c r="F277" s="241" t="s">
        <v>761</v>
      </c>
      <c r="G277" s="200">
        <v>1</v>
      </c>
      <c r="H277" s="200" t="s">
        <v>785</v>
      </c>
      <c r="I277" s="241" t="s">
        <v>831</v>
      </c>
      <c r="J277" s="240">
        <v>21</v>
      </c>
      <c r="K277" s="256" t="str">
        <f>VLOOKUP(Ruimtestaat[[#This Row],[Ruimte code]],Ruimtegroepen[#All],2,FALSE)</f>
        <v>Niet in onderhoud</v>
      </c>
      <c r="L277" s="240" t="s">
        <v>112</v>
      </c>
      <c r="M277" s="268" t="s">
        <v>645</v>
      </c>
      <c r="N277" s="269"/>
      <c r="O277" s="269">
        <v>22</v>
      </c>
      <c r="P277" s="240" t="str">
        <f>VLOOKUP(Ruimtestaat[[#This Row],[Ruimte code]],Ruimtegroepen[#All],4,FALSE)</f>
        <v>Niet in onderhoud</v>
      </c>
      <c r="Q277" s="213">
        <v>0</v>
      </c>
      <c r="R277" s="213"/>
      <c r="S277" s="213">
        <f>IF(Q277&gt;0,IF(RIGHT(Ruimtestaat[[#This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77" s="213">
        <f>IF(S277&gt;0,VLOOKUP($J277,Ruimtegroepen[],3,FALSE)*VLOOKUP($L277,Vloersoorten[],3,FALSE)*VLOOKUP($R277,Frequenties[],3,FALSE)*VLOOKUP($A277,Locaties[],3,FALSE),0)</f>
        <v>0</v>
      </c>
      <c r="U277" s="213">
        <f>Ruimtestaat[[#This Row],[Uitvoeringen werkdagen]]*Ruimtestaat[[#This Row],[Oppervlak (netto)]]</f>
        <v>0</v>
      </c>
      <c r="V277" s="253">
        <f>IF(T277&gt;0,Ruimtestaat[[#This Row],[Prest. (m2 /jaar) werkdagen]]/Ruimtestaat[[#This Row],[Norm (m2/uur) werkdagen]],0)</f>
        <v>0</v>
      </c>
      <c r="W277" s="254">
        <f>Ruimtestaat[[#This Row],[uren / jaar werkdagen]]*Tariefsopbouw!$D$38</f>
        <v>0</v>
      </c>
      <c r="X277" s="33"/>
      <c r="Y277" s="33">
        <f>IF(Ruimtestaat[[#This Row],[Frequentie weekend]]&gt;0,VALUE(LEFT(X277,1))*Q277,0)</f>
        <v>0</v>
      </c>
      <c r="Z277" s="33">
        <f>IF($Y277&gt;0,VLOOKUP($J277,Ruimtegroepen[],3,FALSE)*VLOOKUP($L277,Vloersoorten[],3,FALSE)*VLOOKUP($X277,Frequenties[],3,FALSE)*VLOOKUP(#REF!,Locaties[],3,FALSE),0)</f>
        <v>0</v>
      </c>
      <c r="AA277" s="33"/>
      <c r="AB277" s="33"/>
      <c r="AC277" s="33">
        <f>Ruimtestaat[[#This Row],[uren / jaar weekend]]*Tariefsopbouw!$D$40</f>
        <v>0</v>
      </c>
      <c r="AD277" s="88">
        <f>Ruimtestaat[[#This Row],[Prest. (m2 /jaar) weekend]]+Ruimtestaat[[#This Row],[Prest. (m2 /jaar) werkdagen]]</f>
        <v>0</v>
      </c>
      <c r="AE277" s="88">
        <f>Ruimtestaat[[#This Row],[uren / jaar weekend]]+Ruimtestaat[[#This Row],[uren / jaar werkdagen]]</f>
        <v>0</v>
      </c>
      <c r="AF277" s="89">
        <f>Ruimtestaat[[#This Row],[kosten / jaar weekend]]+Ruimtestaat[[#This Row],[kosten / jaar werkdagen]]</f>
        <v>0</v>
      </c>
    </row>
    <row r="278" spans="1:32" ht="15" customHeight="1">
      <c r="A278" s="213">
        <v>3</v>
      </c>
      <c r="B278" s="200" t="str">
        <f>VLOOKUP(Ruimtestaat[[#This Row],[Code]],Locaties[#All],2,FALSE)</f>
        <v>Karel de Grote College</v>
      </c>
      <c r="C278" s="240" t="str">
        <f>VLOOKUP(Ruimtestaat[[#This Row],[Code]],Locaties[#All],4,FALSE)</f>
        <v>Wilhelminasingel 15</v>
      </c>
      <c r="D278" s="240" t="str">
        <f>VLOOKUP(Ruimtestaat[[#This Row],[Code]],Locaties[#All],5,FALSE)</f>
        <v>6524 AJ</v>
      </c>
      <c r="E278" s="240" t="str">
        <f>VLOOKUP(Ruimtestaat[[#This Row],[Code]],Locaties[#All],6,FALSE)</f>
        <v>Nijmegen</v>
      </c>
      <c r="F278" s="241" t="s">
        <v>761</v>
      </c>
      <c r="G278" s="200">
        <v>1</v>
      </c>
      <c r="H278" s="200" t="s">
        <v>786</v>
      </c>
      <c r="I278" s="241" t="s">
        <v>832</v>
      </c>
      <c r="J278" s="240">
        <v>18</v>
      </c>
      <c r="K278" s="256" t="str">
        <f>VLOOKUP(Ruimtestaat[[#This Row],[Ruimte code]],Ruimtegroepen[#All],2,FALSE)</f>
        <v>Gym - / speellokaal</v>
      </c>
      <c r="L278" s="240" t="s">
        <v>112</v>
      </c>
      <c r="M278" s="268" t="s">
        <v>767</v>
      </c>
      <c r="N278" s="269">
        <v>222</v>
      </c>
      <c r="O278" s="212"/>
      <c r="P278" s="240" t="str">
        <f>VLOOKUP(Ruimtestaat[[#This Row],[Ruimte code]],Ruimtegroepen[#All],4,FALSE)</f>
        <v>Sp  (Sportruimte)</v>
      </c>
      <c r="Q278" s="213">
        <v>40</v>
      </c>
      <c r="R278" s="213" t="s">
        <v>2</v>
      </c>
      <c r="S278" s="213">
        <f>IF(Q278&gt;0,IF(RIGHT(Ruimtestaat[[#This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78" s="213">
        <f>IF(S278&gt;0,VLOOKUP($J278,Ruimtegroepen[],3,FALSE)*VLOOKUP($L278,Vloersoorten[],3,FALSE)*VLOOKUP($R278,Frequenties[],3,FALSE)*VLOOKUP($A278,Locaties[],3,FALSE),0)</f>
        <v>0</v>
      </c>
      <c r="U278" s="213">
        <f>Ruimtestaat[[#This Row],[Uitvoeringen werkdagen]]*Ruimtestaat[[#This Row],[Oppervlak (netto)]]</f>
        <v>44400</v>
      </c>
      <c r="V278" s="253">
        <f>IF(T278&gt;0,Ruimtestaat[[#This Row],[Prest. (m2 /jaar) werkdagen]]/Ruimtestaat[[#This Row],[Norm (m2/uur) werkdagen]],0)</f>
        <v>0</v>
      </c>
      <c r="W278" s="254">
        <f>Ruimtestaat[[#This Row],[uren / jaar werkdagen]]*Tariefsopbouw!$D$38</f>
        <v>0</v>
      </c>
      <c r="X278" s="33"/>
      <c r="Y278" s="33">
        <f>IF(Ruimtestaat[[#This Row],[Frequentie weekend]]&gt;0,VALUE(LEFT(X278,1))*Q278,0)</f>
        <v>0</v>
      </c>
      <c r="Z278" s="33">
        <f>IF($Y278&gt;0,VLOOKUP($J278,Ruimtegroepen[],3,FALSE)*VLOOKUP($L278,Vloersoorten[],3,FALSE)*VLOOKUP($X278,Frequenties[],3,FALSE)*VLOOKUP(#REF!,Locaties[],3,FALSE),0)</f>
        <v>0</v>
      </c>
      <c r="AA278" s="33"/>
      <c r="AB278" s="33"/>
      <c r="AC278" s="33">
        <f>Ruimtestaat[[#This Row],[uren / jaar weekend]]*Tariefsopbouw!$D$40</f>
        <v>0</v>
      </c>
      <c r="AD278" s="88">
        <f>Ruimtestaat[[#This Row],[Prest. (m2 /jaar) weekend]]+Ruimtestaat[[#This Row],[Prest. (m2 /jaar) werkdagen]]</f>
        <v>44400</v>
      </c>
      <c r="AE278" s="88">
        <f>Ruimtestaat[[#This Row],[uren / jaar weekend]]+Ruimtestaat[[#This Row],[uren / jaar werkdagen]]</f>
        <v>0</v>
      </c>
      <c r="AF278" s="89">
        <f>Ruimtestaat[[#This Row],[kosten / jaar weekend]]+Ruimtestaat[[#This Row],[kosten / jaar werkdagen]]</f>
        <v>0</v>
      </c>
    </row>
    <row r="279" spans="1:32" ht="15" customHeight="1">
      <c r="A279" s="213">
        <v>3</v>
      </c>
      <c r="B279" s="200" t="str">
        <f>VLOOKUP(Ruimtestaat[[#This Row],[Code]],Locaties[#All],2,FALSE)</f>
        <v>Karel de Grote College</v>
      </c>
      <c r="C279" s="240" t="str">
        <f>VLOOKUP(Ruimtestaat[[#This Row],[Code]],Locaties[#All],4,FALSE)</f>
        <v>Wilhelminasingel 15</v>
      </c>
      <c r="D279" s="240" t="str">
        <f>VLOOKUP(Ruimtestaat[[#This Row],[Code]],Locaties[#All],5,FALSE)</f>
        <v>6524 AJ</v>
      </c>
      <c r="E279" s="240" t="str">
        <f>VLOOKUP(Ruimtestaat[[#This Row],[Code]],Locaties[#All],6,FALSE)</f>
        <v>Nijmegen</v>
      </c>
      <c r="F279" s="241" t="s">
        <v>761</v>
      </c>
      <c r="G279" s="200">
        <v>1</v>
      </c>
      <c r="H279" s="200" t="s">
        <v>498</v>
      </c>
      <c r="I279" s="241" t="s">
        <v>833</v>
      </c>
      <c r="J279" s="240">
        <v>17</v>
      </c>
      <c r="K279" s="256" t="str">
        <f>VLOOKUP(Ruimtestaat[[#This Row],[Ruimte code]],Ruimtegroepen[#All],2,FALSE)</f>
        <v>Toestel berging</v>
      </c>
      <c r="L279" s="240" t="s">
        <v>112</v>
      </c>
      <c r="M279" s="268" t="s">
        <v>767</v>
      </c>
      <c r="N279" s="269">
        <v>33</v>
      </c>
      <c r="O279" s="212"/>
      <c r="P279" s="240" t="str">
        <f>VLOOKUP(Ruimtestaat[[#This Row],[Ruimte code]],Ruimtegroepen[#All],4,FALSE)</f>
        <v>V  (Verkeersruimte)</v>
      </c>
      <c r="Q279" s="213">
        <v>40</v>
      </c>
      <c r="R279" s="213" t="s">
        <v>15</v>
      </c>
      <c r="S279" s="213">
        <f>IF(Q279&gt;0,IF(RIGHT(Ruimtestaat[[#This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T279" s="213">
        <f>IF(S279&gt;0,VLOOKUP($J279,Ruimtegroepen[],3,FALSE)*VLOOKUP($L279,Vloersoorten[],3,FALSE)*VLOOKUP($R279,Frequenties[],3,FALSE)*VLOOKUP($A279,Locaties[],3,FALSE),0)</f>
        <v>0</v>
      </c>
      <c r="U279" s="213">
        <f>Ruimtestaat[[#This Row],[Uitvoeringen werkdagen]]*Ruimtestaat[[#This Row],[Oppervlak (netto)]]</f>
        <v>1320</v>
      </c>
      <c r="V279" s="253">
        <f>IF(T279&gt;0,Ruimtestaat[[#This Row],[Prest. (m2 /jaar) werkdagen]]/Ruimtestaat[[#This Row],[Norm (m2/uur) werkdagen]],0)</f>
        <v>0</v>
      </c>
      <c r="W279" s="254">
        <f>Ruimtestaat[[#This Row],[uren / jaar werkdagen]]*Tariefsopbouw!$D$38</f>
        <v>0</v>
      </c>
      <c r="X279" s="33"/>
      <c r="Y279" s="33">
        <f>IF(Ruimtestaat[[#This Row],[Frequentie weekend]]&gt;0,VALUE(LEFT(X279,1))*Q279,0)</f>
        <v>0</v>
      </c>
      <c r="Z279" s="33">
        <f>IF($Y279&gt;0,VLOOKUP($J279,Ruimtegroepen[],3,FALSE)*VLOOKUP($L279,Vloersoorten[],3,FALSE)*VLOOKUP($X279,Frequenties[],3,FALSE)*VLOOKUP(#REF!,Locaties[],3,FALSE),0)</f>
        <v>0</v>
      </c>
      <c r="AA279" s="33"/>
      <c r="AB279" s="33"/>
      <c r="AC279" s="33">
        <f>Ruimtestaat[[#This Row],[uren / jaar weekend]]*Tariefsopbouw!$D$40</f>
        <v>0</v>
      </c>
      <c r="AD279" s="88">
        <f>Ruimtestaat[[#This Row],[Prest. (m2 /jaar) weekend]]+Ruimtestaat[[#This Row],[Prest. (m2 /jaar) werkdagen]]</f>
        <v>1320</v>
      </c>
      <c r="AE279" s="88">
        <f>Ruimtestaat[[#This Row],[uren / jaar weekend]]+Ruimtestaat[[#This Row],[uren / jaar werkdagen]]</f>
        <v>0</v>
      </c>
      <c r="AF279" s="89">
        <f>Ruimtestaat[[#This Row],[kosten / jaar weekend]]+Ruimtestaat[[#This Row],[kosten / jaar werkdagen]]</f>
        <v>0</v>
      </c>
    </row>
    <row r="280" spans="1:32" ht="15" customHeight="1">
      <c r="A280" s="213">
        <v>3</v>
      </c>
      <c r="B280" s="200" t="str">
        <f>VLOOKUP(Ruimtestaat[[#This Row],[Code]],Locaties[#All],2,FALSE)</f>
        <v>Karel de Grote College</v>
      </c>
      <c r="C280" s="240" t="str">
        <f>VLOOKUP(Ruimtestaat[[#This Row],[Code]],Locaties[#All],4,FALSE)</f>
        <v>Wilhelminasingel 15</v>
      </c>
      <c r="D280" s="240" t="str">
        <f>VLOOKUP(Ruimtestaat[[#This Row],[Code]],Locaties[#All],5,FALSE)</f>
        <v>6524 AJ</v>
      </c>
      <c r="E280" s="240" t="str">
        <f>VLOOKUP(Ruimtestaat[[#This Row],[Code]],Locaties[#All],6,FALSE)</f>
        <v>Nijmegen</v>
      </c>
      <c r="F280" s="241" t="s">
        <v>761</v>
      </c>
      <c r="G280" s="200">
        <v>1</v>
      </c>
      <c r="H280" s="200" t="s">
        <v>499</v>
      </c>
      <c r="I280" s="241" t="s">
        <v>828</v>
      </c>
      <c r="J280" s="240">
        <v>19</v>
      </c>
      <c r="K280" s="256" t="str">
        <f>VLOOKUP(Ruimtestaat[[#This Row],[Ruimte code]],Ruimtegroepen[#All],2,FALSE)</f>
        <v>Kleedruimten</v>
      </c>
      <c r="L280" s="213" t="s">
        <v>110</v>
      </c>
      <c r="M280" s="268" t="s">
        <v>644</v>
      </c>
      <c r="N280" s="269">
        <v>25</v>
      </c>
      <c r="O280" s="212"/>
      <c r="P280" s="240" t="str">
        <f>VLOOKUP(Ruimtestaat[[#This Row],[Ruimte code]],Ruimtegroepen[#All],4,FALSE)</f>
        <v>V  (Verkeersruimte)</v>
      </c>
      <c r="Q280" s="213">
        <v>40</v>
      </c>
      <c r="R280" s="213" t="s">
        <v>2</v>
      </c>
      <c r="S280" s="213">
        <f>IF(Q280&gt;0,IF(RIGHT(Ruimtestaat[[#This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0" s="213">
        <f>IF(S280&gt;0,VLOOKUP($J280,Ruimtegroepen[],3,FALSE)*VLOOKUP($L280,Vloersoorten[],3,FALSE)*VLOOKUP($R280,Frequenties[],3,FALSE)*VLOOKUP($A280,Locaties[],3,FALSE),0)</f>
        <v>0</v>
      </c>
      <c r="U280" s="213">
        <f>Ruimtestaat[[#This Row],[Uitvoeringen werkdagen]]*Ruimtestaat[[#This Row],[Oppervlak (netto)]]</f>
        <v>5000</v>
      </c>
      <c r="V280" s="253">
        <f>IF(T280&gt;0,Ruimtestaat[[#This Row],[Prest. (m2 /jaar) werkdagen]]/Ruimtestaat[[#This Row],[Norm (m2/uur) werkdagen]],0)</f>
        <v>0</v>
      </c>
      <c r="W280" s="254">
        <f>Ruimtestaat[[#This Row],[uren / jaar werkdagen]]*Tariefsopbouw!$D$38</f>
        <v>0</v>
      </c>
      <c r="X280" s="33"/>
      <c r="Y280" s="33">
        <f>IF(Ruimtestaat[[#This Row],[Frequentie weekend]]&gt;0,VALUE(LEFT(X280,1))*Q280,0)</f>
        <v>0</v>
      </c>
      <c r="Z280" s="33">
        <f>IF($Y280&gt;0,VLOOKUP($J280,Ruimtegroepen[],3,FALSE)*VLOOKUP($L280,Vloersoorten[],3,FALSE)*VLOOKUP($X280,Frequenties[],3,FALSE)*VLOOKUP(#REF!,Locaties[],3,FALSE),0)</f>
        <v>0</v>
      </c>
      <c r="AA280" s="33"/>
      <c r="AB280" s="33"/>
      <c r="AC280" s="33">
        <f>Ruimtestaat[[#This Row],[uren / jaar weekend]]*Tariefsopbouw!$D$40</f>
        <v>0</v>
      </c>
      <c r="AD280" s="88">
        <f>Ruimtestaat[[#This Row],[Prest. (m2 /jaar) weekend]]+Ruimtestaat[[#This Row],[Prest. (m2 /jaar) werkdagen]]</f>
        <v>5000</v>
      </c>
      <c r="AE280" s="88">
        <f>Ruimtestaat[[#This Row],[uren / jaar weekend]]+Ruimtestaat[[#This Row],[uren / jaar werkdagen]]</f>
        <v>0</v>
      </c>
      <c r="AF280" s="89">
        <f>Ruimtestaat[[#This Row],[kosten / jaar weekend]]+Ruimtestaat[[#This Row],[kosten / jaar werkdagen]]</f>
        <v>0</v>
      </c>
    </row>
    <row r="281" spans="1:32" ht="15" customHeight="1">
      <c r="A281" s="213">
        <v>3</v>
      </c>
      <c r="B281" s="200" t="str">
        <f>VLOOKUP(Ruimtestaat[[#This Row],[Code]],Locaties[#All],2,FALSE)</f>
        <v>Karel de Grote College</v>
      </c>
      <c r="C281" s="240" t="str">
        <f>VLOOKUP(Ruimtestaat[[#This Row],[Code]],Locaties[#All],4,FALSE)</f>
        <v>Wilhelminasingel 15</v>
      </c>
      <c r="D281" s="240" t="str">
        <f>VLOOKUP(Ruimtestaat[[#This Row],[Code]],Locaties[#All],5,FALSE)</f>
        <v>6524 AJ</v>
      </c>
      <c r="E281" s="240" t="str">
        <f>VLOOKUP(Ruimtestaat[[#This Row],[Code]],Locaties[#All],6,FALSE)</f>
        <v>Nijmegen</v>
      </c>
      <c r="F281" s="241" t="s">
        <v>761</v>
      </c>
      <c r="G281" s="200">
        <v>1</v>
      </c>
      <c r="H281" s="200" t="s">
        <v>500</v>
      </c>
      <c r="I281" s="241" t="s">
        <v>828</v>
      </c>
      <c r="J281" s="240">
        <v>19</v>
      </c>
      <c r="K281" s="256" t="str">
        <f>VLOOKUP(Ruimtestaat[[#This Row],[Ruimte code]],Ruimtegroepen[#All],2,FALSE)</f>
        <v>Kleedruimten</v>
      </c>
      <c r="L281" s="213" t="s">
        <v>110</v>
      </c>
      <c r="M281" s="268" t="s">
        <v>644</v>
      </c>
      <c r="N281" s="269">
        <v>25</v>
      </c>
      <c r="O281" s="212"/>
      <c r="P281" s="240" t="str">
        <f>VLOOKUP(Ruimtestaat[[#This Row],[Ruimte code]],Ruimtegroepen[#All],4,FALSE)</f>
        <v>V  (Verkeersruimte)</v>
      </c>
      <c r="Q281" s="213">
        <v>40</v>
      </c>
      <c r="R281" s="213" t="s">
        <v>2</v>
      </c>
      <c r="S281" s="213">
        <f>IF(Q281&gt;0,IF(RIGHT(Ruimtestaat[[#This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1" s="213">
        <f>IF(S281&gt;0,VLOOKUP($J281,Ruimtegroepen[],3,FALSE)*VLOOKUP($L281,Vloersoorten[],3,FALSE)*VLOOKUP($R281,Frequenties[],3,FALSE)*VLOOKUP($A281,Locaties[],3,FALSE),0)</f>
        <v>0</v>
      </c>
      <c r="U281" s="213">
        <f>Ruimtestaat[[#This Row],[Uitvoeringen werkdagen]]*Ruimtestaat[[#This Row],[Oppervlak (netto)]]</f>
        <v>5000</v>
      </c>
      <c r="V281" s="253">
        <f>IF(T281&gt;0,Ruimtestaat[[#This Row],[Prest. (m2 /jaar) werkdagen]]/Ruimtestaat[[#This Row],[Norm (m2/uur) werkdagen]],0)</f>
        <v>0</v>
      </c>
      <c r="W281" s="254">
        <f>Ruimtestaat[[#This Row],[uren / jaar werkdagen]]*Tariefsopbouw!$D$38</f>
        <v>0</v>
      </c>
      <c r="X281" s="33"/>
      <c r="Y281" s="33">
        <f>IF(Ruimtestaat[[#This Row],[Frequentie weekend]]&gt;0,VALUE(LEFT(X281,1))*Q281,0)</f>
        <v>0</v>
      </c>
      <c r="Z281" s="33">
        <f>IF($Y281&gt;0,VLOOKUP($J281,Ruimtegroepen[],3,FALSE)*VLOOKUP($L281,Vloersoorten[],3,FALSE)*VLOOKUP($X281,Frequenties[],3,FALSE)*VLOOKUP(#REF!,Locaties[],3,FALSE),0)</f>
        <v>0</v>
      </c>
      <c r="AA281" s="33"/>
      <c r="AB281" s="33"/>
      <c r="AC281" s="33">
        <f>Ruimtestaat[[#This Row],[uren / jaar weekend]]*Tariefsopbouw!$D$40</f>
        <v>0</v>
      </c>
      <c r="AD281" s="88">
        <f>Ruimtestaat[[#This Row],[Prest. (m2 /jaar) weekend]]+Ruimtestaat[[#This Row],[Prest. (m2 /jaar) werkdagen]]</f>
        <v>5000</v>
      </c>
      <c r="AE281" s="88">
        <f>Ruimtestaat[[#This Row],[uren / jaar weekend]]+Ruimtestaat[[#This Row],[uren / jaar werkdagen]]</f>
        <v>0</v>
      </c>
      <c r="AF281" s="89">
        <f>Ruimtestaat[[#This Row],[kosten / jaar weekend]]+Ruimtestaat[[#This Row],[kosten / jaar werkdagen]]</f>
        <v>0</v>
      </c>
    </row>
    <row r="282" spans="1:32" ht="15" customHeight="1">
      <c r="A282" s="213">
        <v>3</v>
      </c>
      <c r="B282" s="200" t="str">
        <f>VLOOKUP(Ruimtestaat[[#This Row],[Code]],Locaties[#All],2,FALSE)</f>
        <v>Karel de Grote College</v>
      </c>
      <c r="C282" s="240" t="str">
        <f>VLOOKUP(Ruimtestaat[[#This Row],[Code]],Locaties[#All],4,FALSE)</f>
        <v>Wilhelminasingel 15</v>
      </c>
      <c r="D282" s="240" t="str">
        <f>VLOOKUP(Ruimtestaat[[#This Row],[Code]],Locaties[#All],5,FALSE)</f>
        <v>6524 AJ</v>
      </c>
      <c r="E282" s="240" t="str">
        <f>VLOOKUP(Ruimtestaat[[#This Row],[Code]],Locaties[#All],6,FALSE)</f>
        <v>Nijmegen</v>
      </c>
      <c r="F282" s="241" t="s">
        <v>761</v>
      </c>
      <c r="G282" s="200">
        <v>1</v>
      </c>
      <c r="H282" s="200" t="s">
        <v>787</v>
      </c>
      <c r="I282" s="241" t="s">
        <v>834</v>
      </c>
      <c r="J282" s="200">
        <v>5</v>
      </c>
      <c r="K282" s="256" t="str">
        <f>VLOOKUP(Ruimtestaat[[#This Row],[Ruimte code]],Ruimtegroepen[#All],2,FALSE)</f>
        <v>Sanitair</v>
      </c>
      <c r="L282" s="240" t="s">
        <v>111</v>
      </c>
      <c r="M282" s="268" t="s">
        <v>554</v>
      </c>
      <c r="N282" s="269">
        <v>16</v>
      </c>
      <c r="O282" s="212"/>
      <c r="P282" s="240" t="str">
        <f>VLOOKUP(Ruimtestaat[[#This Row],[Ruimte code]],Ruimtegroepen[#All],4,FALSE)</f>
        <v>S  (Sanitair)</v>
      </c>
      <c r="Q282" s="213">
        <v>40</v>
      </c>
      <c r="R282" s="213" t="s">
        <v>2</v>
      </c>
      <c r="S282" s="213">
        <f>IF(Q282&gt;0,IF(RIGHT(Ruimtestaat[[#This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2" s="213">
        <f>IF(S282&gt;0,VLOOKUP($J282,Ruimtegroepen[],3,FALSE)*VLOOKUP($L282,Vloersoorten[],3,FALSE)*VLOOKUP($R282,Frequenties[],3,FALSE)*VLOOKUP($A282,Locaties[],3,FALSE),0)</f>
        <v>0</v>
      </c>
      <c r="U282" s="213">
        <f>Ruimtestaat[[#This Row],[Uitvoeringen werkdagen]]*Ruimtestaat[[#This Row],[Oppervlak (netto)]]</f>
        <v>3200</v>
      </c>
      <c r="V282" s="253">
        <f>IF(T282&gt;0,Ruimtestaat[[#This Row],[Prest. (m2 /jaar) werkdagen]]/Ruimtestaat[[#This Row],[Norm (m2/uur) werkdagen]],0)</f>
        <v>0</v>
      </c>
      <c r="W282" s="254">
        <f>Ruimtestaat[[#This Row],[uren / jaar werkdagen]]*Tariefsopbouw!$D$38</f>
        <v>0</v>
      </c>
      <c r="X282" s="33"/>
      <c r="Y282" s="33">
        <f>IF(Ruimtestaat[[#This Row],[Frequentie weekend]]&gt;0,VALUE(LEFT(X282,1))*Q282,0)</f>
        <v>0</v>
      </c>
      <c r="Z282" s="33">
        <f>IF($Y282&gt;0,VLOOKUP($J282,Ruimtegroepen[],3,FALSE)*VLOOKUP($L282,Vloersoorten[],3,FALSE)*VLOOKUP($X282,Frequenties[],3,FALSE)*VLOOKUP(#REF!,Locaties[],3,FALSE),0)</f>
        <v>0</v>
      </c>
      <c r="AA282" s="33"/>
      <c r="AB282" s="33"/>
      <c r="AC282" s="33">
        <f>Ruimtestaat[[#This Row],[uren / jaar weekend]]*Tariefsopbouw!$D$40</f>
        <v>0</v>
      </c>
      <c r="AD282" s="88">
        <f>Ruimtestaat[[#This Row],[Prest. (m2 /jaar) weekend]]+Ruimtestaat[[#This Row],[Prest. (m2 /jaar) werkdagen]]</f>
        <v>3200</v>
      </c>
      <c r="AE282" s="88">
        <f>Ruimtestaat[[#This Row],[uren / jaar weekend]]+Ruimtestaat[[#This Row],[uren / jaar werkdagen]]</f>
        <v>0</v>
      </c>
      <c r="AF282" s="89">
        <f>Ruimtestaat[[#This Row],[kosten / jaar weekend]]+Ruimtestaat[[#This Row],[kosten / jaar werkdagen]]</f>
        <v>0</v>
      </c>
    </row>
    <row r="283" spans="1:32" ht="15" customHeight="1">
      <c r="A283" s="213">
        <v>3</v>
      </c>
      <c r="B283" s="200" t="str">
        <f>VLOOKUP(Ruimtestaat[[#This Row],[Code]],Locaties[#All],2,FALSE)</f>
        <v>Karel de Grote College</v>
      </c>
      <c r="C283" s="240" t="str">
        <f>VLOOKUP(Ruimtestaat[[#This Row],[Code]],Locaties[#All],4,FALSE)</f>
        <v>Wilhelminasingel 15</v>
      </c>
      <c r="D283" s="240" t="str">
        <f>VLOOKUP(Ruimtestaat[[#This Row],[Code]],Locaties[#All],5,FALSE)</f>
        <v>6524 AJ</v>
      </c>
      <c r="E283" s="240" t="str">
        <f>VLOOKUP(Ruimtestaat[[#This Row],[Code]],Locaties[#All],6,FALSE)</f>
        <v>Nijmegen</v>
      </c>
      <c r="F283" s="241" t="s">
        <v>761</v>
      </c>
      <c r="G283" s="200">
        <v>1</v>
      </c>
      <c r="H283" s="200" t="s">
        <v>788</v>
      </c>
      <c r="I283" s="241" t="s">
        <v>816</v>
      </c>
      <c r="J283" s="200">
        <v>10</v>
      </c>
      <c r="K283" s="256" t="str">
        <f>VLOOKUP(Ruimtestaat[[#This Row],[Ruimte code]],Ruimtegroepen[#All],2,FALSE)</f>
        <v>Trappenhuizen/lift</v>
      </c>
      <c r="L283" s="240" t="s">
        <v>111</v>
      </c>
      <c r="M283" s="268" t="s">
        <v>554</v>
      </c>
      <c r="N283" s="269">
        <v>15</v>
      </c>
      <c r="O283" s="212"/>
      <c r="P283" s="240" t="str">
        <f>VLOOKUP(Ruimtestaat[[#This Row],[Ruimte code]],Ruimtegroepen[#All],4,FALSE)</f>
        <v>V  (Verkeersruimte)</v>
      </c>
      <c r="Q283" s="213">
        <v>40</v>
      </c>
      <c r="R283" s="213" t="s">
        <v>2</v>
      </c>
      <c r="S283" s="213">
        <f>IF(Q283&gt;0,IF(RIGHT(Ruimtestaat[[#This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3" s="213">
        <f>IF(S283&gt;0,VLOOKUP($J283,Ruimtegroepen[],3,FALSE)*VLOOKUP($L283,Vloersoorten[],3,FALSE)*VLOOKUP($R283,Frequenties[],3,FALSE)*VLOOKUP($A283,Locaties[],3,FALSE),0)</f>
        <v>0</v>
      </c>
      <c r="U283" s="213">
        <f>Ruimtestaat[[#This Row],[Uitvoeringen werkdagen]]*Ruimtestaat[[#This Row],[Oppervlak (netto)]]</f>
        <v>3000</v>
      </c>
      <c r="V283" s="253">
        <f>IF(T283&gt;0,Ruimtestaat[[#This Row],[Prest. (m2 /jaar) werkdagen]]/Ruimtestaat[[#This Row],[Norm (m2/uur) werkdagen]],0)</f>
        <v>0</v>
      </c>
      <c r="W283" s="254">
        <f>Ruimtestaat[[#This Row],[uren / jaar werkdagen]]*Tariefsopbouw!$D$38</f>
        <v>0</v>
      </c>
      <c r="X283" s="33"/>
      <c r="Y283" s="33">
        <f>IF(Ruimtestaat[[#This Row],[Frequentie weekend]]&gt;0,VALUE(LEFT(X283,1))*Q283,0)</f>
        <v>0</v>
      </c>
      <c r="Z283" s="33">
        <f>IF($Y283&gt;0,VLOOKUP($J283,Ruimtegroepen[],3,FALSE)*VLOOKUP($L283,Vloersoorten[],3,FALSE)*VLOOKUP($X283,Frequenties[],3,FALSE)*VLOOKUP(#REF!,Locaties[],3,FALSE),0)</f>
        <v>0</v>
      </c>
      <c r="AA283" s="33"/>
      <c r="AB283" s="33"/>
      <c r="AC283" s="33">
        <f>Ruimtestaat[[#This Row],[uren / jaar weekend]]*Tariefsopbouw!$D$40</f>
        <v>0</v>
      </c>
      <c r="AD283" s="88">
        <f>Ruimtestaat[[#This Row],[Prest. (m2 /jaar) weekend]]+Ruimtestaat[[#This Row],[Prest. (m2 /jaar) werkdagen]]</f>
        <v>3000</v>
      </c>
      <c r="AE283" s="88">
        <f>Ruimtestaat[[#This Row],[uren / jaar weekend]]+Ruimtestaat[[#This Row],[uren / jaar werkdagen]]</f>
        <v>0</v>
      </c>
      <c r="AF283" s="89">
        <f>Ruimtestaat[[#This Row],[kosten / jaar weekend]]+Ruimtestaat[[#This Row],[kosten / jaar werkdagen]]</f>
        <v>0</v>
      </c>
    </row>
    <row r="284" spans="1:32" ht="15" customHeight="1">
      <c r="A284" s="213">
        <v>3</v>
      </c>
      <c r="B284" s="200" t="str">
        <f>VLOOKUP(Ruimtestaat[[#This Row],[Code]],Locaties[#All],2,FALSE)</f>
        <v>Karel de Grote College</v>
      </c>
      <c r="C284" s="240" t="str">
        <f>VLOOKUP(Ruimtestaat[[#This Row],[Code]],Locaties[#All],4,FALSE)</f>
        <v>Wilhelminasingel 15</v>
      </c>
      <c r="D284" s="240" t="str">
        <f>VLOOKUP(Ruimtestaat[[#This Row],[Code]],Locaties[#All],5,FALSE)</f>
        <v>6524 AJ</v>
      </c>
      <c r="E284" s="240" t="str">
        <f>VLOOKUP(Ruimtestaat[[#This Row],[Code]],Locaties[#All],6,FALSE)</f>
        <v>Nijmegen</v>
      </c>
      <c r="F284" s="241" t="s">
        <v>761</v>
      </c>
      <c r="G284" s="200">
        <v>1</v>
      </c>
      <c r="H284" s="200" t="s">
        <v>789</v>
      </c>
      <c r="I284" s="241" t="s">
        <v>834</v>
      </c>
      <c r="J284" s="200">
        <v>5</v>
      </c>
      <c r="K284" s="256" t="str">
        <f>VLOOKUP(Ruimtestaat[[#This Row],[Ruimte code]],Ruimtegroepen[#All],2,FALSE)</f>
        <v>Sanitair</v>
      </c>
      <c r="L284" s="240" t="s">
        <v>111</v>
      </c>
      <c r="M284" s="268" t="s">
        <v>554</v>
      </c>
      <c r="N284" s="269">
        <v>17</v>
      </c>
      <c r="O284" s="212"/>
      <c r="P284" s="240" t="str">
        <f>VLOOKUP(Ruimtestaat[[#This Row],[Ruimte code]],Ruimtegroepen[#All],4,FALSE)</f>
        <v>S  (Sanitair)</v>
      </c>
      <c r="Q284" s="213">
        <v>40</v>
      </c>
      <c r="R284" s="213" t="s">
        <v>2</v>
      </c>
      <c r="S284" s="213">
        <f>IF(Q284&gt;0,IF(RIGHT(Ruimtestaat[[#This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4" s="213">
        <f>IF(S284&gt;0,VLOOKUP($J284,Ruimtegroepen[],3,FALSE)*VLOOKUP($L284,Vloersoorten[],3,FALSE)*VLOOKUP($R284,Frequenties[],3,FALSE)*VLOOKUP($A284,Locaties[],3,FALSE),0)</f>
        <v>0</v>
      </c>
      <c r="U284" s="213">
        <f>Ruimtestaat[[#This Row],[Uitvoeringen werkdagen]]*Ruimtestaat[[#This Row],[Oppervlak (netto)]]</f>
        <v>3400</v>
      </c>
      <c r="V284" s="253">
        <f>IF(T284&gt;0,Ruimtestaat[[#This Row],[Prest. (m2 /jaar) werkdagen]]/Ruimtestaat[[#This Row],[Norm (m2/uur) werkdagen]],0)</f>
        <v>0</v>
      </c>
      <c r="W284" s="254">
        <f>Ruimtestaat[[#This Row],[uren / jaar werkdagen]]*Tariefsopbouw!$D$38</f>
        <v>0</v>
      </c>
      <c r="X284" s="33"/>
      <c r="Y284" s="33">
        <f>IF(Ruimtestaat[[#This Row],[Frequentie weekend]]&gt;0,VALUE(LEFT(X284,1))*Q284,0)</f>
        <v>0</v>
      </c>
      <c r="Z284" s="33">
        <f>IF($Y284&gt;0,VLOOKUP($J284,Ruimtegroepen[],3,FALSE)*VLOOKUP($L284,Vloersoorten[],3,FALSE)*VLOOKUP($X284,Frequenties[],3,FALSE)*VLOOKUP(#REF!,Locaties[],3,FALSE),0)</f>
        <v>0</v>
      </c>
      <c r="AA284" s="33"/>
      <c r="AB284" s="33"/>
      <c r="AC284" s="33">
        <f>Ruimtestaat[[#This Row],[uren / jaar weekend]]*Tariefsopbouw!$D$40</f>
        <v>0</v>
      </c>
      <c r="AD284" s="88">
        <f>Ruimtestaat[[#This Row],[Prest. (m2 /jaar) weekend]]+Ruimtestaat[[#This Row],[Prest. (m2 /jaar) werkdagen]]</f>
        <v>3400</v>
      </c>
      <c r="AE284" s="88">
        <f>Ruimtestaat[[#This Row],[uren / jaar weekend]]+Ruimtestaat[[#This Row],[uren / jaar werkdagen]]</f>
        <v>0</v>
      </c>
      <c r="AF284" s="89">
        <f>Ruimtestaat[[#This Row],[kosten / jaar weekend]]+Ruimtestaat[[#This Row],[kosten / jaar werkdagen]]</f>
        <v>0</v>
      </c>
    </row>
    <row r="285" spans="1:32" ht="15" customHeight="1">
      <c r="A285" s="213">
        <v>3</v>
      </c>
      <c r="B285" s="200" t="str">
        <f>VLOOKUP(Ruimtestaat[[#This Row],[Code]],Locaties[#All],2,FALSE)</f>
        <v>Karel de Grote College</v>
      </c>
      <c r="C285" s="240" t="str">
        <f>VLOOKUP(Ruimtestaat[[#This Row],[Code]],Locaties[#All],4,FALSE)</f>
        <v>Wilhelminasingel 15</v>
      </c>
      <c r="D285" s="240" t="str">
        <f>VLOOKUP(Ruimtestaat[[#This Row],[Code]],Locaties[#All],5,FALSE)</f>
        <v>6524 AJ</v>
      </c>
      <c r="E285" s="240" t="str">
        <f>VLOOKUP(Ruimtestaat[[#This Row],[Code]],Locaties[#All],6,FALSE)</f>
        <v>Nijmegen</v>
      </c>
      <c r="F285" s="241" t="s">
        <v>848</v>
      </c>
      <c r="G285" s="200">
        <v>1</v>
      </c>
      <c r="H285" s="200" t="s">
        <v>790</v>
      </c>
      <c r="I285" s="241" t="s">
        <v>660</v>
      </c>
      <c r="J285" s="240">
        <v>13</v>
      </c>
      <c r="K285" s="256" t="str">
        <f>VLOOKUP(Ruimtestaat[[#This Row],[Ruimte code]],Ruimtegroepen[#All],2,FALSE)</f>
        <v>Praktijklokalen</v>
      </c>
      <c r="L285" s="213" t="s">
        <v>110</v>
      </c>
      <c r="M285" s="268" t="s">
        <v>644</v>
      </c>
      <c r="N285" s="269">
        <v>63.5</v>
      </c>
      <c r="O285" s="212"/>
      <c r="P285" s="240" t="str">
        <f>VLOOKUP(Ruimtestaat[[#This Row],[Ruimte code]],Ruimtegroepen[#All],4,FALSE)</f>
        <v>L  (Lesruimte)</v>
      </c>
      <c r="Q285" s="213">
        <v>40</v>
      </c>
      <c r="R285" s="213" t="s">
        <v>2</v>
      </c>
      <c r="S285" s="213">
        <f>IF(Q285&gt;0,IF(RIGHT(Ruimtestaat[[#This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5" s="213">
        <f>IF(S285&gt;0,VLOOKUP($J285,Ruimtegroepen[],3,FALSE)*VLOOKUP($L285,Vloersoorten[],3,FALSE)*VLOOKUP($R285,Frequenties[],3,FALSE)*VLOOKUP($A285,Locaties[],3,FALSE),0)</f>
        <v>0</v>
      </c>
      <c r="U285" s="213">
        <f>Ruimtestaat[[#This Row],[Uitvoeringen werkdagen]]*Ruimtestaat[[#This Row],[Oppervlak (netto)]]</f>
        <v>12700</v>
      </c>
      <c r="V285" s="253">
        <f>IF(T285&gt;0,Ruimtestaat[[#This Row],[Prest. (m2 /jaar) werkdagen]]/Ruimtestaat[[#This Row],[Norm (m2/uur) werkdagen]],0)</f>
        <v>0</v>
      </c>
      <c r="W285" s="254">
        <f>Ruimtestaat[[#This Row],[uren / jaar werkdagen]]*Tariefsopbouw!$D$38</f>
        <v>0</v>
      </c>
      <c r="X285" s="33"/>
      <c r="Y285" s="33">
        <f>IF(Ruimtestaat[[#This Row],[Frequentie weekend]]&gt;0,VALUE(LEFT(X285,1))*Q285,0)</f>
        <v>0</v>
      </c>
      <c r="Z285" s="33">
        <f>IF($Y285&gt;0,VLOOKUP($J285,Ruimtegroepen[],3,FALSE)*VLOOKUP($L285,Vloersoorten[],3,FALSE)*VLOOKUP($X285,Frequenties[],3,FALSE)*VLOOKUP(#REF!,Locaties[],3,FALSE),0)</f>
        <v>0</v>
      </c>
      <c r="AA285" s="33"/>
      <c r="AB285" s="33"/>
      <c r="AC285" s="33">
        <f>Ruimtestaat[[#This Row],[uren / jaar weekend]]*Tariefsopbouw!$D$40</f>
        <v>0</v>
      </c>
      <c r="AD285" s="88">
        <f>Ruimtestaat[[#This Row],[Prest. (m2 /jaar) weekend]]+Ruimtestaat[[#This Row],[Prest. (m2 /jaar) werkdagen]]</f>
        <v>12700</v>
      </c>
      <c r="AE285" s="88">
        <f>Ruimtestaat[[#This Row],[uren / jaar weekend]]+Ruimtestaat[[#This Row],[uren / jaar werkdagen]]</f>
        <v>0</v>
      </c>
      <c r="AF285" s="89">
        <f>Ruimtestaat[[#This Row],[kosten / jaar weekend]]+Ruimtestaat[[#This Row],[kosten / jaar werkdagen]]</f>
        <v>0</v>
      </c>
    </row>
    <row r="286" spans="1:32" ht="15" customHeight="1">
      <c r="A286" s="213">
        <v>3</v>
      </c>
      <c r="B286" s="200" t="str">
        <f>VLOOKUP(Ruimtestaat[[#This Row],[Code]],Locaties[#All],2,FALSE)</f>
        <v>Karel de Grote College</v>
      </c>
      <c r="C286" s="240" t="str">
        <f>VLOOKUP(Ruimtestaat[[#This Row],[Code]],Locaties[#All],4,FALSE)</f>
        <v>Wilhelminasingel 15</v>
      </c>
      <c r="D286" s="240" t="str">
        <f>VLOOKUP(Ruimtestaat[[#This Row],[Code]],Locaties[#All],5,FALSE)</f>
        <v>6524 AJ</v>
      </c>
      <c r="E286" s="240" t="str">
        <f>VLOOKUP(Ruimtestaat[[#This Row],[Code]],Locaties[#All],6,FALSE)</f>
        <v>Nijmegen</v>
      </c>
      <c r="F286" s="241" t="s">
        <v>848</v>
      </c>
      <c r="G286" s="200">
        <v>1</v>
      </c>
      <c r="H286" s="200" t="s">
        <v>791</v>
      </c>
      <c r="I286" s="241" t="s">
        <v>835</v>
      </c>
      <c r="J286" s="240">
        <v>13</v>
      </c>
      <c r="K286" s="256" t="str">
        <f>VLOOKUP(Ruimtestaat[[#This Row],[Ruimte code]],Ruimtegroepen[#All],2,FALSE)</f>
        <v>Praktijklokalen</v>
      </c>
      <c r="L286" s="213" t="s">
        <v>110</v>
      </c>
      <c r="M286" s="268" t="s">
        <v>644</v>
      </c>
      <c r="N286" s="269">
        <v>63.8</v>
      </c>
      <c r="O286" s="212"/>
      <c r="P286" s="240" t="str">
        <f>VLOOKUP(Ruimtestaat[[#This Row],[Ruimte code]],Ruimtegroepen[#All],4,FALSE)</f>
        <v>L  (Lesruimte)</v>
      </c>
      <c r="Q286" s="213">
        <v>40</v>
      </c>
      <c r="R286" s="213" t="s">
        <v>2</v>
      </c>
      <c r="S286" s="213">
        <f>IF(Q286&gt;0,IF(RIGHT(Ruimtestaat[[#This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6" s="213">
        <f>IF(S286&gt;0,VLOOKUP($J286,Ruimtegroepen[],3,FALSE)*VLOOKUP($L286,Vloersoorten[],3,FALSE)*VLOOKUP($R286,Frequenties[],3,FALSE)*VLOOKUP($A286,Locaties[],3,FALSE),0)</f>
        <v>0</v>
      </c>
      <c r="U286" s="213">
        <f>Ruimtestaat[[#This Row],[Uitvoeringen werkdagen]]*Ruimtestaat[[#This Row],[Oppervlak (netto)]]</f>
        <v>12760</v>
      </c>
      <c r="V286" s="253">
        <f>IF(T286&gt;0,Ruimtestaat[[#This Row],[Prest. (m2 /jaar) werkdagen]]/Ruimtestaat[[#This Row],[Norm (m2/uur) werkdagen]],0)</f>
        <v>0</v>
      </c>
      <c r="W286" s="254">
        <f>Ruimtestaat[[#This Row],[uren / jaar werkdagen]]*Tariefsopbouw!$D$38</f>
        <v>0</v>
      </c>
      <c r="X286" s="33"/>
      <c r="Y286" s="33">
        <f>IF(Ruimtestaat[[#This Row],[Frequentie weekend]]&gt;0,VALUE(LEFT(X286,1))*Q286,0)</f>
        <v>0</v>
      </c>
      <c r="Z286" s="33">
        <f>IF($Y286&gt;0,VLOOKUP($J286,Ruimtegroepen[],3,FALSE)*VLOOKUP($L286,Vloersoorten[],3,FALSE)*VLOOKUP($X286,Frequenties[],3,FALSE)*VLOOKUP(#REF!,Locaties[],3,FALSE),0)</f>
        <v>0</v>
      </c>
      <c r="AA286" s="33"/>
      <c r="AB286" s="33"/>
      <c r="AC286" s="33">
        <f>Ruimtestaat[[#This Row],[uren / jaar weekend]]*Tariefsopbouw!$D$40</f>
        <v>0</v>
      </c>
      <c r="AD286" s="88">
        <f>Ruimtestaat[[#This Row],[Prest. (m2 /jaar) weekend]]+Ruimtestaat[[#This Row],[Prest. (m2 /jaar) werkdagen]]</f>
        <v>12760</v>
      </c>
      <c r="AE286" s="88">
        <f>Ruimtestaat[[#This Row],[uren / jaar weekend]]+Ruimtestaat[[#This Row],[uren / jaar werkdagen]]</f>
        <v>0</v>
      </c>
      <c r="AF286" s="89">
        <f>Ruimtestaat[[#This Row],[kosten / jaar weekend]]+Ruimtestaat[[#This Row],[kosten / jaar werkdagen]]</f>
        <v>0</v>
      </c>
    </row>
    <row r="287" spans="1:32" ht="15" customHeight="1">
      <c r="A287" s="213">
        <v>3</v>
      </c>
      <c r="B287" s="200" t="str">
        <f>VLOOKUP(Ruimtestaat[[#This Row],[Code]],Locaties[#All],2,FALSE)</f>
        <v>Karel de Grote College</v>
      </c>
      <c r="C287" s="240" t="str">
        <f>VLOOKUP(Ruimtestaat[[#This Row],[Code]],Locaties[#All],4,FALSE)</f>
        <v>Wilhelminasingel 15</v>
      </c>
      <c r="D287" s="240" t="str">
        <f>VLOOKUP(Ruimtestaat[[#This Row],[Code]],Locaties[#All],5,FALSE)</f>
        <v>6524 AJ</v>
      </c>
      <c r="E287" s="240" t="str">
        <f>VLOOKUP(Ruimtestaat[[#This Row],[Code]],Locaties[#All],6,FALSE)</f>
        <v>Nijmegen</v>
      </c>
      <c r="F287" s="241" t="s">
        <v>848</v>
      </c>
      <c r="G287" s="200">
        <v>1</v>
      </c>
      <c r="H287" s="200" t="s">
        <v>792</v>
      </c>
      <c r="I287" s="241" t="s">
        <v>708</v>
      </c>
      <c r="J287" s="240">
        <v>5</v>
      </c>
      <c r="K287" s="256" t="str">
        <f>VLOOKUP(Ruimtestaat[[#This Row],[Ruimte code]],Ruimtegroepen[#All],2,FALSE)</f>
        <v>Sanitair</v>
      </c>
      <c r="L287" s="240" t="s">
        <v>111</v>
      </c>
      <c r="M287" s="268" t="s">
        <v>648</v>
      </c>
      <c r="N287" s="269">
        <v>12</v>
      </c>
      <c r="O287" s="212"/>
      <c r="P287" s="240" t="str">
        <f>VLOOKUP(Ruimtestaat[[#This Row],[Ruimte code]],Ruimtegroepen[#All],4,FALSE)</f>
        <v>S  (Sanitair)</v>
      </c>
      <c r="Q287" s="213">
        <v>40</v>
      </c>
      <c r="R287" s="213" t="s">
        <v>2</v>
      </c>
      <c r="S287" s="213">
        <f>IF(Q287&gt;0,IF(RIGHT(Ruimtestaat[[#This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7" s="213">
        <f>IF(S287&gt;0,VLOOKUP($J287,Ruimtegroepen[],3,FALSE)*VLOOKUP($L287,Vloersoorten[],3,FALSE)*VLOOKUP($R287,Frequenties[],3,FALSE)*VLOOKUP($A287,Locaties[],3,FALSE),0)</f>
        <v>0</v>
      </c>
      <c r="U287" s="213">
        <f>Ruimtestaat[[#This Row],[Uitvoeringen werkdagen]]*Ruimtestaat[[#This Row],[Oppervlak (netto)]]</f>
        <v>2400</v>
      </c>
      <c r="V287" s="253">
        <f>IF(T287&gt;0,Ruimtestaat[[#This Row],[Prest. (m2 /jaar) werkdagen]]/Ruimtestaat[[#This Row],[Norm (m2/uur) werkdagen]],0)</f>
        <v>0</v>
      </c>
      <c r="W287" s="254">
        <f>Ruimtestaat[[#This Row],[uren / jaar werkdagen]]*Tariefsopbouw!$D$38</f>
        <v>0</v>
      </c>
      <c r="X287" s="33"/>
      <c r="Y287" s="33">
        <f>IF(Ruimtestaat[[#This Row],[Frequentie weekend]]&gt;0,VALUE(LEFT(X287,1))*Q287,0)</f>
        <v>0</v>
      </c>
      <c r="Z287" s="33">
        <f>IF($Y287&gt;0,VLOOKUP($J287,Ruimtegroepen[],3,FALSE)*VLOOKUP($L287,Vloersoorten[],3,FALSE)*VLOOKUP($X287,Frequenties[],3,FALSE)*VLOOKUP(#REF!,Locaties[],3,FALSE),0)</f>
        <v>0</v>
      </c>
      <c r="AA287" s="33"/>
      <c r="AB287" s="33"/>
      <c r="AC287" s="33">
        <f>Ruimtestaat[[#This Row],[uren / jaar weekend]]*Tariefsopbouw!$D$40</f>
        <v>0</v>
      </c>
      <c r="AD287" s="88">
        <f>Ruimtestaat[[#This Row],[Prest. (m2 /jaar) weekend]]+Ruimtestaat[[#This Row],[Prest. (m2 /jaar) werkdagen]]</f>
        <v>2400</v>
      </c>
      <c r="AE287" s="88">
        <f>Ruimtestaat[[#This Row],[uren / jaar weekend]]+Ruimtestaat[[#This Row],[uren / jaar werkdagen]]</f>
        <v>0</v>
      </c>
      <c r="AF287" s="89">
        <f>Ruimtestaat[[#This Row],[kosten / jaar weekend]]+Ruimtestaat[[#This Row],[kosten / jaar werkdagen]]</f>
        <v>0</v>
      </c>
    </row>
    <row r="288" spans="1:32" ht="15" customHeight="1">
      <c r="A288" s="213">
        <v>3</v>
      </c>
      <c r="B288" s="200" t="str">
        <f>VLOOKUP(Ruimtestaat[[#This Row],[Code]],Locaties[#All],2,FALSE)</f>
        <v>Karel de Grote College</v>
      </c>
      <c r="C288" s="240" t="str">
        <f>VLOOKUP(Ruimtestaat[[#This Row],[Code]],Locaties[#All],4,FALSE)</f>
        <v>Wilhelminasingel 15</v>
      </c>
      <c r="D288" s="240" t="str">
        <f>VLOOKUP(Ruimtestaat[[#This Row],[Code]],Locaties[#All],5,FALSE)</f>
        <v>6524 AJ</v>
      </c>
      <c r="E288" s="240" t="str">
        <f>VLOOKUP(Ruimtestaat[[#This Row],[Code]],Locaties[#All],6,FALSE)</f>
        <v>Nijmegen</v>
      </c>
      <c r="F288" s="241" t="s">
        <v>848</v>
      </c>
      <c r="G288" s="200">
        <v>1</v>
      </c>
      <c r="H288" s="200" t="s">
        <v>793</v>
      </c>
      <c r="I288" s="241" t="s">
        <v>835</v>
      </c>
      <c r="J288" s="240">
        <v>13</v>
      </c>
      <c r="K288" s="256" t="str">
        <f>VLOOKUP(Ruimtestaat[[#This Row],[Ruimte code]],Ruimtegroepen[#All],2,FALSE)</f>
        <v>Praktijklokalen</v>
      </c>
      <c r="L288" s="213" t="s">
        <v>110</v>
      </c>
      <c r="M288" s="268" t="s">
        <v>644</v>
      </c>
      <c r="N288" s="269">
        <v>63.8</v>
      </c>
      <c r="O288" s="212"/>
      <c r="P288" s="240" t="str">
        <f>VLOOKUP(Ruimtestaat[[#This Row],[Ruimte code]],Ruimtegroepen[#All],4,FALSE)</f>
        <v>L  (Lesruimte)</v>
      </c>
      <c r="Q288" s="213">
        <v>40</v>
      </c>
      <c r="R288" s="213" t="s">
        <v>2</v>
      </c>
      <c r="S288" s="213">
        <f>IF(Q288&gt;0,IF(RIGHT(Ruimtestaat[[#This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8" s="213">
        <f>IF(S288&gt;0,VLOOKUP($J288,Ruimtegroepen[],3,FALSE)*VLOOKUP($L288,Vloersoorten[],3,FALSE)*VLOOKUP($R288,Frequenties[],3,FALSE)*VLOOKUP($A288,Locaties[],3,FALSE),0)</f>
        <v>0</v>
      </c>
      <c r="U288" s="213">
        <f>Ruimtestaat[[#This Row],[Uitvoeringen werkdagen]]*Ruimtestaat[[#This Row],[Oppervlak (netto)]]</f>
        <v>12760</v>
      </c>
      <c r="V288" s="253">
        <f>IF(T288&gt;0,Ruimtestaat[[#This Row],[Prest. (m2 /jaar) werkdagen]]/Ruimtestaat[[#This Row],[Norm (m2/uur) werkdagen]],0)</f>
        <v>0</v>
      </c>
      <c r="W288" s="254">
        <f>Ruimtestaat[[#This Row],[uren / jaar werkdagen]]*Tariefsopbouw!$D$38</f>
        <v>0</v>
      </c>
      <c r="X288" s="33"/>
      <c r="Y288" s="33">
        <f>IF(Ruimtestaat[[#This Row],[Frequentie weekend]]&gt;0,VALUE(LEFT(X288,1))*Q288,0)</f>
        <v>0</v>
      </c>
      <c r="Z288" s="33">
        <f>IF($Y288&gt;0,VLOOKUP($J288,Ruimtegroepen[],3,FALSE)*VLOOKUP($L288,Vloersoorten[],3,FALSE)*VLOOKUP($X288,Frequenties[],3,FALSE)*VLOOKUP(#REF!,Locaties[],3,FALSE),0)</f>
        <v>0</v>
      </c>
      <c r="AA288" s="33"/>
      <c r="AB288" s="33"/>
      <c r="AC288" s="33">
        <f>Ruimtestaat[[#This Row],[uren / jaar weekend]]*Tariefsopbouw!$D$40</f>
        <v>0</v>
      </c>
      <c r="AD288" s="88">
        <f>Ruimtestaat[[#This Row],[Prest. (m2 /jaar) weekend]]+Ruimtestaat[[#This Row],[Prest. (m2 /jaar) werkdagen]]</f>
        <v>12760</v>
      </c>
      <c r="AE288" s="88">
        <f>Ruimtestaat[[#This Row],[uren / jaar weekend]]+Ruimtestaat[[#This Row],[uren / jaar werkdagen]]</f>
        <v>0</v>
      </c>
      <c r="AF288" s="89">
        <f>Ruimtestaat[[#This Row],[kosten / jaar weekend]]+Ruimtestaat[[#This Row],[kosten / jaar werkdagen]]</f>
        <v>0</v>
      </c>
    </row>
    <row r="289" spans="1:32" ht="15" customHeight="1">
      <c r="A289" s="213">
        <v>3</v>
      </c>
      <c r="B289" s="200" t="str">
        <f>VLOOKUP(Ruimtestaat[[#This Row],[Code]],Locaties[#All],2,FALSE)</f>
        <v>Karel de Grote College</v>
      </c>
      <c r="C289" s="240" t="str">
        <f>VLOOKUP(Ruimtestaat[[#This Row],[Code]],Locaties[#All],4,FALSE)</f>
        <v>Wilhelminasingel 15</v>
      </c>
      <c r="D289" s="240" t="str">
        <f>VLOOKUP(Ruimtestaat[[#This Row],[Code]],Locaties[#All],5,FALSE)</f>
        <v>6524 AJ</v>
      </c>
      <c r="E289" s="240" t="str">
        <f>VLOOKUP(Ruimtestaat[[#This Row],[Code]],Locaties[#All],6,FALSE)</f>
        <v>Nijmegen</v>
      </c>
      <c r="F289" s="241" t="s">
        <v>848</v>
      </c>
      <c r="G289" s="200">
        <v>1</v>
      </c>
      <c r="H289" s="200" t="s">
        <v>794</v>
      </c>
      <c r="I289" s="241" t="s">
        <v>708</v>
      </c>
      <c r="J289" s="240">
        <v>5</v>
      </c>
      <c r="K289" s="256" t="str">
        <f>VLOOKUP(Ruimtestaat[[#This Row],[Ruimte code]],Ruimtegroepen[#All],2,FALSE)</f>
        <v>Sanitair</v>
      </c>
      <c r="L289" s="240" t="s">
        <v>111</v>
      </c>
      <c r="M289" s="268" t="s">
        <v>648</v>
      </c>
      <c r="N289" s="269">
        <v>12</v>
      </c>
      <c r="O289" s="212"/>
      <c r="P289" s="240" t="str">
        <f>VLOOKUP(Ruimtestaat[[#This Row],[Ruimte code]],Ruimtegroepen[#All],4,FALSE)</f>
        <v>S  (Sanitair)</v>
      </c>
      <c r="Q289" s="213">
        <v>40</v>
      </c>
      <c r="R289" s="213" t="s">
        <v>2</v>
      </c>
      <c r="S289" s="213">
        <f>IF(Q289&gt;0,IF(RIGHT(Ruimtestaat[[#This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89" s="213">
        <f>IF(S289&gt;0,VLOOKUP($J289,Ruimtegroepen[],3,FALSE)*VLOOKUP($L289,Vloersoorten[],3,FALSE)*VLOOKUP($R289,Frequenties[],3,FALSE)*VLOOKUP($A289,Locaties[],3,FALSE),0)</f>
        <v>0</v>
      </c>
      <c r="U289" s="213">
        <f>Ruimtestaat[[#This Row],[Uitvoeringen werkdagen]]*Ruimtestaat[[#This Row],[Oppervlak (netto)]]</f>
        <v>2400</v>
      </c>
      <c r="V289" s="253">
        <f>IF(T289&gt;0,Ruimtestaat[[#This Row],[Prest. (m2 /jaar) werkdagen]]/Ruimtestaat[[#This Row],[Norm (m2/uur) werkdagen]],0)</f>
        <v>0</v>
      </c>
      <c r="W289" s="254">
        <f>Ruimtestaat[[#This Row],[uren / jaar werkdagen]]*Tariefsopbouw!$D$38</f>
        <v>0</v>
      </c>
      <c r="X289" s="33"/>
      <c r="Y289" s="33">
        <f>IF(Ruimtestaat[[#This Row],[Frequentie weekend]]&gt;0,VALUE(LEFT(X289,1))*Q289,0)</f>
        <v>0</v>
      </c>
      <c r="Z289" s="33">
        <f>IF($Y289&gt;0,VLOOKUP($J289,Ruimtegroepen[],3,FALSE)*VLOOKUP($L289,Vloersoorten[],3,FALSE)*VLOOKUP($X289,Frequenties[],3,FALSE)*VLOOKUP(#REF!,Locaties[],3,FALSE),0)</f>
        <v>0</v>
      </c>
      <c r="AA289" s="33"/>
      <c r="AB289" s="33"/>
      <c r="AC289" s="33">
        <f>Ruimtestaat[[#This Row],[uren / jaar weekend]]*Tariefsopbouw!$D$40</f>
        <v>0</v>
      </c>
      <c r="AD289" s="88">
        <f>Ruimtestaat[[#This Row],[Prest. (m2 /jaar) weekend]]+Ruimtestaat[[#This Row],[Prest. (m2 /jaar) werkdagen]]</f>
        <v>2400</v>
      </c>
      <c r="AE289" s="88">
        <f>Ruimtestaat[[#This Row],[uren / jaar weekend]]+Ruimtestaat[[#This Row],[uren / jaar werkdagen]]</f>
        <v>0</v>
      </c>
      <c r="AF289" s="89">
        <f>Ruimtestaat[[#This Row],[kosten / jaar weekend]]+Ruimtestaat[[#This Row],[kosten / jaar werkdagen]]</f>
        <v>0</v>
      </c>
    </row>
    <row r="290" spans="1:32" ht="15" customHeight="1">
      <c r="A290" s="213">
        <v>3</v>
      </c>
      <c r="B290" s="200" t="str">
        <f>VLOOKUP(Ruimtestaat[[#This Row],[Code]],Locaties[#All],2,FALSE)</f>
        <v>Karel de Grote College</v>
      </c>
      <c r="C290" s="240" t="str">
        <f>VLOOKUP(Ruimtestaat[[#This Row],[Code]],Locaties[#All],4,FALSE)</f>
        <v>Wilhelminasingel 15</v>
      </c>
      <c r="D290" s="240" t="str">
        <f>VLOOKUP(Ruimtestaat[[#This Row],[Code]],Locaties[#All],5,FALSE)</f>
        <v>6524 AJ</v>
      </c>
      <c r="E290" s="240" t="str">
        <f>VLOOKUP(Ruimtestaat[[#This Row],[Code]],Locaties[#All],6,FALSE)</f>
        <v>Nijmegen</v>
      </c>
      <c r="F290" s="241" t="s">
        <v>848</v>
      </c>
      <c r="G290" s="200">
        <v>1</v>
      </c>
      <c r="H290" s="200" t="s">
        <v>795</v>
      </c>
      <c r="I290" s="241" t="s">
        <v>660</v>
      </c>
      <c r="J290" s="240">
        <v>13</v>
      </c>
      <c r="K290" s="256" t="str">
        <f>VLOOKUP(Ruimtestaat[[#This Row],[Ruimte code]],Ruimtegroepen[#All],2,FALSE)</f>
        <v>Praktijklokalen</v>
      </c>
      <c r="L290" s="213" t="s">
        <v>110</v>
      </c>
      <c r="M290" s="268" t="s">
        <v>644</v>
      </c>
      <c r="N290" s="269">
        <v>66.400000000000006</v>
      </c>
      <c r="O290" s="212"/>
      <c r="P290" s="240" t="str">
        <f>VLOOKUP(Ruimtestaat[[#This Row],[Ruimte code]],Ruimtegroepen[#All],4,FALSE)</f>
        <v>L  (Lesruimte)</v>
      </c>
      <c r="Q290" s="213">
        <v>40</v>
      </c>
      <c r="R290" s="213" t="s">
        <v>2</v>
      </c>
      <c r="S290" s="213">
        <f>IF(Q290&gt;0,IF(RIGHT(Ruimtestaat[[#This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0" s="213">
        <f>IF(S290&gt;0,VLOOKUP($J290,Ruimtegroepen[],3,FALSE)*VLOOKUP($L290,Vloersoorten[],3,FALSE)*VLOOKUP($R290,Frequenties[],3,FALSE)*VLOOKUP($A290,Locaties[],3,FALSE),0)</f>
        <v>0</v>
      </c>
      <c r="U290" s="213">
        <f>Ruimtestaat[[#This Row],[Uitvoeringen werkdagen]]*Ruimtestaat[[#This Row],[Oppervlak (netto)]]</f>
        <v>13280.000000000002</v>
      </c>
      <c r="V290" s="253">
        <f>IF(T290&gt;0,Ruimtestaat[[#This Row],[Prest. (m2 /jaar) werkdagen]]/Ruimtestaat[[#This Row],[Norm (m2/uur) werkdagen]],0)</f>
        <v>0</v>
      </c>
      <c r="W290" s="254">
        <f>Ruimtestaat[[#This Row],[uren / jaar werkdagen]]*Tariefsopbouw!$D$38</f>
        <v>0</v>
      </c>
      <c r="X290" s="33"/>
      <c r="Y290" s="33">
        <f>IF(Ruimtestaat[[#This Row],[Frequentie weekend]]&gt;0,VALUE(LEFT(X290,1))*Q290,0)</f>
        <v>0</v>
      </c>
      <c r="Z290" s="33">
        <f>IF($Y290&gt;0,VLOOKUP($J290,Ruimtegroepen[],3,FALSE)*VLOOKUP($L290,Vloersoorten[],3,FALSE)*VLOOKUP($X290,Frequenties[],3,FALSE)*VLOOKUP(#REF!,Locaties[],3,FALSE),0)</f>
        <v>0</v>
      </c>
      <c r="AA290" s="33"/>
      <c r="AB290" s="33"/>
      <c r="AC290" s="33">
        <f>Ruimtestaat[[#This Row],[uren / jaar weekend]]*Tariefsopbouw!$D$40</f>
        <v>0</v>
      </c>
      <c r="AD290" s="88">
        <f>Ruimtestaat[[#This Row],[Prest. (m2 /jaar) weekend]]+Ruimtestaat[[#This Row],[Prest. (m2 /jaar) werkdagen]]</f>
        <v>13280.000000000002</v>
      </c>
      <c r="AE290" s="88">
        <f>Ruimtestaat[[#This Row],[uren / jaar weekend]]+Ruimtestaat[[#This Row],[uren / jaar werkdagen]]</f>
        <v>0</v>
      </c>
      <c r="AF290" s="89">
        <f>Ruimtestaat[[#This Row],[kosten / jaar weekend]]+Ruimtestaat[[#This Row],[kosten / jaar werkdagen]]</f>
        <v>0</v>
      </c>
    </row>
    <row r="291" spans="1:32" ht="15" customHeight="1">
      <c r="A291" s="213">
        <v>3</v>
      </c>
      <c r="B291" s="200" t="str">
        <f>VLOOKUP(Ruimtestaat[[#This Row],[Code]],Locaties[#All],2,FALSE)</f>
        <v>Karel de Grote College</v>
      </c>
      <c r="C291" s="240" t="str">
        <f>VLOOKUP(Ruimtestaat[[#This Row],[Code]],Locaties[#All],4,FALSE)</f>
        <v>Wilhelminasingel 15</v>
      </c>
      <c r="D291" s="240" t="str">
        <f>VLOOKUP(Ruimtestaat[[#This Row],[Code]],Locaties[#All],5,FALSE)</f>
        <v>6524 AJ</v>
      </c>
      <c r="E291" s="240" t="str">
        <f>VLOOKUP(Ruimtestaat[[#This Row],[Code]],Locaties[#All],6,FALSE)</f>
        <v>Nijmegen</v>
      </c>
      <c r="F291" s="241" t="s">
        <v>848</v>
      </c>
      <c r="G291" s="200">
        <v>1</v>
      </c>
      <c r="H291" s="200" t="s">
        <v>796</v>
      </c>
      <c r="I291" s="241" t="s">
        <v>708</v>
      </c>
      <c r="J291" s="240">
        <v>5</v>
      </c>
      <c r="K291" s="256" t="str">
        <f>VLOOKUP(Ruimtestaat[[#This Row],[Ruimte code]],Ruimtegroepen[#All],2,FALSE)</f>
        <v>Sanitair</v>
      </c>
      <c r="L291" s="240" t="s">
        <v>111</v>
      </c>
      <c r="M291" s="268" t="s">
        <v>648</v>
      </c>
      <c r="N291" s="269">
        <v>12</v>
      </c>
      <c r="O291" s="212"/>
      <c r="P291" s="240" t="str">
        <f>VLOOKUP(Ruimtestaat[[#This Row],[Ruimte code]],Ruimtegroepen[#All],4,FALSE)</f>
        <v>S  (Sanitair)</v>
      </c>
      <c r="Q291" s="213">
        <v>40</v>
      </c>
      <c r="R291" s="213" t="s">
        <v>2</v>
      </c>
      <c r="S291" s="213">
        <f>IF(Q291&gt;0,IF(RIGHT(Ruimtestaat[[#This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1" s="213">
        <f>IF(S291&gt;0,VLOOKUP($J291,Ruimtegroepen[],3,FALSE)*VLOOKUP($L291,Vloersoorten[],3,FALSE)*VLOOKUP($R291,Frequenties[],3,FALSE)*VLOOKUP($A291,Locaties[],3,FALSE),0)</f>
        <v>0</v>
      </c>
      <c r="U291" s="213">
        <f>Ruimtestaat[[#This Row],[Uitvoeringen werkdagen]]*Ruimtestaat[[#This Row],[Oppervlak (netto)]]</f>
        <v>2400</v>
      </c>
      <c r="V291" s="253">
        <f>IF(T291&gt;0,Ruimtestaat[[#This Row],[Prest. (m2 /jaar) werkdagen]]/Ruimtestaat[[#This Row],[Norm (m2/uur) werkdagen]],0)</f>
        <v>0</v>
      </c>
      <c r="W291" s="254">
        <f>Ruimtestaat[[#This Row],[uren / jaar werkdagen]]*Tariefsopbouw!$D$38</f>
        <v>0</v>
      </c>
      <c r="X291" s="33"/>
      <c r="Y291" s="33">
        <f>IF(Ruimtestaat[[#This Row],[Frequentie weekend]]&gt;0,VALUE(LEFT(X291,1))*Q291,0)</f>
        <v>0</v>
      </c>
      <c r="Z291" s="33">
        <f>IF($Y291&gt;0,VLOOKUP($J291,Ruimtegroepen[],3,FALSE)*VLOOKUP($L291,Vloersoorten[],3,FALSE)*VLOOKUP($X291,Frequenties[],3,FALSE)*VLOOKUP(#REF!,Locaties[],3,FALSE),0)</f>
        <v>0</v>
      </c>
      <c r="AA291" s="33"/>
      <c r="AB291" s="33"/>
      <c r="AC291" s="33">
        <f>Ruimtestaat[[#This Row],[uren / jaar weekend]]*Tariefsopbouw!$D$40</f>
        <v>0</v>
      </c>
      <c r="AD291" s="88">
        <f>Ruimtestaat[[#This Row],[Prest. (m2 /jaar) weekend]]+Ruimtestaat[[#This Row],[Prest. (m2 /jaar) werkdagen]]</f>
        <v>2400</v>
      </c>
      <c r="AE291" s="88">
        <f>Ruimtestaat[[#This Row],[uren / jaar weekend]]+Ruimtestaat[[#This Row],[uren / jaar werkdagen]]</f>
        <v>0</v>
      </c>
      <c r="AF291" s="89">
        <f>Ruimtestaat[[#This Row],[kosten / jaar weekend]]+Ruimtestaat[[#This Row],[kosten / jaar werkdagen]]</f>
        <v>0</v>
      </c>
    </row>
    <row r="292" spans="1:32" ht="15" customHeight="1">
      <c r="A292" s="213">
        <v>3</v>
      </c>
      <c r="B292" s="200" t="str">
        <f>VLOOKUP(Ruimtestaat[[#This Row],[Code]],Locaties[#All],2,FALSE)</f>
        <v>Karel de Grote College</v>
      </c>
      <c r="C292" s="240" t="str">
        <f>VLOOKUP(Ruimtestaat[[#This Row],[Code]],Locaties[#All],4,FALSE)</f>
        <v>Wilhelminasingel 15</v>
      </c>
      <c r="D292" s="240" t="str">
        <f>VLOOKUP(Ruimtestaat[[#This Row],[Code]],Locaties[#All],5,FALSE)</f>
        <v>6524 AJ</v>
      </c>
      <c r="E292" s="240" t="str">
        <f>VLOOKUP(Ruimtestaat[[#This Row],[Code]],Locaties[#All],6,FALSE)</f>
        <v>Nijmegen</v>
      </c>
      <c r="F292" s="241" t="s">
        <v>848</v>
      </c>
      <c r="G292" s="200">
        <v>1</v>
      </c>
      <c r="H292" s="200" t="s">
        <v>797</v>
      </c>
      <c r="I292" s="241" t="s">
        <v>708</v>
      </c>
      <c r="J292" s="240">
        <v>5</v>
      </c>
      <c r="K292" s="256" t="str">
        <f>VLOOKUP(Ruimtestaat[[#This Row],[Ruimte code]],Ruimtegroepen[#All],2,FALSE)</f>
        <v>Sanitair</v>
      </c>
      <c r="L292" s="240" t="s">
        <v>111</v>
      </c>
      <c r="M292" s="268" t="s">
        <v>648</v>
      </c>
      <c r="N292" s="269">
        <v>12.2</v>
      </c>
      <c r="O292" s="212"/>
      <c r="P292" s="240" t="str">
        <f>VLOOKUP(Ruimtestaat[[#This Row],[Ruimte code]],Ruimtegroepen[#All],4,FALSE)</f>
        <v>S  (Sanitair)</v>
      </c>
      <c r="Q292" s="213">
        <v>40</v>
      </c>
      <c r="R292" s="213" t="s">
        <v>2</v>
      </c>
      <c r="S292" s="213">
        <f>IF(Q292&gt;0,IF(RIGHT(Ruimtestaat[[#This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2" s="213">
        <f>IF(S292&gt;0,VLOOKUP($J292,Ruimtegroepen[],3,FALSE)*VLOOKUP($L292,Vloersoorten[],3,FALSE)*VLOOKUP($R292,Frequenties[],3,FALSE)*VLOOKUP($A292,Locaties[],3,FALSE),0)</f>
        <v>0</v>
      </c>
      <c r="U292" s="213">
        <f>Ruimtestaat[[#This Row],[Uitvoeringen werkdagen]]*Ruimtestaat[[#This Row],[Oppervlak (netto)]]</f>
        <v>2440</v>
      </c>
      <c r="V292" s="253">
        <f>IF(T292&gt;0,Ruimtestaat[[#This Row],[Prest. (m2 /jaar) werkdagen]]/Ruimtestaat[[#This Row],[Norm (m2/uur) werkdagen]],0)</f>
        <v>0</v>
      </c>
      <c r="W292" s="254">
        <f>Ruimtestaat[[#This Row],[uren / jaar werkdagen]]*Tariefsopbouw!$D$38</f>
        <v>0</v>
      </c>
      <c r="X292" s="33"/>
      <c r="Y292" s="33">
        <f>IF(Ruimtestaat[[#This Row],[Frequentie weekend]]&gt;0,VALUE(LEFT(X292,1))*Q292,0)</f>
        <v>0</v>
      </c>
      <c r="Z292" s="33">
        <f>IF($Y292&gt;0,VLOOKUP($J292,Ruimtegroepen[],3,FALSE)*VLOOKUP($L292,Vloersoorten[],3,FALSE)*VLOOKUP($X292,Frequenties[],3,FALSE)*VLOOKUP(#REF!,Locaties[],3,FALSE),0)</f>
        <v>0</v>
      </c>
      <c r="AA292" s="33"/>
      <c r="AB292" s="33"/>
      <c r="AC292" s="33">
        <f>Ruimtestaat[[#This Row],[uren / jaar weekend]]*Tariefsopbouw!$D$40</f>
        <v>0</v>
      </c>
      <c r="AD292" s="88">
        <f>Ruimtestaat[[#This Row],[Prest. (m2 /jaar) weekend]]+Ruimtestaat[[#This Row],[Prest. (m2 /jaar) werkdagen]]</f>
        <v>2440</v>
      </c>
      <c r="AE292" s="88">
        <f>Ruimtestaat[[#This Row],[uren / jaar weekend]]+Ruimtestaat[[#This Row],[uren / jaar werkdagen]]</f>
        <v>0</v>
      </c>
      <c r="AF292" s="89">
        <f>Ruimtestaat[[#This Row],[kosten / jaar weekend]]+Ruimtestaat[[#This Row],[kosten / jaar werkdagen]]</f>
        <v>0</v>
      </c>
    </row>
    <row r="293" spans="1:32" ht="15" customHeight="1">
      <c r="A293" s="213">
        <v>3</v>
      </c>
      <c r="B293" s="200" t="str">
        <f>VLOOKUP(Ruimtestaat[[#This Row],[Code]],Locaties[#All],2,FALSE)</f>
        <v>Karel de Grote College</v>
      </c>
      <c r="C293" s="240" t="str">
        <f>VLOOKUP(Ruimtestaat[[#This Row],[Code]],Locaties[#All],4,FALSE)</f>
        <v>Wilhelminasingel 15</v>
      </c>
      <c r="D293" s="240" t="str">
        <f>VLOOKUP(Ruimtestaat[[#This Row],[Code]],Locaties[#All],5,FALSE)</f>
        <v>6524 AJ</v>
      </c>
      <c r="E293" s="240" t="str">
        <f>VLOOKUP(Ruimtestaat[[#This Row],[Code]],Locaties[#All],6,FALSE)</f>
        <v>Nijmegen</v>
      </c>
      <c r="F293" s="241" t="s">
        <v>848</v>
      </c>
      <c r="G293" s="200">
        <v>1</v>
      </c>
      <c r="H293" s="200" t="s">
        <v>798</v>
      </c>
      <c r="I293" s="241" t="s">
        <v>709</v>
      </c>
      <c r="J293" s="213">
        <v>6</v>
      </c>
      <c r="K293" s="256" t="str">
        <f>VLOOKUP(Ruimtestaat[[#This Row],[Ruimte code]],Ruimtegroepen[#All],2,FALSE)</f>
        <v>Gangen/hallen</v>
      </c>
      <c r="L293" s="240" t="s">
        <v>111</v>
      </c>
      <c r="M293" s="268" t="s">
        <v>648</v>
      </c>
      <c r="N293" s="269">
        <v>26.1</v>
      </c>
      <c r="O293" s="212"/>
      <c r="P293" s="240" t="str">
        <f>VLOOKUP(Ruimtestaat[[#This Row],[Ruimte code]],Ruimtegroepen[#All],4,FALSE)</f>
        <v>V  (Verkeersruimte)</v>
      </c>
      <c r="Q293" s="213">
        <v>40</v>
      </c>
      <c r="R293" s="213" t="s">
        <v>2</v>
      </c>
      <c r="S293" s="213">
        <f>IF(Q293&gt;0,IF(RIGHT(Ruimtestaat[[#This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3" s="213">
        <f>IF(S293&gt;0,VLOOKUP($J293,Ruimtegroepen[],3,FALSE)*VLOOKUP($L293,Vloersoorten[],3,FALSE)*VLOOKUP($R293,Frequenties[],3,FALSE)*VLOOKUP($A293,Locaties[],3,FALSE),0)</f>
        <v>0</v>
      </c>
      <c r="U293" s="213">
        <f>Ruimtestaat[[#This Row],[Uitvoeringen werkdagen]]*Ruimtestaat[[#This Row],[Oppervlak (netto)]]</f>
        <v>5220</v>
      </c>
      <c r="V293" s="253">
        <f>IF(T293&gt;0,Ruimtestaat[[#This Row],[Prest. (m2 /jaar) werkdagen]]/Ruimtestaat[[#This Row],[Norm (m2/uur) werkdagen]],0)</f>
        <v>0</v>
      </c>
      <c r="W293" s="254">
        <f>Ruimtestaat[[#This Row],[uren / jaar werkdagen]]*Tariefsopbouw!$D$38</f>
        <v>0</v>
      </c>
      <c r="X293" s="33"/>
      <c r="Y293" s="33">
        <f>IF(Ruimtestaat[[#This Row],[Frequentie weekend]]&gt;0,VALUE(LEFT(X293,1))*Q293,0)</f>
        <v>0</v>
      </c>
      <c r="Z293" s="33">
        <f>IF($Y293&gt;0,VLOOKUP($J293,Ruimtegroepen[],3,FALSE)*VLOOKUP($L293,Vloersoorten[],3,FALSE)*VLOOKUP($X293,Frequenties[],3,FALSE)*VLOOKUP(#REF!,Locaties[],3,FALSE),0)</f>
        <v>0</v>
      </c>
      <c r="AA293" s="33"/>
      <c r="AB293" s="33"/>
      <c r="AC293" s="33">
        <f>Ruimtestaat[[#This Row],[uren / jaar weekend]]*Tariefsopbouw!$D$40</f>
        <v>0</v>
      </c>
      <c r="AD293" s="88">
        <f>Ruimtestaat[[#This Row],[Prest. (m2 /jaar) weekend]]+Ruimtestaat[[#This Row],[Prest. (m2 /jaar) werkdagen]]</f>
        <v>5220</v>
      </c>
      <c r="AE293" s="88">
        <f>Ruimtestaat[[#This Row],[uren / jaar weekend]]+Ruimtestaat[[#This Row],[uren / jaar werkdagen]]</f>
        <v>0</v>
      </c>
      <c r="AF293" s="89">
        <f>Ruimtestaat[[#This Row],[kosten / jaar weekend]]+Ruimtestaat[[#This Row],[kosten / jaar werkdagen]]</f>
        <v>0</v>
      </c>
    </row>
    <row r="294" spans="1:32" ht="15" customHeight="1">
      <c r="A294" s="213">
        <v>3</v>
      </c>
      <c r="B294" s="200" t="str">
        <f>VLOOKUP(Ruimtestaat[[#This Row],[Code]],Locaties[#All],2,FALSE)</f>
        <v>Karel de Grote College</v>
      </c>
      <c r="C294" s="240" t="str">
        <f>VLOOKUP(Ruimtestaat[[#This Row],[Code]],Locaties[#All],4,FALSE)</f>
        <v>Wilhelminasingel 15</v>
      </c>
      <c r="D294" s="240" t="str">
        <f>VLOOKUP(Ruimtestaat[[#This Row],[Code]],Locaties[#All],5,FALSE)</f>
        <v>6524 AJ</v>
      </c>
      <c r="E294" s="240" t="str">
        <f>VLOOKUP(Ruimtestaat[[#This Row],[Code]],Locaties[#All],6,FALSE)</f>
        <v>Nijmegen</v>
      </c>
      <c r="F294" s="241" t="s">
        <v>848</v>
      </c>
      <c r="G294" s="200">
        <v>1</v>
      </c>
      <c r="H294" s="200" t="s">
        <v>799</v>
      </c>
      <c r="I294" s="241" t="s">
        <v>836</v>
      </c>
      <c r="J294" s="240">
        <v>21</v>
      </c>
      <c r="K294" s="256" t="str">
        <f>VLOOKUP(Ruimtestaat[[#This Row],[Ruimte code]],Ruimtegroepen[#All],2,FALSE)</f>
        <v>Niet in onderhoud</v>
      </c>
      <c r="L294" s="240" t="s">
        <v>111</v>
      </c>
      <c r="M294" s="268" t="s">
        <v>648</v>
      </c>
      <c r="N294" s="269"/>
      <c r="O294" s="269">
        <v>11.9</v>
      </c>
      <c r="P294" s="240" t="str">
        <f>VLOOKUP(Ruimtestaat[[#This Row],[Ruimte code]],Ruimtegroepen[#All],4,FALSE)</f>
        <v>Niet in onderhoud</v>
      </c>
      <c r="Q294" s="213">
        <v>0</v>
      </c>
      <c r="R294" s="213"/>
      <c r="S294" s="213">
        <f>IF(Q294&gt;0,IF(RIGHT(Ruimtestaat[[#This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294" s="213">
        <f>IF(S294&gt;0,VLOOKUP($J294,Ruimtegroepen[],3,FALSE)*VLOOKUP($L294,Vloersoorten[],3,FALSE)*VLOOKUP($R294,Frequenties[],3,FALSE)*VLOOKUP($A294,Locaties[],3,FALSE),0)</f>
        <v>0</v>
      </c>
      <c r="U294" s="213">
        <f>Ruimtestaat[[#This Row],[Uitvoeringen werkdagen]]*Ruimtestaat[[#This Row],[Oppervlak (netto)]]</f>
        <v>0</v>
      </c>
      <c r="V294" s="253">
        <f>IF(T294&gt;0,Ruimtestaat[[#This Row],[Prest. (m2 /jaar) werkdagen]]/Ruimtestaat[[#This Row],[Norm (m2/uur) werkdagen]],0)</f>
        <v>0</v>
      </c>
      <c r="W294" s="254">
        <f>Ruimtestaat[[#This Row],[uren / jaar werkdagen]]*Tariefsopbouw!$D$38</f>
        <v>0</v>
      </c>
      <c r="X294" s="33"/>
      <c r="Y294" s="33">
        <f>IF(Ruimtestaat[[#This Row],[Frequentie weekend]]&gt;0,VALUE(LEFT(X294,1))*Q294,0)</f>
        <v>0</v>
      </c>
      <c r="Z294" s="33">
        <f>IF($Y294&gt;0,VLOOKUP($J294,Ruimtegroepen[],3,FALSE)*VLOOKUP($L294,Vloersoorten[],3,FALSE)*VLOOKUP($X294,Frequenties[],3,FALSE)*VLOOKUP(#REF!,Locaties[],3,FALSE),0)</f>
        <v>0</v>
      </c>
      <c r="AA294" s="33"/>
      <c r="AB294" s="33"/>
      <c r="AC294" s="33">
        <f>Ruimtestaat[[#This Row],[uren / jaar weekend]]*Tariefsopbouw!$D$40</f>
        <v>0</v>
      </c>
      <c r="AD294" s="88">
        <f>Ruimtestaat[[#This Row],[Prest. (m2 /jaar) weekend]]+Ruimtestaat[[#This Row],[Prest. (m2 /jaar) werkdagen]]</f>
        <v>0</v>
      </c>
      <c r="AE294" s="88">
        <f>Ruimtestaat[[#This Row],[uren / jaar weekend]]+Ruimtestaat[[#This Row],[uren / jaar werkdagen]]</f>
        <v>0</v>
      </c>
      <c r="AF294" s="89">
        <f>Ruimtestaat[[#This Row],[kosten / jaar weekend]]+Ruimtestaat[[#This Row],[kosten / jaar werkdagen]]</f>
        <v>0</v>
      </c>
    </row>
    <row r="295" spans="1:32" ht="15" customHeight="1">
      <c r="A295" s="213">
        <v>3</v>
      </c>
      <c r="B295" s="200" t="str">
        <f>VLOOKUP(Ruimtestaat[[#This Row],[Code]],Locaties[#All],2,FALSE)</f>
        <v>Karel de Grote College</v>
      </c>
      <c r="C295" s="240" t="str">
        <f>VLOOKUP(Ruimtestaat[[#This Row],[Code]],Locaties[#All],4,FALSE)</f>
        <v>Wilhelminasingel 15</v>
      </c>
      <c r="D295" s="240" t="str">
        <f>VLOOKUP(Ruimtestaat[[#This Row],[Code]],Locaties[#All],5,FALSE)</f>
        <v>6524 AJ</v>
      </c>
      <c r="E295" s="240" t="str">
        <f>VLOOKUP(Ruimtestaat[[#This Row],[Code]],Locaties[#All],6,FALSE)</f>
        <v>Nijmegen</v>
      </c>
      <c r="F295" s="241" t="s">
        <v>848</v>
      </c>
      <c r="G295" s="200">
        <v>1</v>
      </c>
      <c r="H295" s="200" t="s">
        <v>800</v>
      </c>
      <c r="I295" s="241" t="s">
        <v>709</v>
      </c>
      <c r="J295" s="213">
        <v>6</v>
      </c>
      <c r="K295" s="256" t="str">
        <f>VLOOKUP(Ruimtestaat[[#This Row],[Ruimte code]],Ruimtegroepen[#All],2,FALSE)</f>
        <v>Gangen/hallen</v>
      </c>
      <c r="L295" s="240" t="s">
        <v>111</v>
      </c>
      <c r="M295" s="268" t="s">
        <v>648</v>
      </c>
      <c r="N295" s="269">
        <v>25.8</v>
      </c>
      <c r="O295" s="212"/>
      <c r="P295" s="240" t="str">
        <f>VLOOKUP(Ruimtestaat[[#This Row],[Ruimte code]],Ruimtegroepen[#All],4,FALSE)</f>
        <v>V  (Verkeersruimte)</v>
      </c>
      <c r="Q295" s="213">
        <v>40</v>
      </c>
      <c r="R295" s="213" t="s">
        <v>2</v>
      </c>
      <c r="S295" s="213">
        <f>IF(Q295&gt;0,IF(RIGHT(Ruimtestaat[[#This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5" s="213">
        <f>IF(S295&gt;0,VLOOKUP($J295,Ruimtegroepen[],3,FALSE)*VLOOKUP($L295,Vloersoorten[],3,FALSE)*VLOOKUP($R295,Frequenties[],3,FALSE)*VLOOKUP($A295,Locaties[],3,FALSE),0)</f>
        <v>0</v>
      </c>
      <c r="U295" s="213">
        <f>Ruimtestaat[[#This Row],[Uitvoeringen werkdagen]]*Ruimtestaat[[#This Row],[Oppervlak (netto)]]</f>
        <v>5160</v>
      </c>
      <c r="V295" s="253">
        <f>IF(T295&gt;0,Ruimtestaat[[#This Row],[Prest. (m2 /jaar) werkdagen]]/Ruimtestaat[[#This Row],[Norm (m2/uur) werkdagen]],0)</f>
        <v>0</v>
      </c>
      <c r="W295" s="254">
        <f>Ruimtestaat[[#This Row],[uren / jaar werkdagen]]*Tariefsopbouw!$D$38</f>
        <v>0</v>
      </c>
      <c r="X295" s="33"/>
      <c r="Y295" s="33">
        <f>IF(Ruimtestaat[[#This Row],[Frequentie weekend]]&gt;0,VALUE(LEFT(X295,1))*Q295,0)</f>
        <v>0</v>
      </c>
      <c r="Z295" s="33">
        <f>IF($Y295&gt;0,VLOOKUP($J295,Ruimtegroepen[],3,FALSE)*VLOOKUP($L295,Vloersoorten[],3,FALSE)*VLOOKUP($X295,Frequenties[],3,FALSE)*VLOOKUP(#REF!,Locaties[],3,FALSE),0)</f>
        <v>0</v>
      </c>
      <c r="AA295" s="33"/>
      <c r="AB295" s="33"/>
      <c r="AC295" s="33">
        <f>Ruimtestaat[[#This Row],[uren / jaar weekend]]*Tariefsopbouw!$D$40</f>
        <v>0</v>
      </c>
      <c r="AD295" s="88">
        <f>Ruimtestaat[[#This Row],[Prest. (m2 /jaar) weekend]]+Ruimtestaat[[#This Row],[Prest. (m2 /jaar) werkdagen]]</f>
        <v>5160</v>
      </c>
      <c r="AE295" s="88">
        <f>Ruimtestaat[[#This Row],[uren / jaar weekend]]+Ruimtestaat[[#This Row],[uren / jaar werkdagen]]</f>
        <v>0</v>
      </c>
      <c r="AF295" s="89">
        <f>Ruimtestaat[[#This Row],[kosten / jaar weekend]]+Ruimtestaat[[#This Row],[kosten / jaar werkdagen]]</f>
        <v>0</v>
      </c>
    </row>
    <row r="296" spans="1:32" ht="15" customHeight="1">
      <c r="A296" s="213">
        <v>3</v>
      </c>
      <c r="B296" s="200" t="str">
        <f>VLOOKUP(Ruimtestaat[[#This Row],[Code]],Locaties[#All],2,FALSE)</f>
        <v>Karel de Grote College</v>
      </c>
      <c r="C296" s="240" t="str">
        <f>VLOOKUP(Ruimtestaat[[#This Row],[Code]],Locaties[#All],4,FALSE)</f>
        <v>Wilhelminasingel 15</v>
      </c>
      <c r="D296" s="240" t="str">
        <f>VLOOKUP(Ruimtestaat[[#This Row],[Code]],Locaties[#All],5,FALSE)</f>
        <v>6524 AJ</v>
      </c>
      <c r="E296" s="240" t="str">
        <f>VLOOKUP(Ruimtestaat[[#This Row],[Code]],Locaties[#All],6,FALSE)</f>
        <v>Nijmegen</v>
      </c>
      <c r="F296" s="241" t="s">
        <v>848</v>
      </c>
      <c r="G296" s="200">
        <v>1</v>
      </c>
      <c r="H296" s="200" t="s">
        <v>801</v>
      </c>
      <c r="I296" s="241" t="s">
        <v>837</v>
      </c>
      <c r="J296" s="240">
        <v>2</v>
      </c>
      <c r="K296" s="256" t="str">
        <f>VLOOKUP(Ruimtestaat[[#This Row],[Ruimte code]],Ruimtegroepen[#All],2,FALSE)</f>
        <v>Kantoren</v>
      </c>
      <c r="L296" s="240" t="s">
        <v>109</v>
      </c>
      <c r="M296" s="268" t="s">
        <v>649</v>
      </c>
      <c r="N296" s="269">
        <v>11.6</v>
      </c>
      <c r="O296" s="212"/>
      <c r="P296" s="240" t="str">
        <f>VLOOKUP(Ruimtestaat[[#This Row],[Ruimte code]],Ruimtegroepen[#All],4,FALSE)</f>
        <v>B  (Bureauruimte)</v>
      </c>
      <c r="Q296" s="213">
        <v>40</v>
      </c>
      <c r="R296" s="213" t="s">
        <v>17</v>
      </c>
      <c r="S296" s="213">
        <f>IF(Q296&gt;0,IF(RIGHT(Ruimtestaat[[#This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T296" s="213">
        <f>IF(S296&gt;0,VLOOKUP($J296,Ruimtegroepen[],3,FALSE)*VLOOKUP($L296,Vloersoorten[],3,FALSE)*VLOOKUP($R296,Frequenties[],3,FALSE)*VLOOKUP($A296,Locaties[],3,FALSE),0)</f>
        <v>0</v>
      </c>
      <c r="U296" s="213">
        <f>Ruimtestaat[[#This Row],[Uitvoeringen werkdagen]]*Ruimtestaat[[#This Row],[Oppervlak (netto)]]</f>
        <v>928</v>
      </c>
      <c r="V296" s="253">
        <f>IF(T296&gt;0,Ruimtestaat[[#This Row],[Prest. (m2 /jaar) werkdagen]]/Ruimtestaat[[#This Row],[Norm (m2/uur) werkdagen]],0)</f>
        <v>0</v>
      </c>
      <c r="W296" s="254">
        <f>Ruimtestaat[[#This Row],[uren / jaar werkdagen]]*Tariefsopbouw!$D$38</f>
        <v>0</v>
      </c>
      <c r="X296" s="33"/>
      <c r="Y296" s="33">
        <f>IF(Ruimtestaat[[#This Row],[Frequentie weekend]]&gt;0,VALUE(LEFT(X296,1))*Q296,0)</f>
        <v>0</v>
      </c>
      <c r="Z296" s="33">
        <f>IF($Y296&gt;0,VLOOKUP($J296,Ruimtegroepen[],3,FALSE)*VLOOKUP($L296,Vloersoorten[],3,FALSE)*VLOOKUP($X296,Frequenties[],3,FALSE)*VLOOKUP(#REF!,Locaties[],3,FALSE),0)</f>
        <v>0</v>
      </c>
      <c r="AA296" s="33"/>
      <c r="AB296" s="33"/>
      <c r="AC296" s="33">
        <f>Ruimtestaat[[#This Row],[uren / jaar weekend]]*Tariefsopbouw!$D$40</f>
        <v>0</v>
      </c>
      <c r="AD296" s="88">
        <f>Ruimtestaat[[#This Row],[Prest. (m2 /jaar) weekend]]+Ruimtestaat[[#This Row],[Prest. (m2 /jaar) werkdagen]]</f>
        <v>928</v>
      </c>
      <c r="AE296" s="88">
        <f>Ruimtestaat[[#This Row],[uren / jaar weekend]]+Ruimtestaat[[#This Row],[uren / jaar werkdagen]]</f>
        <v>0</v>
      </c>
      <c r="AF296" s="89">
        <f>Ruimtestaat[[#This Row],[kosten / jaar weekend]]+Ruimtestaat[[#This Row],[kosten / jaar werkdagen]]</f>
        <v>0</v>
      </c>
    </row>
    <row r="297" spans="1:32" ht="15" customHeight="1">
      <c r="A297" s="213">
        <v>3</v>
      </c>
      <c r="B297" s="200" t="str">
        <f>VLOOKUP(Ruimtestaat[[#This Row],[Code]],Locaties[#All],2,FALSE)</f>
        <v>Karel de Grote College</v>
      </c>
      <c r="C297" s="240" t="str">
        <f>VLOOKUP(Ruimtestaat[[#This Row],[Code]],Locaties[#All],4,FALSE)</f>
        <v>Wilhelminasingel 15</v>
      </c>
      <c r="D297" s="240" t="str">
        <f>VLOOKUP(Ruimtestaat[[#This Row],[Code]],Locaties[#All],5,FALSE)</f>
        <v>6524 AJ</v>
      </c>
      <c r="E297" s="240" t="str">
        <f>VLOOKUP(Ruimtestaat[[#This Row],[Code]],Locaties[#All],6,FALSE)</f>
        <v>Nijmegen</v>
      </c>
      <c r="F297" s="241" t="s">
        <v>848</v>
      </c>
      <c r="G297" s="200">
        <v>1</v>
      </c>
      <c r="H297" s="200" t="s">
        <v>802</v>
      </c>
      <c r="I297" s="241" t="s">
        <v>838</v>
      </c>
      <c r="J297" s="200">
        <v>5</v>
      </c>
      <c r="K297" s="256" t="str">
        <f>VLOOKUP(Ruimtestaat[[#This Row],[Ruimte code]],Ruimtegroepen[#All],2,FALSE)</f>
        <v>Sanitair</v>
      </c>
      <c r="L297" s="240" t="s">
        <v>111</v>
      </c>
      <c r="M297" s="268" t="s">
        <v>648</v>
      </c>
      <c r="N297" s="269">
        <v>17.7</v>
      </c>
      <c r="O297" s="212"/>
      <c r="P297" s="240" t="str">
        <f>VLOOKUP(Ruimtestaat[[#This Row],[Ruimte code]],Ruimtegroepen[#All],4,FALSE)</f>
        <v>S  (Sanitair)</v>
      </c>
      <c r="Q297" s="213">
        <v>40</v>
      </c>
      <c r="R297" s="213" t="s">
        <v>2</v>
      </c>
      <c r="S297" s="213">
        <f>IF(Q297&gt;0,IF(RIGHT(Ruimtestaat[[#This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7" s="213">
        <f>IF(S297&gt;0,VLOOKUP($J297,Ruimtegroepen[],3,FALSE)*VLOOKUP($L297,Vloersoorten[],3,FALSE)*VLOOKUP($R297,Frequenties[],3,FALSE)*VLOOKUP($A297,Locaties[],3,FALSE),0)</f>
        <v>0</v>
      </c>
      <c r="U297" s="213">
        <f>Ruimtestaat[[#This Row],[Uitvoeringen werkdagen]]*Ruimtestaat[[#This Row],[Oppervlak (netto)]]</f>
        <v>3540</v>
      </c>
      <c r="V297" s="253">
        <f>IF(T297&gt;0,Ruimtestaat[[#This Row],[Prest. (m2 /jaar) werkdagen]]/Ruimtestaat[[#This Row],[Norm (m2/uur) werkdagen]],0)</f>
        <v>0</v>
      </c>
      <c r="W297" s="254">
        <f>Ruimtestaat[[#This Row],[uren / jaar werkdagen]]*Tariefsopbouw!$D$38</f>
        <v>0</v>
      </c>
      <c r="X297" s="33"/>
      <c r="Y297" s="33">
        <f>IF(Ruimtestaat[[#This Row],[Frequentie weekend]]&gt;0,VALUE(LEFT(X297,1))*Q297,0)</f>
        <v>0</v>
      </c>
      <c r="Z297" s="33">
        <f>IF($Y297&gt;0,VLOOKUP($J297,Ruimtegroepen[],3,FALSE)*VLOOKUP($L297,Vloersoorten[],3,FALSE)*VLOOKUP($X297,Frequenties[],3,FALSE)*VLOOKUP(#REF!,Locaties[],3,FALSE),0)</f>
        <v>0</v>
      </c>
      <c r="AA297" s="33"/>
      <c r="AB297" s="33"/>
      <c r="AC297" s="33">
        <f>Ruimtestaat[[#This Row],[uren / jaar weekend]]*Tariefsopbouw!$D$40</f>
        <v>0</v>
      </c>
      <c r="AD297" s="88">
        <f>Ruimtestaat[[#This Row],[Prest. (m2 /jaar) weekend]]+Ruimtestaat[[#This Row],[Prest. (m2 /jaar) werkdagen]]</f>
        <v>3540</v>
      </c>
      <c r="AE297" s="88">
        <f>Ruimtestaat[[#This Row],[uren / jaar weekend]]+Ruimtestaat[[#This Row],[uren / jaar werkdagen]]</f>
        <v>0</v>
      </c>
      <c r="AF297" s="89">
        <f>Ruimtestaat[[#This Row],[kosten / jaar weekend]]+Ruimtestaat[[#This Row],[kosten / jaar werkdagen]]</f>
        <v>0</v>
      </c>
    </row>
    <row r="298" spans="1:32" ht="15" customHeight="1">
      <c r="A298" s="213">
        <v>3</v>
      </c>
      <c r="B298" s="200" t="str">
        <f>VLOOKUP(Ruimtestaat[[#This Row],[Code]],Locaties[#All],2,FALSE)</f>
        <v>Karel de Grote College</v>
      </c>
      <c r="C298" s="240" t="str">
        <f>VLOOKUP(Ruimtestaat[[#This Row],[Code]],Locaties[#All],4,FALSE)</f>
        <v>Wilhelminasingel 15</v>
      </c>
      <c r="D298" s="240" t="str">
        <f>VLOOKUP(Ruimtestaat[[#This Row],[Code]],Locaties[#All],5,FALSE)</f>
        <v>6524 AJ</v>
      </c>
      <c r="E298" s="240" t="str">
        <f>VLOOKUP(Ruimtestaat[[#This Row],[Code]],Locaties[#All],6,FALSE)</f>
        <v>Nijmegen</v>
      </c>
      <c r="F298" s="241" t="s">
        <v>848</v>
      </c>
      <c r="G298" s="200">
        <v>1</v>
      </c>
      <c r="H298" s="200" t="s">
        <v>803</v>
      </c>
      <c r="I298" s="241" t="s">
        <v>839</v>
      </c>
      <c r="J298" s="200">
        <v>5</v>
      </c>
      <c r="K298" s="256" t="str">
        <f>VLOOKUP(Ruimtestaat[[#This Row],[Ruimte code]],Ruimtegroepen[#All],2,FALSE)</f>
        <v>Sanitair</v>
      </c>
      <c r="L298" s="240" t="s">
        <v>111</v>
      </c>
      <c r="M298" s="268" t="s">
        <v>648</v>
      </c>
      <c r="N298" s="269">
        <v>17.7</v>
      </c>
      <c r="O298" s="212"/>
      <c r="P298" s="240" t="str">
        <f>VLOOKUP(Ruimtestaat[[#This Row],[Ruimte code]],Ruimtegroepen[#All],4,FALSE)</f>
        <v>S  (Sanitair)</v>
      </c>
      <c r="Q298" s="213">
        <v>40</v>
      </c>
      <c r="R298" s="213" t="s">
        <v>2</v>
      </c>
      <c r="S298" s="213">
        <f>IF(Q298&gt;0,IF(RIGHT(Ruimtestaat[[#This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8" s="213">
        <f>IF(S298&gt;0,VLOOKUP($J298,Ruimtegroepen[],3,FALSE)*VLOOKUP($L298,Vloersoorten[],3,FALSE)*VLOOKUP($R298,Frequenties[],3,FALSE)*VLOOKUP($A298,Locaties[],3,FALSE),0)</f>
        <v>0</v>
      </c>
      <c r="U298" s="213">
        <f>Ruimtestaat[[#This Row],[Uitvoeringen werkdagen]]*Ruimtestaat[[#This Row],[Oppervlak (netto)]]</f>
        <v>3540</v>
      </c>
      <c r="V298" s="253">
        <f>IF(T298&gt;0,Ruimtestaat[[#This Row],[Prest. (m2 /jaar) werkdagen]]/Ruimtestaat[[#This Row],[Norm (m2/uur) werkdagen]],0)</f>
        <v>0</v>
      </c>
      <c r="W298" s="254">
        <f>Ruimtestaat[[#This Row],[uren / jaar werkdagen]]*Tariefsopbouw!$D$38</f>
        <v>0</v>
      </c>
      <c r="X298" s="33"/>
      <c r="Y298" s="33">
        <f>IF(Ruimtestaat[[#This Row],[Frequentie weekend]]&gt;0,VALUE(LEFT(X298,1))*Q298,0)</f>
        <v>0</v>
      </c>
      <c r="Z298" s="33">
        <f>IF($Y298&gt;0,VLOOKUP($J298,Ruimtegroepen[],3,FALSE)*VLOOKUP($L298,Vloersoorten[],3,FALSE)*VLOOKUP($X298,Frequenties[],3,FALSE)*VLOOKUP(#REF!,Locaties[],3,FALSE),0)</f>
        <v>0</v>
      </c>
      <c r="AA298" s="33"/>
      <c r="AB298" s="33"/>
      <c r="AC298" s="33">
        <f>Ruimtestaat[[#This Row],[uren / jaar weekend]]*Tariefsopbouw!$D$40</f>
        <v>0</v>
      </c>
      <c r="AD298" s="88">
        <f>Ruimtestaat[[#This Row],[Prest. (m2 /jaar) weekend]]+Ruimtestaat[[#This Row],[Prest. (m2 /jaar) werkdagen]]</f>
        <v>3540</v>
      </c>
      <c r="AE298" s="88">
        <f>Ruimtestaat[[#This Row],[uren / jaar weekend]]+Ruimtestaat[[#This Row],[uren / jaar werkdagen]]</f>
        <v>0</v>
      </c>
      <c r="AF298" s="89">
        <f>Ruimtestaat[[#This Row],[kosten / jaar weekend]]+Ruimtestaat[[#This Row],[kosten / jaar werkdagen]]</f>
        <v>0</v>
      </c>
    </row>
    <row r="299" spans="1:32" ht="15" customHeight="1">
      <c r="A299" s="213">
        <v>3</v>
      </c>
      <c r="B299" s="200" t="str">
        <f>VLOOKUP(Ruimtestaat[[#This Row],[Code]],Locaties[#All],2,FALSE)</f>
        <v>Karel de Grote College</v>
      </c>
      <c r="C299" s="240" t="str">
        <f>VLOOKUP(Ruimtestaat[[#This Row],[Code]],Locaties[#All],4,FALSE)</f>
        <v>Wilhelminasingel 15</v>
      </c>
      <c r="D299" s="240" t="str">
        <f>VLOOKUP(Ruimtestaat[[#This Row],[Code]],Locaties[#All],5,FALSE)</f>
        <v>6524 AJ</v>
      </c>
      <c r="E299" s="240" t="str">
        <f>VLOOKUP(Ruimtestaat[[#This Row],[Code]],Locaties[#All],6,FALSE)</f>
        <v>Nijmegen</v>
      </c>
      <c r="F299" s="241" t="s">
        <v>845</v>
      </c>
      <c r="G299" s="200">
        <v>2</v>
      </c>
      <c r="H299" s="200" t="s">
        <v>841</v>
      </c>
      <c r="I299" s="241" t="s">
        <v>673</v>
      </c>
      <c r="J299" s="200">
        <v>16</v>
      </c>
      <c r="K299" s="256" t="str">
        <f>VLOOKUP(Ruimtestaat[[#This Row],[Ruimte code]],Ruimtegroepen[#All],2,FALSE)</f>
        <v>Lokaal</v>
      </c>
      <c r="L299" s="213" t="s">
        <v>110</v>
      </c>
      <c r="M299" s="268" t="s">
        <v>644</v>
      </c>
      <c r="N299" s="269">
        <v>70</v>
      </c>
      <c r="O299" s="212"/>
      <c r="P299" s="240" t="str">
        <f>VLOOKUP(Ruimtestaat[[#This Row],[Ruimte code]],Ruimtegroepen[#All],4,FALSE)</f>
        <v>L  (Lesruimte)</v>
      </c>
      <c r="Q299" s="213">
        <v>40</v>
      </c>
      <c r="R299" s="213" t="s">
        <v>2</v>
      </c>
      <c r="S299" s="213">
        <f>IF(Q299&gt;0,IF(RIGHT(Ruimtestaat[[#This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299" s="213">
        <f>IF(S299&gt;0,VLOOKUP($J299,Ruimtegroepen[],3,FALSE)*VLOOKUP($L299,Vloersoorten[],3,FALSE)*VLOOKUP($R299,Frequenties[],3,FALSE)*VLOOKUP($A299,Locaties[],3,FALSE),0)</f>
        <v>0</v>
      </c>
      <c r="U299" s="213">
        <f>Ruimtestaat[[#This Row],[Uitvoeringen werkdagen]]*Ruimtestaat[[#This Row],[Oppervlak (netto)]]</f>
        <v>14000</v>
      </c>
      <c r="V299" s="253">
        <f>IF(T299&gt;0,Ruimtestaat[[#This Row],[Prest. (m2 /jaar) werkdagen]]/Ruimtestaat[[#This Row],[Norm (m2/uur) werkdagen]],0)</f>
        <v>0</v>
      </c>
      <c r="W299" s="254">
        <f>Ruimtestaat[[#This Row],[uren / jaar werkdagen]]*Tariefsopbouw!$D$38</f>
        <v>0</v>
      </c>
      <c r="X299" s="33"/>
      <c r="Y299" s="33">
        <f>IF(Ruimtestaat[[#This Row],[Frequentie weekend]]&gt;0,VALUE(LEFT(X299,1))*Q299,0)</f>
        <v>0</v>
      </c>
      <c r="Z299" s="33">
        <f>IF($Y299&gt;0,VLOOKUP($J299,Ruimtegroepen[],3,FALSE)*VLOOKUP($L299,Vloersoorten[],3,FALSE)*VLOOKUP($X299,Frequenties[],3,FALSE)*VLOOKUP(#REF!,Locaties[],3,FALSE),0)</f>
        <v>0</v>
      </c>
      <c r="AA299" s="33"/>
      <c r="AB299" s="33"/>
      <c r="AC299" s="33">
        <f>Ruimtestaat[[#This Row],[uren / jaar weekend]]*Tariefsopbouw!$D$40</f>
        <v>0</v>
      </c>
      <c r="AD299" s="88">
        <f>Ruimtestaat[[#This Row],[Prest. (m2 /jaar) weekend]]+Ruimtestaat[[#This Row],[Prest. (m2 /jaar) werkdagen]]</f>
        <v>14000</v>
      </c>
      <c r="AE299" s="88">
        <f>Ruimtestaat[[#This Row],[uren / jaar weekend]]+Ruimtestaat[[#This Row],[uren / jaar werkdagen]]</f>
        <v>0</v>
      </c>
      <c r="AF299" s="89">
        <f>Ruimtestaat[[#This Row],[kosten / jaar weekend]]+Ruimtestaat[[#This Row],[kosten / jaar werkdagen]]</f>
        <v>0</v>
      </c>
    </row>
    <row r="300" spans="1:32" ht="15" customHeight="1">
      <c r="A300" s="213">
        <v>3</v>
      </c>
      <c r="B300" s="200" t="str">
        <f>VLOOKUP(Ruimtestaat[[#This Row],[Code]],Locaties[#All],2,FALSE)</f>
        <v>Karel de Grote College</v>
      </c>
      <c r="C300" s="240" t="str">
        <f>VLOOKUP(Ruimtestaat[[#This Row],[Code]],Locaties[#All],4,FALSE)</f>
        <v>Wilhelminasingel 15</v>
      </c>
      <c r="D300" s="240" t="str">
        <f>VLOOKUP(Ruimtestaat[[#This Row],[Code]],Locaties[#All],5,FALSE)</f>
        <v>6524 AJ</v>
      </c>
      <c r="E300" s="240" t="str">
        <f>VLOOKUP(Ruimtestaat[[#This Row],[Code]],Locaties[#All],6,FALSE)</f>
        <v>Nijmegen</v>
      </c>
      <c r="F300" s="241" t="s">
        <v>845</v>
      </c>
      <c r="G300" s="200">
        <v>2</v>
      </c>
      <c r="H300" s="200" t="s">
        <v>842</v>
      </c>
      <c r="I300" s="241" t="s">
        <v>673</v>
      </c>
      <c r="J300" s="200">
        <v>16</v>
      </c>
      <c r="K300" s="256" t="str">
        <f>VLOOKUP(Ruimtestaat[[#This Row],[Ruimte code]],Ruimtegroepen[#All],2,FALSE)</f>
        <v>Lokaal</v>
      </c>
      <c r="L300" s="213" t="s">
        <v>110</v>
      </c>
      <c r="M300" s="268" t="s">
        <v>644</v>
      </c>
      <c r="N300" s="269">
        <v>49</v>
      </c>
      <c r="O300" s="212"/>
      <c r="P300" s="240" t="str">
        <f>VLOOKUP(Ruimtestaat[[#This Row],[Ruimte code]],Ruimtegroepen[#All],4,FALSE)</f>
        <v>L  (Lesruimte)</v>
      </c>
      <c r="Q300" s="213">
        <v>40</v>
      </c>
      <c r="R300" s="213" t="s">
        <v>2</v>
      </c>
      <c r="S300" s="213">
        <f>IF(Q300&gt;0,IF(RIGHT(Ruimtestaat[[#This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00" s="213">
        <f>IF(S300&gt;0,VLOOKUP($J300,Ruimtegroepen[],3,FALSE)*VLOOKUP($L300,Vloersoorten[],3,FALSE)*VLOOKUP($R300,Frequenties[],3,FALSE)*VLOOKUP($A300,Locaties[],3,FALSE),0)</f>
        <v>0</v>
      </c>
      <c r="U300" s="213">
        <f>Ruimtestaat[[#This Row],[Uitvoeringen werkdagen]]*Ruimtestaat[[#This Row],[Oppervlak (netto)]]</f>
        <v>9800</v>
      </c>
      <c r="V300" s="253">
        <f>IF(T300&gt;0,Ruimtestaat[[#This Row],[Prest. (m2 /jaar) werkdagen]]/Ruimtestaat[[#This Row],[Norm (m2/uur) werkdagen]],0)</f>
        <v>0</v>
      </c>
      <c r="W300" s="254">
        <f>Ruimtestaat[[#This Row],[uren / jaar werkdagen]]*Tariefsopbouw!$D$38</f>
        <v>0</v>
      </c>
      <c r="X300" s="33"/>
      <c r="Y300" s="33">
        <f>IF(Ruimtestaat[[#This Row],[Frequentie weekend]]&gt;0,VALUE(LEFT(X300,1))*Q300,0)</f>
        <v>0</v>
      </c>
      <c r="Z300" s="33">
        <f>IF($Y300&gt;0,VLOOKUP($J300,Ruimtegroepen[],3,FALSE)*VLOOKUP($L300,Vloersoorten[],3,FALSE)*VLOOKUP($X300,Frequenties[],3,FALSE)*VLOOKUP(#REF!,Locaties[],3,FALSE),0)</f>
        <v>0</v>
      </c>
      <c r="AA300" s="33"/>
      <c r="AB300" s="33"/>
      <c r="AC300" s="33">
        <f>Ruimtestaat[[#This Row],[uren / jaar weekend]]*Tariefsopbouw!$D$40</f>
        <v>0</v>
      </c>
      <c r="AD300" s="88">
        <f>Ruimtestaat[[#This Row],[Prest. (m2 /jaar) weekend]]+Ruimtestaat[[#This Row],[Prest. (m2 /jaar) werkdagen]]</f>
        <v>9800</v>
      </c>
      <c r="AE300" s="88">
        <f>Ruimtestaat[[#This Row],[uren / jaar weekend]]+Ruimtestaat[[#This Row],[uren / jaar werkdagen]]</f>
        <v>0</v>
      </c>
      <c r="AF300" s="89">
        <f>Ruimtestaat[[#This Row],[kosten / jaar weekend]]+Ruimtestaat[[#This Row],[kosten / jaar werkdagen]]</f>
        <v>0</v>
      </c>
    </row>
    <row r="301" spans="1:32" ht="15" customHeight="1">
      <c r="A301" s="213">
        <v>3</v>
      </c>
      <c r="B301" s="200" t="str">
        <f>VLOOKUP(Ruimtestaat[[#This Row],[Code]],Locaties[#All],2,FALSE)</f>
        <v>Karel de Grote College</v>
      </c>
      <c r="C301" s="240" t="str">
        <f>VLOOKUP(Ruimtestaat[[#This Row],[Code]],Locaties[#All],4,FALSE)</f>
        <v>Wilhelminasingel 15</v>
      </c>
      <c r="D301" s="240" t="str">
        <f>VLOOKUP(Ruimtestaat[[#This Row],[Code]],Locaties[#All],5,FALSE)</f>
        <v>6524 AJ</v>
      </c>
      <c r="E301" s="240" t="str">
        <f>VLOOKUP(Ruimtestaat[[#This Row],[Code]],Locaties[#All],6,FALSE)</f>
        <v>Nijmegen</v>
      </c>
      <c r="F301" s="241" t="s">
        <v>845</v>
      </c>
      <c r="G301" s="200">
        <v>2</v>
      </c>
      <c r="H301" s="200" t="s">
        <v>572</v>
      </c>
      <c r="I301" s="241" t="s">
        <v>673</v>
      </c>
      <c r="J301" s="200">
        <v>16</v>
      </c>
      <c r="K301" s="256" t="str">
        <f>VLOOKUP(Ruimtestaat[[#This Row],[Ruimte code]],Ruimtegroepen[#All],2,FALSE)</f>
        <v>Lokaal</v>
      </c>
      <c r="L301" s="213" t="s">
        <v>110</v>
      </c>
      <c r="M301" s="268" t="s">
        <v>644</v>
      </c>
      <c r="N301" s="269">
        <v>54</v>
      </c>
      <c r="O301" s="212"/>
      <c r="P301" s="240" t="str">
        <f>VLOOKUP(Ruimtestaat[[#This Row],[Ruimte code]],Ruimtegroepen[#All],4,FALSE)</f>
        <v>L  (Lesruimte)</v>
      </c>
      <c r="Q301" s="213">
        <v>40</v>
      </c>
      <c r="R301" s="213" t="s">
        <v>2</v>
      </c>
      <c r="S301" s="213">
        <f>IF(Q301&gt;0,IF(RIGHT(Ruimtestaat[[#This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01" s="213">
        <f>IF(S301&gt;0,VLOOKUP($J301,Ruimtegroepen[],3,FALSE)*VLOOKUP($L301,Vloersoorten[],3,FALSE)*VLOOKUP($R301,Frequenties[],3,FALSE)*VLOOKUP($A301,Locaties[],3,FALSE),0)</f>
        <v>0</v>
      </c>
      <c r="U301" s="213">
        <f>Ruimtestaat[[#This Row],[Uitvoeringen werkdagen]]*Ruimtestaat[[#This Row],[Oppervlak (netto)]]</f>
        <v>10800</v>
      </c>
      <c r="V301" s="253">
        <f>IF(T301&gt;0,Ruimtestaat[[#This Row],[Prest. (m2 /jaar) werkdagen]]/Ruimtestaat[[#This Row],[Norm (m2/uur) werkdagen]],0)</f>
        <v>0</v>
      </c>
      <c r="W301" s="254">
        <f>Ruimtestaat[[#This Row],[uren / jaar werkdagen]]*Tariefsopbouw!$D$38</f>
        <v>0</v>
      </c>
      <c r="X301" s="33"/>
      <c r="Y301" s="33">
        <f>IF(Ruimtestaat[[#This Row],[Frequentie weekend]]&gt;0,VALUE(LEFT(X301,1))*Q301,0)</f>
        <v>0</v>
      </c>
      <c r="Z301" s="33">
        <f>IF($Y301&gt;0,VLOOKUP($J301,Ruimtegroepen[],3,FALSE)*VLOOKUP($L301,Vloersoorten[],3,FALSE)*VLOOKUP($X301,Frequenties[],3,FALSE)*VLOOKUP(#REF!,Locaties[],3,FALSE),0)</f>
        <v>0</v>
      </c>
      <c r="AA301" s="33"/>
      <c r="AB301" s="33"/>
      <c r="AC301" s="33">
        <f>Ruimtestaat[[#This Row],[uren / jaar weekend]]*Tariefsopbouw!$D$40</f>
        <v>0</v>
      </c>
      <c r="AD301" s="88">
        <f>Ruimtestaat[[#This Row],[Prest. (m2 /jaar) weekend]]+Ruimtestaat[[#This Row],[Prest. (m2 /jaar) werkdagen]]</f>
        <v>10800</v>
      </c>
      <c r="AE301" s="88">
        <f>Ruimtestaat[[#This Row],[uren / jaar weekend]]+Ruimtestaat[[#This Row],[uren / jaar werkdagen]]</f>
        <v>0</v>
      </c>
      <c r="AF301" s="89">
        <f>Ruimtestaat[[#This Row],[kosten / jaar weekend]]+Ruimtestaat[[#This Row],[kosten / jaar werkdagen]]</f>
        <v>0</v>
      </c>
    </row>
    <row r="302" spans="1:32" ht="15" customHeight="1">
      <c r="A302" s="213">
        <v>3</v>
      </c>
      <c r="B302" s="200" t="str">
        <f>VLOOKUP(Ruimtestaat[[#This Row],[Code]],Locaties[#All],2,FALSE)</f>
        <v>Karel de Grote College</v>
      </c>
      <c r="C302" s="240" t="str">
        <f>VLOOKUP(Ruimtestaat[[#This Row],[Code]],Locaties[#All],4,FALSE)</f>
        <v>Wilhelminasingel 15</v>
      </c>
      <c r="D302" s="240" t="str">
        <f>VLOOKUP(Ruimtestaat[[#This Row],[Code]],Locaties[#All],5,FALSE)</f>
        <v>6524 AJ</v>
      </c>
      <c r="E302" s="240" t="str">
        <f>VLOOKUP(Ruimtestaat[[#This Row],[Code]],Locaties[#All],6,FALSE)</f>
        <v>Nijmegen</v>
      </c>
      <c r="F302" s="241" t="s">
        <v>845</v>
      </c>
      <c r="G302" s="200">
        <v>2</v>
      </c>
      <c r="H302" s="200" t="s">
        <v>577</v>
      </c>
      <c r="I302" s="241" t="s">
        <v>816</v>
      </c>
      <c r="J302" s="200">
        <v>10</v>
      </c>
      <c r="K302" s="256" t="str">
        <f>VLOOKUP(Ruimtestaat[[#This Row],[Ruimte code]],Ruimtegroepen[#All],2,FALSE)</f>
        <v>Trappenhuizen/lift</v>
      </c>
      <c r="L302" s="240" t="s">
        <v>111</v>
      </c>
      <c r="M302" s="268" t="s">
        <v>554</v>
      </c>
      <c r="N302" s="269">
        <v>0</v>
      </c>
      <c r="O302" s="212"/>
      <c r="P302" s="240" t="str">
        <f>VLOOKUP(Ruimtestaat[[#This Row],[Ruimte code]],Ruimtegroepen[#All],4,FALSE)</f>
        <v>V  (Verkeersruimte)</v>
      </c>
      <c r="Q302" s="213">
        <v>40</v>
      </c>
      <c r="R302" s="213" t="s">
        <v>2</v>
      </c>
      <c r="S302" s="213">
        <f>IF(Q302&gt;0,IF(RIGHT(Ruimtestaat[[#This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02" s="213">
        <f>IF(S302&gt;0,VLOOKUP($J302,Ruimtegroepen[],3,FALSE)*VLOOKUP($L302,Vloersoorten[],3,FALSE)*VLOOKUP($R302,Frequenties[],3,FALSE)*VLOOKUP($A302,Locaties[],3,FALSE),0)</f>
        <v>0</v>
      </c>
      <c r="U302" s="213">
        <f>Ruimtestaat[[#This Row],[Uitvoeringen werkdagen]]*Ruimtestaat[[#This Row],[Oppervlak (netto)]]</f>
        <v>0</v>
      </c>
      <c r="V302" s="253">
        <f>IF(T302&gt;0,Ruimtestaat[[#This Row],[Prest. (m2 /jaar) werkdagen]]/Ruimtestaat[[#This Row],[Norm (m2/uur) werkdagen]],0)</f>
        <v>0</v>
      </c>
      <c r="W302" s="254">
        <f>Ruimtestaat[[#This Row],[uren / jaar werkdagen]]*Tariefsopbouw!$D$38</f>
        <v>0</v>
      </c>
      <c r="X302" s="33"/>
      <c r="Y302" s="33">
        <f>IF(Ruimtestaat[[#This Row],[Frequentie weekend]]&gt;0,VALUE(LEFT(X302,1))*Q302,0)</f>
        <v>0</v>
      </c>
      <c r="Z302" s="33">
        <f>IF($Y302&gt;0,VLOOKUP($J302,Ruimtegroepen[],3,FALSE)*VLOOKUP($L302,Vloersoorten[],3,FALSE)*VLOOKUP($X302,Frequenties[],3,FALSE)*VLOOKUP(#REF!,Locaties[],3,FALSE),0)</f>
        <v>0</v>
      </c>
      <c r="AA302" s="33"/>
      <c r="AB302" s="33"/>
      <c r="AC302" s="33">
        <f>Ruimtestaat[[#This Row],[uren / jaar weekend]]*Tariefsopbouw!$D$40</f>
        <v>0</v>
      </c>
      <c r="AD302" s="88">
        <f>Ruimtestaat[[#This Row],[Prest. (m2 /jaar) weekend]]+Ruimtestaat[[#This Row],[Prest. (m2 /jaar) werkdagen]]</f>
        <v>0</v>
      </c>
      <c r="AE302" s="88">
        <f>Ruimtestaat[[#This Row],[uren / jaar weekend]]+Ruimtestaat[[#This Row],[uren / jaar werkdagen]]</f>
        <v>0</v>
      </c>
      <c r="AF302" s="89">
        <f>Ruimtestaat[[#This Row],[kosten / jaar weekend]]+Ruimtestaat[[#This Row],[kosten / jaar werkdagen]]</f>
        <v>0</v>
      </c>
    </row>
    <row r="303" spans="1:32" ht="15" customHeight="1">
      <c r="A303" s="213">
        <v>3</v>
      </c>
      <c r="B303" s="200" t="str">
        <f>VLOOKUP(Ruimtestaat[[#This Row],[Code]],Locaties[#All],2,FALSE)</f>
        <v>Karel de Grote College</v>
      </c>
      <c r="C303" s="240" t="str">
        <f>VLOOKUP(Ruimtestaat[[#This Row],[Code]],Locaties[#All],4,FALSE)</f>
        <v>Wilhelminasingel 15</v>
      </c>
      <c r="D303" s="240" t="str">
        <f>VLOOKUP(Ruimtestaat[[#This Row],[Code]],Locaties[#All],5,FALSE)</f>
        <v>6524 AJ</v>
      </c>
      <c r="E303" s="240" t="str">
        <f>VLOOKUP(Ruimtestaat[[#This Row],[Code]],Locaties[#All],6,FALSE)</f>
        <v>Nijmegen</v>
      </c>
      <c r="F303" s="241" t="s">
        <v>845</v>
      </c>
      <c r="G303" s="200">
        <v>2</v>
      </c>
      <c r="H303" s="200" t="s">
        <v>578</v>
      </c>
      <c r="I303" s="241" t="s">
        <v>689</v>
      </c>
      <c r="J303" s="200">
        <v>5</v>
      </c>
      <c r="K303" s="256" t="str">
        <f>VLOOKUP(Ruimtestaat[[#This Row],[Ruimte code]],Ruimtegroepen[#All],2,FALSE)</f>
        <v>Sanitair</v>
      </c>
      <c r="L303" s="240" t="s">
        <v>111</v>
      </c>
      <c r="M303" s="268" t="s">
        <v>766</v>
      </c>
      <c r="N303" s="269">
        <v>13</v>
      </c>
      <c r="O303" s="212"/>
      <c r="P303" s="240" t="str">
        <f>VLOOKUP(Ruimtestaat[[#This Row],[Ruimte code]],Ruimtegroepen[#All],4,FALSE)</f>
        <v>S  (Sanitair)</v>
      </c>
      <c r="Q303" s="213">
        <v>40</v>
      </c>
      <c r="R303" s="213" t="s">
        <v>2</v>
      </c>
      <c r="S303" s="213">
        <f>IF(Q303&gt;0,IF(RIGHT(Ruimtestaat[[#This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T303" s="213">
        <f>IF(S303&gt;0,VLOOKUP($J303,Ruimtegroepen[],3,FALSE)*VLOOKUP($L303,Vloersoorten[],3,FALSE)*VLOOKUP($R303,Frequenties[],3,FALSE)*VLOOKUP($A303,Locaties[],3,FALSE),0)</f>
        <v>0</v>
      </c>
      <c r="U303" s="213">
        <f>Ruimtestaat[[#This Row],[Uitvoeringen werkdagen]]*Ruimtestaat[[#This Row],[Oppervlak (netto)]]</f>
        <v>2600</v>
      </c>
      <c r="V303" s="253">
        <f>IF(T303&gt;0,Ruimtestaat[[#This Row],[Prest. (m2 /jaar) werkdagen]]/Ruimtestaat[[#This Row],[Norm (m2/uur) werkdagen]],0)</f>
        <v>0</v>
      </c>
      <c r="W303" s="254">
        <f>Ruimtestaat[[#This Row],[uren / jaar werkdagen]]*Tariefsopbouw!$D$38</f>
        <v>0</v>
      </c>
      <c r="X303" s="33"/>
      <c r="Y303" s="33">
        <f>IF(Ruimtestaat[[#This Row],[Frequentie weekend]]&gt;0,VALUE(LEFT(X303,1))*Q303,0)</f>
        <v>0</v>
      </c>
      <c r="Z303" s="33">
        <f>IF($Y303&gt;0,VLOOKUP($J303,Ruimtegroepen[],3,FALSE)*VLOOKUP($L303,Vloersoorten[],3,FALSE)*VLOOKUP($X303,Frequenties[],3,FALSE)*VLOOKUP(#REF!,Locaties[],3,FALSE),0)</f>
        <v>0</v>
      </c>
      <c r="AA303" s="33"/>
      <c r="AB303" s="33"/>
      <c r="AC303" s="33">
        <f>Ruimtestaat[[#This Row],[uren / jaar weekend]]*Tariefsopbouw!$D$40</f>
        <v>0</v>
      </c>
      <c r="AD303" s="88">
        <f>Ruimtestaat[[#This Row],[Prest. (m2 /jaar) weekend]]+Ruimtestaat[[#This Row],[Prest. (m2 /jaar) werkdagen]]</f>
        <v>2600</v>
      </c>
      <c r="AE303" s="88">
        <f>Ruimtestaat[[#This Row],[uren / jaar weekend]]+Ruimtestaat[[#This Row],[uren / jaar werkdagen]]</f>
        <v>0</v>
      </c>
      <c r="AF303" s="89">
        <f>Ruimtestaat[[#This Row],[kosten / jaar weekend]]+Ruimtestaat[[#This Row],[kosten / jaar werkdagen]]</f>
        <v>0</v>
      </c>
    </row>
    <row r="304" spans="1:32" ht="15" customHeight="1">
      <c r="A304" s="213">
        <v>3</v>
      </c>
      <c r="B304" s="200" t="str">
        <f>VLOOKUP(Ruimtestaat[[#This Row],[Code]],Locaties[#All],2,FALSE)</f>
        <v>Karel de Grote College</v>
      </c>
      <c r="C304" s="240" t="str">
        <f>VLOOKUP(Ruimtestaat[[#This Row],[Code]],Locaties[#All],4,FALSE)</f>
        <v>Wilhelminasingel 15</v>
      </c>
      <c r="D304" s="240" t="str">
        <f>VLOOKUP(Ruimtestaat[[#This Row],[Code]],Locaties[#All],5,FALSE)</f>
        <v>6524 AJ</v>
      </c>
      <c r="E304" s="240" t="str">
        <f>VLOOKUP(Ruimtestaat[[#This Row],[Code]],Locaties[#All],6,FALSE)</f>
        <v>Nijmegen</v>
      </c>
      <c r="F304" s="241" t="s">
        <v>845</v>
      </c>
      <c r="G304" s="200">
        <v>2</v>
      </c>
      <c r="H304" s="200" t="s">
        <v>579</v>
      </c>
      <c r="I304" s="241" t="s">
        <v>843</v>
      </c>
      <c r="J304" s="240">
        <v>21</v>
      </c>
      <c r="K304" s="256" t="str">
        <f>VLOOKUP(Ruimtestaat[[#This Row],[Ruimte code]],Ruimtegroepen[#All],2,FALSE)</f>
        <v>Niet in onderhoud</v>
      </c>
      <c r="L304" s="240" t="s">
        <v>111</v>
      </c>
      <c r="M304" s="268" t="s">
        <v>766</v>
      </c>
      <c r="N304" s="269"/>
      <c r="O304" s="269">
        <v>4</v>
      </c>
      <c r="P304" s="240" t="str">
        <f>VLOOKUP(Ruimtestaat[[#This Row],[Ruimte code]],Ruimtegroepen[#All],4,FALSE)</f>
        <v>Niet in onderhoud</v>
      </c>
      <c r="Q304" s="213">
        <v>0</v>
      </c>
      <c r="R304" s="213"/>
      <c r="S304" s="213">
        <f>IF(Q304&gt;0,IF(RIGHT(Ruimtestaat[[#This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304" s="213">
        <f>IF(S304&gt;0,VLOOKUP($J304,Ruimtegroepen[],3,FALSE)*VLOOKUP($L304,Vloersoorten[],3,FALSE)*VLOOKUP($R304,Frequenties[],3,FALSE)*VLOOKUP($A304,Locaties[],3,FALSE),0)</f>
        <v>0</v>
      </c>
      <c r="U304" s="213">
        <f>Ruimtestaat[[#This Row],[Uitvoeringen werkdagen]]*Ruimtestaat[[#This Row],[Oppervlak (netto)]]</f>
        <v>0</v>
      </c>
      <c r="V304" s="253">
        <f>IF(T304&gt;0,Ruimtestaat[[#This Row],[Prest. (m2 /jaar) werkdagen]]/Ruimtestaat[[#This Row],[Norm (m2/uur) werkdagen]],0)</f>
        <v>0</v>
      </c>
      <c r="W304" s="254">
        <f>Ruimtestaat[[#This Row],[uren / jaar werkdagen]]*Tariefsopbouw!$D$38</f>
        <v>0</v>
      </c>
      <c r="X304" s="33"/>
      <c r="Y304" s="33">
        <f>IF(Ruimtestaat[[#This Row],[Frequentie weekend]]&gt;0,VALUE(LEFT(X304,1))*Q304,0)</f>
        <v>0</v>
      </c>
      <c r="Z304" s="33">
        <f>IF($Y304&gt;0,VLOOKUP($J304,Ruimtegroepen[],3,FALSE)*VLOOKUP($L304,Vloersoorten[],3,FALSE)*VLOOKUP($X304,Frequenties[],3,FALSE)*VLOOKUP(#REF!,Locaties[],3,FALSE),0)</f>
        <v>0</v>
      </c>
      <c r="AA304" s="33"/>
      <c r="AB304" s="33"/>
      <c r="AC304" s="33">
        <f>Ruimtestaat[[#This Row],[uren / jaar weekend]]*Tariefsopbouw!$D$40</f>
        <v>0</v>
      </c>
      <c r="AD304" s="88">
        <f>Ruimtestaat[[#This Row],[Prest. (m2 /jaar) weekend]]+Ruimtestaat[[#This Row],[Prest. (m2 /jaar) werkdagen]]</f>
        <v>0</v>
      </c>
      <c r="AE304" s="88">
        <f>Ruimtestaat[[#This Row],[uren / jaar weekend]]+Ruimtestaat[[#This Row],[uren / jaar werkdagen]]</f>
        <v>0</v>
      </c>
      <c r="AF304" s="89">
        <f>Ruimtestaat[[#This Row],[kosten / jaar weekend]]+Ruimtestaat[[#This Row],[kosten / jaar werkdagen]]</f>
        <v>0</v>
      </c>
    </row>
    <row r="305" spans="1:32" ht="15" customHeight="1">
      <c r="A305" s="213">
        <v>3</v>
      </c>
      <c r="B305" s="200" t="str">
        <f>VLOOKUP(Ruimtestaat[[#This Row],[Code]],Locaties[#All],2,FALSE)</f>
        <v>Karel de Grote College</v>
      </c>
      <c r="C305" s="240" t="str">
        <f>VLOOKUP(Ruimtestaat[[#This Row],[Code]],Locaties[#All],4,FALSE)</f>
        <v>Wilhelminasingel 15</v>
      </c>
      <c r="D305" s="240" t="str">
        <f>VLOOKUP(Ruimtestaat[[#This Row],[Code]],Locaties[#All],5,FALSE)</f>
        <v>6524 AJ</v>
      </c>
      <c r="E305" s="240" t="str">
        <f>VLOOKUP(Ruimtestaat[[#This Row],[Code]],Locaties[#All],6,FALSE)</f>
        <v>Nijmegen</v>
      </c>
      <c r="F305" s="241" t="s">
        <v>761</v>
      </c>
      <c r="G305" s="200">
        <v>2</v>
      </c>
      <c r="H305" s="200" t="s">
        <v>580</v>
      </c>
      <c r="I305" s="241" t="s">
        <v>844</v>
      </c>
      <c r="J305" s="240">
        <v>21</v>
      </c>
      <c r="K305" s="256" t="str">
        <f>VLOOKUP(Ruimtestaat[[#This Row],[Ruimte code]],Ruimtegroepen[#All],2,FALSE)</f>
        <v>Niet in onderhoud</v>
      </c>
      <c r="L305" s="240"/>
      <c r="M305" s="268" t="s">
        <v>840</v>
      </c>
      <c r="N305" s="269"/>
      <c r="O305" s="269">
        <v>14</v>
      </c>
      <c r="P305" s="240" t="str">
        <f>VLOOKUP(Ruimtestaat[[#This Row],[Ruimte code]],Ruimtegroepen[#All],4,FALSE)</f>
        <v>Niet in onderhoud</v>
      </c>
      <c r="Q305" s="213">
        <v>0</v>
      </c>
      <c r="R305" s="213"/>
      <c r="S305" s="213">
        <f>IF(Q305&gt;0,IF(RIGHT(Ruimtestaat[[#This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T305" s="213">
        <f>IF(S305&gt;0,VLOOKUP($J305,Ruimtegroepen[],3,FALSE)*VLOOKUP($L305,Vloersoorten[],3,FALSE)*VLOOKUP($R305,Frequenties[],3,FALSE)*VLOOKUP($A305,Locaties[],3,FALSE),0)</f>
        <v>0</v>
      </c>
      <c r="U305" s="213">
        <f>Ruimtestaat[[#This Row],[Uitvoeringen werkdagen]]*Ruimtestaat[[#This Row],[Oppervlak (netto)]]</f>
        <v>0</v>
      </c>
      <c r="V305" s="253">
        <f>IF(T305&gt;0,Ruimtestaat[[#This Row],[Prest. (m2 /jaar) werkdagen]]/Ruimtestaat[[#This Row],[Norm (m2/uur) werkdagen]],0)</f>
        <v>0</v>
      </c>
      <c r="W305" s="254">
        <f>Ruimtestaat[[#This Row],[uren / jaar werkdagen]]*Tariefsopbouw!$D$38</f>
        <v>0</v>
      </c>
      <c r="X305" s="33"/>
      <c r="Y305" s="33">
        <f>IF(Ruimtestaat[[#This Row],[Frequentie weekend]]&gt;0,VALUE(LEFT(X305,1))*Q305,0)</f>
        <v>0</v>
      </c>
      <c r="Z305" s="33">
        <f>IF($Y305&gt;0,VLOOKUP($J305,Ruimtegroepen[],3,FALSE)*VLOOKUP($L305,Vloersoorten[],3,FALSE)*VLOOKUP($X305,Frequenties[],3,FALSE)*VLOOKUP(#REF!,Locaties[],3,FALSE),0)</f>
        <v>0</v>
      </c>
      <c r="AA305" s="33"/>
      <c r="AB305" s="33"/>
      <c r="AC305" s="33">
        <f>Ruimtestaat[[#This Row],[uren / jaar weekend]]*Tariefsopbouw!$D$40</f>
        <v>0</v>
      </c>
      <c r="AD305" s="88">
        <f>Ruimtestaat[[#This Row],[Prest. (m2 /jaar) weekend]]+Ruimtestaat[[#This Row],[Prest. (m2 /jaar) werkdagen]]</f>
        <v>0</v>
      </c>
      <c r="AE305" s="88">
        <f>Ruimtestaat[[#This Row],[uren / jaar weekend]]+Ruimtestaat[[#This Row],[uren / jaar werkdagen]]</f>
        <v>0</v>
      </c>
      <c r="AF305" s="89">
        <f>Ruimtestaat[[#This Row],[kosten / jaar weekend]]+Ruimtestaat[[#This Row],[kosten / jaar werkdagen]]</f>
        <v>0</v>
      </c>
    </row>
  </sheetData>
  <sortState xmlns:xlrd2="http://schemas.microsoft.com/office/spreadsheetml/2017/richdata2" ref="B17:R84">
    <sortCondition ref="B17:B84"/>
    <sortCondition ref="F17:F84"/>
  </sortState>
  <mergeCells count="5">
    <mergeCell ref="A1:P1"/>
    <mergeCell ref="Q1:AF1"/>
    <mergeCell ref="R3:W3"/>
    <mergeCell ref="X3:AC3"/>
    <mergeCell ref="AD3:AF3"/>
  </mergeCells>
  <phoneticPr fontId="9" type="noConversion"/>
  <pageMargins left="0.23622047244094491" right="0.23622047244094491" top="0.74803149606299213" bottom="0.74803149606299213" header="0.31496062992125984" footer="0.31496062992125984"/>
  <pageSetup paperSize="8" scale="53" fitToWidth="2" fitToHeight="0" orientation="landscape" r:id="rId1"/>
  <headerFooter alignWithMargins="0">
    <oddFooter>&amp;L&amp;P&amp;Cparaaf Inschrijver&amp;R&amp;D</oddFooter>
  </headerFooter>
  <colBreaks count="1" manualBreakCount="1">
    <brk id="24" max="191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I110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customHeight="1"/>
  <cols>
    <col min="1" max="1" width="11.5703125" style="21" customWidth="1"/>
    <col min="2" max="2" width="47.42578125" style="4" bestFit="1" customWidth="1"/>
    <col min="3" max="3" width="12.5703125" style="4" customWidth="1"/>
    <col min="4" max="4" width="52.140625" style="21" bestFit="1" customWidth="1"/>
    <col min="5" max="7" width="19" style="4" customWidth="1"/>
    <col min="8" max="8" width="17.7109375" style="4" bestFit="1" customWidth="1"/>
    <col min="9" max="9" width="19.5703125" style="4" customWidth="1"/>
    <col min="10" max="16384" width="9.140625" style="4"/>
  </cols>
  <sheetData>
    <row r="1" spans="1:9" s="9" customFormat="1" ht="26.25" customHeight="1">
      <c r="A1" s="303" t="s">
        <v>41</v>
      </c>
      <c r="B1" s="303"/>
      <c r="C1" s="303"/>
      <c r="D1" s="303"/>
      <c r="E1" s="303"/>
      <c r="F1" s="303"/>
      <c r="G1" s="303"/>
      <c r="H1" s="81"/>
    </row>
    <row r="2" spans="1:9" s="9" customFormat="1" ht="15" customHeight="1">
      <c r="A2" s="314" t="s">
        <v>219</v>
      </c>
      <c r="B2" s="297"/>
      <c r="C2" s="297"/>
      <c r="D2" s="297"/>
      <c r="E2" s="297"/>
      <c r="F2" s="297"/>
      <c r="G2" s="297"/>
    </row>
    <row r="3" spans="1:9" ht="15" customHeight="1">
      <c r="B3" s="21"/>
      <c r="D3" s="4"/>
    </row>
    <row r="4" spans="1:9" ht="15" customHeight="1">
      <c r="A4" s="4" t="s">
        <v>184</v>
      </c>
      <c r="B4" s="21"/>
      <c r="D4" s="4"/>
    </row>
    <row r="5" spans="1:9" ht="15" customHeight="1">
      <c r="A5" s="4" t="s">
        <v>251</v>
      </c>
      <c r="B5" s="21"/>
      <c r="D5" s="4"/>
    </row>
    <row r="6" spans="1:9" ht="15" customHeight="1">
      <c r="A6" s="4" t="s">
        <v>202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15" t="s">
        <v>407</v>
      </c>
      <c r="F7" s="315"/>
      <c r="G7" s="315"/>
      <c r="H7" s="315"/>
      <c r="I7" s="315"/>
    </row>
    <row r="8" spans="1:9" s="8" customFormat="1" ht="26.25" customHeight="1">
      <c r="A8" s="51" t="s">
        <v>216</v>
      </c>
      <c r="B8" s="52" t="s">
        <v>148</v>
      </c>
      <c r="C8" s="53" t="s">
        <v>183</v>
      </c>
      <c r="D8" s="51" t="s">
        <v>153</v>
      </c>
      <c r="E8" s="51" t="s">
        <v>437</v>
      </c>
      <c r="F8" s="51" t="s">
        <v>438</v>
      </c>
      <c r="G8" s="51" t="s">
        <v>439</v>
      </c>
      <c r="H8" s="51" t="s">
        <v>440</v>
      </c>
      <c r="I8" s="51" t="s">
        <v>928</v>
      </c>
    </row>
    <row r="9" spans="1:9" ht="15" customHeight="1">
      <c r="A9" s="337">
        <v>1</v>
      </c>
      <c r="B9" s="338" t="s">
        <v>237</v>
      </c>
      <c r="C9" s="56">
        <v>0</v>
      </c>
      <c r="D9" s="272" t="s">
        <v>151</v>
      </c>
      <c r="E9" s="339" t="e">
        <f>(InvulGlas[[#This Row],[Prijs excl. BTW]]*Tariefsopbouw!$I$37)+InvulGlas[[#This Row],[Prijs excl. BTW]]</f>
        <v>#DIV/0!</v>
      </c>
      <c r="F9" s="339" t="e">
        <f>E9*Tariefsopbouw!$K$37+Glasbewassing!E9</f>
        <v>#DIV/0!</v>
      </c>
      <c r="G9" s="339" t="e">
        <f>F9*Tariefsopbouw!$M$37+Glasbewassing!F9</f>
        <v>#DIV/0!</v>
      </c>
      <c r="H9" s="339" t="e">
        <f>G10*Tariefsopbouw!$O$37+Glasbewassing!G10</f>
        <v>#DIV/0!</v>
      </c>
      <c r="I9" s="339" t="e">
        <f>H9*Tariefsopbouw!$Q$37+Glasbewassing!H9</f>
        <v>#DIV/0!</v>
      </c>
    </row>
    <row r="10" spans="1:9" ht="15" customHeight="1">
      <c r="A10" s="337">
        <v>2</v>
      </c>
      <c r="B10" s="338" t="s">
        <v>150</v>
      </c>
      <c r="C10" s="56">
        <v>0</v>
      </c>
      <c r="D10" s="272" t="s">
        <v>151</v>
      </c>
      <c r="E10" s="339" t="e">
        <f>(InvulGlas[[#This Row],[Prijs excl. BTW]]*Tariefsopbouw!$I$37)+InvulGlas[[#This Row],[Prijs excl. BTW]]</f>
        <v>#DIV/0!</v>
      </c>
      <c r="F10" s="339" t="e">
        <f>E10*Tariefsopbouw!$K$37+Glasbewassing!E10</f>
        <v>#DIV/0!</v>
      </c>
      <c r="G10" s="339" t="e">
        <f>F10*Tariefsopbouw!$M$37+Glasbewassing!F10</f>
        <v>#DIV/0!</v>
      </c>
      <c r="H10" s="339" t="e">
        <f>G11*Tariefsopbouw!$O$37+Glasbewassing!G11</f>
        <v>#DIV/0!</v>
      </c>
      <c r="I10" s="339" t="e">
        <f>H10*Tariefsopbouw!$Q$37+Glasbewassing!H10</f>
        <v>#DIV/0!</v>
      </c>
    </row>
    <row r="11" spans="1:9" ht="15" customHeight="1">
      <c r="A11" s="337">
        <v>3</v>
      </c>
      <c r="B11" s="338" t="s">
        <v>152</v>
      </c>
      <c r="C11" s="56">
        <v>0</v>
      </c>
      <c r="D11" s="272" t="s">
        <v>151</v>
      </c>
      <c r="E11" s="339" t="e">
        <f>(InvulGlas[[#This Row],[Prijs excl. BTW]]*Tariefsopbouw!$I$37)+InvulGlas[[#This Row],[Prijs excl. BTW]]</f>
        <v>#DIV/0!</v>
      </c>
      <c r="F11" s="339" t="e">
        <f>E11*Tariefsopbouw!$K$37+Glasbewassing!E11</f>
        <v>#DIV/0!</v>
      </c>
      <c r="G11" s="339" t="e">
        <f>F11*Tariefsopbouw!$M$37+Glasbewassing!F11</f>
        <v>#DIV/0!</v>
      </c>
      <c r="H11" s="339" t="e">
        <f>G12*Tariefsopbouw!$O$37+Glasbewassing!G12</f>
        <v>#DIV/0!</v>
      </c>
      <c r="I11" s="339" t="e">
        <f>H11*Tariefsopbouw!$Q$37+Glasbewassing!H11</f>
        <v>#DIV/0!</v>
      </c>
    </row>
    <row r="12" spans="1:9" ht="15" customHeight="1">
      <c r="A12" s="337">
        <v>4</v>
      </c>
      <c r="B12" s="338" t="s">
        <v>238</v>
      </c>
      <c r="C12" s="56">
        <v>0</v>
      </c>
      <c r="D12" s="272" t="s">
        <v>151</v>
      </c>
      <c r="E12" s="339" t="e">
        <f>(InvulGlas[[#This Row],[Prijs excl. BTW]]*Tariefsopbouw!$I$37)+InvulGlas[[#This Row],[Prijs excl. BTW]]</f>
        <v>#DIV/0!</v>
      </c>
      <c r="F12" s="339" t="e">
        <f>E12*Tariefsopbouw!$K$37+Glasbewassing!E12</f>
        <v>#DIV/0!</v>
      </c>
      <c r="G12" s="339" t="e">
        <f>F12*Tariefsopbouw!$M$37+Glasbewassing!F12</f>
        <v>#DIV/0!</v>
      </c>
      <c r="H12" s="339" t="e">
        <f>G13*Tariefsopbouw!$O$37+Glasbewassing!G13</f>
        <v>#DIV/0!</v>
      </c>
      <c r="I12" s="339" t="e">
        <f>H12*Tariefsopbouw!$Q$37+Glasbewassing!H12</f>
        <v>#DIV/0!</v>
      </c>
    </row>
    <row r="13" spans="1:9" ht="15" customHeight="1">
      <c r="A13" s="337">
        <v>5</v>
      </c>
      <c r="B13" s="338" t="s">
        <v>261</v>
      </c>
      <c r="C13" s="56">
        <v>0</v>
      </c>
      <c r="D13" s="272" t="s">
        <v>151</v>
      </c>
      <c r="E13" s="339" t="e">
        <f>(InvulGlas[[#This Row],[Prijs excl. BTW]]*Tariefsopbouw!$I$37)+InvulGlas[[#This Row],[Prijs excl. BTW]]</f>
        <v>#DIV/0!</v>
      </c>
      <c r="F13" s="339" t="e">
        <f>E13*Tariefsopbouw!$K$37+Glasbewassing!E13</f>
        <v>#DIV/0!</v>
      </c>
      <c r="G13" s="339" t="e">
        <f>F13*Tariefsopbouw!$M$37+Glasbewassing!F13</f>
        <v>#DIV/0!</v>
      </c>
      <c r="H13" s="339" t="e">
        <f>G14*Tariefsopbouw!$O$37+Glasbewassing!G14</f>
        <v>#DIV/0!</v>
      </c>
      <c r="I13" s="339" t="e">
        <f>H13*Tariefsopbouw!$Q$37+Glasbewassing!H13</f>
        <v>#DIV/0!</v>
      </c>
    </row>
    <row r="14" spans="1:9" ht="15" customHeight="1">
      <c r="A14" s="337">
        <v>6</v>
      </c>
      <c r="B14" s="338" t="s">
        <v>236</v>
      </c>
      <c r="C14" s="56">
        <v>0</v>
      </c>
      <c r="D14" s="272" t="s">
        <v>151</v>
      </c>
      <c r="E14" s="339" t="e">
        <f>(InvulGlas[[#This Row],[Prijs excl. BTW]]*Tariefsopbouw!$I$37)+InvulGlas[[#This Row],[Prijs excl. BTW]]</f>
        <v>#DIV/0!</v>
      </c>
      <c r="F14" s="339" t="e">
        <f>E14*Tariefsopbouw!$K$37+Glasbewassing!E14</f>
        <v>#DIV/0!</v>
      </c>
      <c r="G14" s="339" t="e">
        <f>F14*Tariefsopbouw!$M$37+Glasbewassing!F14</f>
        <v>#DIV/0!</v>
      </c>
      <c r="H14" s="339" t="e">
        <f>G15*Tariefsopbouw!$O$37+Glasbewassing!G15</f>
        <v>#DIV/0!</v>
      </c>
      <c r="I14" s="339" t="e">
        <f>H14*Tariefsopbouw!$Q$37+Glasbewassing!H14</f>
        <v>#DIV/0!</v>
      </c>
    </row>
    <row r="15" spans="1:9" ht="15" customHeight="1">
      <c r="A15" s="337">
        <v>7</v>
      </c>
      <c r="B15" s="338" t="s">
        <v>262</v>
      </c>
      <c r="C15" s="56">
        <v>0</v>
      </c>
      <c r="D15" s="272" t="s">
        <v>258</v>
      </c>
      <c r="E15" s="339" t="e">
        <f>(InvulGlas[[#This Row],[Prijs excl. BTW]]*Tariefsopbouw!$I$37)+InvulGlas[[#This Row],[Prijs excl. BTW]]</f>
        <v>#DIV/0!</v>
      </c>
      <c r="F15" s="339" t="e">
        <f>E15*Tariefsopbouw!$K$37+Glasbewassing!E15</f>
        <v>#DIV/0!</v>
      </c>
      <c r="G15" s="339" t="e">
        <f>F15*Tariefsopbouw!$M$37+Glasbewassing!F15</f>
        <v>#DIV/0!</v>
      </c>
      <c r="H15" s="339" t="e">
        <f>G16*Tariefsopbouw!$O$37+Glasbewassing!G16</f>
        <v>#DIV/0!</v>
      </c>
      <c r="I15" s="339" t="e">
        <f>H15*Tariefsopbouw!$Q$37+Glasbewassing!H15</f>
        <v>#DIV/0!</v>
      </c>
    </row>
    <row r="16" spans="1:9" ht="15" customHeight="1">
      <c r="A16" s="337">
        <v>8</v>
      </c>
      <c r="B16" s="338" t="s">
        <v>919</v>
      </c>
      <c r="C16" s="56">
        <v>0</v>
      </c>
      <c r="D16" s="272" t="s">
        <v>151</v>
      </c>
      <c r="E16" s="339" t="e">
        <f>(InvulGlas[[#This Row],[Prijs excl. BTW]]*Tariefsopbouw!$I$37)+InvulGlas[[#This Row],[Prijs excl. BTW]]</f>
        <v>#DIV/0!</v>
      </c>
      <c r="F16" s="339" t="e">
        <f>E16*Tariefsopbouw!$K$37+Glasbewassing!E16</f>
        <v>#DIV/0!</v>
      </c>
      <c r="G16" s="339" t="e">
        <f>F16*Tariefsopbouw!$M$37+Glasbewassing!F16</f>
        <v>#DIV/0!</v>
      </c>
      <c r="H16" s="339" t="e">
        <f>G18*Tariefsopbouw!$O$37+Glasbewassing!G18</f>
        <v>#DIV/0!</v>
      </c>
      <c r="I16" s="339" t="e">
        <f>H16*Tariefsopbouw!$Q$37+Glasbewassing!H16</f>
        <v>#DIV/0!</v>
      </c>
    </row>
    <row r="17" spans="1:9" ht="15" customHeight="1">
      <c r="A17" s="337" t="s">
        <v>937</v>
      </c>
      <c r="B17" s="338" t="s">
        <v>938</v>
      </c>
      <c r="C17" s="56">
        <v>0</v>
      </c>
      <c r="D17" s="272" t="s">
        <v>48</v>
      </c>
      <c r="E17" s="339" t="e">
        <f>(InvulGlas[[#This Row],[Prijs excl. BTW]]*Tariefsopbouw!$I$37)+InvulGlas[[#This Row],[Prijs excl. BTW]]</f>
        <v>#DIV/0!</v>
      </c>
      <c r="F17" s="339" t="e">
        <f>E17*Tariefsopbouw!$K$37+Glasbewassing!E17</f>
        <v>#DIV/0!</v>
      </c>
      <c r="G17" s="339" t="e">
        <f>F17*Tariefsopbouw!$M$37+Glasbewassing!F17</f>
        <v>#DIV/0!</v>
      </c>
      <c r="H17" s="339" t="e">
        <f>G19*Tariefsopbouw!$O$37+Glasbewassing!G19</f>
        <v>#DIV/0!</v>
      </c>
      <c r="I17" s="339" t="e">
        <f>H17*Tariefsopbouw!$Q$37+Glasbewassing!H17</f>
        <v>#DIV/0!</v>
      </c>
    </row>
    <row r="18" spans="1:9" ht="15" customHeight="1">
      <c r="A18" s="337" t="s">
        <v>159</v>
      </c>
      <c r="B18" s="338" t="s">
        <v>155</v>
      </c>
      <c r="C18" s="56">
        <v>0</v>
      </c>
      <c r="D18" s="272" t="s">
        <v>48</v>
      </c>
      <c r="E18" s="339" t="e">
        <f>(InvulGlas[[#This Row],[Prijs excl. BTW]]*Tariefsopbouw!$I$37)+InvulGlas[[#This Row],[Prijs excl. BTW]]</f>
        <v>#DIV/0!</v>
      </c>
      <c r="F18" s="339" t="e">
        <f>E18*Tariefsopbouw!$K$37+Glasbewassing!E18</f>
        <v>#DIV/0!</v>
      </c>
      <c r="G18" s="339" t="e">
        <f>F18*Tariefsopbouw!$M$37+Glasbewassing!F18</f>
        <v>#DIV/0!</v>
      </c>
      <c r="H18" s="339" t="e">
        <f>G19*Tariefsopbouw!$O$37+Glasbewassing!G19</f>
        <v>#DIV/0!</v>
      </c>
      <c r="I18" s="339" t="e">
        <f>H18*Tariefsopbouw!$Q$37+Glasbewassing!H18</f>
        <v>#DIV/0!</v>
      </c>
    </row>
    <row r="19" spans="1:9" ht="15" customHeight="1">
      <c r="A19" s="337" t="s">
        <v>160</v>
      </c>
      <c r="B19" s="338" t="s">
        <v>156</v>
      </c>
      <c r="C19" s="56">
        <v>0</v>
      </c>
      <c r="D19" s="272" t="s">
        <v>48</v>
      </c>
      <c r="E19" s="339" t="e">
        <f>(InvulGlas[[#This Row],[Prijs excl. BTW]]*Tariefsopbouw!$I$37)+InvulGlas[[#This Row],[Prijs excl. BTW]]</f>
        <v>#DIV/0!</v>
      </c>
      <c r="F19" s="339" t="e">
        <f>E19*Tariefsopbouw!$K$37+Glasbewassing!E19</f>
        <v>#DIV/0!</v>
      </c>
      <c r="G19" s="339" t="e">
        <f>F19*Tariefsopbouw!$M$37+Glasbewassing!F19</f>
        <v>#DIV/0!</v>
      </c>
      <c r="H19" s="339" t="e">
        <f>G20*Tariefsopbouw!$O$37+Glasbewassing!G20</f>
        <v>#DIV/0!</v>
      </c>
      <c r="I19" s="339" t="e">
        <f>H19*Tariefsopbouw!$Q$37+Glasbewassing!H19</f>
        <v>#DIV/0!</v>
      </c>
    </row>
    <row r="20" spans="1:9" ht="15" customHeight="1">
      <c r="A20" s="337" t="s">
        <v>161</v>
      </c>
      <c r="B20" s="338" t="s">
        <v>157</v>
      </c>
      <c r="C20" s="56">
        <v>0</v>
      </c>
      <c r="D20" s="272" t="s">
        <v>48</v>
      </c>
      <c r="E20" s="339" t="e">
        <f>(InvulGlas[[#This Row],[Prijs excl. BTW]]*Tariefsopbouw!$I$37)+InvulGlas[[#This Row],[Prijs excl. BTW]]</f>
        <v>#DIV/0!</v>
      </c>
      <c r="F20" s="339" t="e">
        <f>E20*Tariefsopbouw!$K$37+Glasbewassing!E20</f>
        <v>#DIV/0!</v>
      </c>
      <c r="G20" s="339" t="e">
        <f>F20*Tariefsopbouw!$M$37+Glasbewassing!F20</f>
        <v>#DIV/0!</v>
      </c>
      <c r="H20" s="339" t="e">
        <f>G21*Tariefsopbouw!$O$37+Glasbewassing!G21</f>
        <v>#DIV/0!</v>
      </c>
      <c r="I20" s="339" t="e">
        <f>H20*Tariefsopbouw!$Q$37+Glasbewassing!H20</f>
        <v>#DIV/0!</v>
      </c>
    </row>
    <row r="21" spans="1:9" ht="15" customHeight="1">
      <c r="A21" s="337" t="s">
        <v>259</v>
      </c>
      <c r="B21" s="338" t="s">
        <v>260</v>
      </c>
      <c r="C21" s="56">
        <v>0</v>
      </c>
      <c r="D21" s="272" t="s">
        <v>48</v>
      </c>
      <c r="E21" s="340" t="e">
        <f>(InvulGlas[[#This Row],[Prijs excl. BTW]]*Tariefsopbouw!$I$37)+InvulGlas[[#This Row],[Prijs excl. BTW]]</f>
        <v>#DIV/0!</v>
      </c>
      <c r="F21" s="340" t="e">
        <f>E21*Tariefsopbouw!$K$37+Glasbewassing!E21</f>
        <v>#DIV/0!</v>
      </c>
      <c r="G21" s="340" t="e">
        <f>F21*Tariefsopbouw!$M$37+Glasbewassing!F21</f>
        <v>#DIV/0!</v>
      </c>
      <c r="H21" s="340" t="e">
        <f>G22*Tariefsopbouw!$O$37+Glasbewassing!G22</f>
        <v>#DIV/0!</v>
      </c>
      <c r="I21" s="340" t="e">
        <f>H21*Tariefsopbouw!$Q$37+Glasbewassing!H21</f>
        <v>#DIV/0!</v>
      </c>
    </row>
    <row r="22" spans="1:9" ht="15" customHeight="1">
      <c r="C22" s="35"/>
      <c r="D22" s="35"/>
    </row>
    <row r="23" spans="1:9" s="75" customFormat="1" ht="26.25" customHeight="1">
      <c r="A23" s="76" t="s">
        <v>214</v>
      </c>
      <c r="B23" s="76" t="s">
        <v>147</v>
      </c>
      <c r="C23" s="76" t="s">
        <v>216</v>
      </c>
      <c r="D23" s="77" t="s">
        <v>148</v>
      </c>
      <c r="E23" s="77" t="s">
        <v>158</v>
      </c>
      <c r="F23" s="77" t="s">
        <v>127</v>
      </c>
      <c r="G23" s="78" t="s">
        <v>149</v>
      </c>
    </row>
    <row r="24" spans="1:9" ht="15" customHeight="1">
      <c r="A24" s="337">
        <v>1</v>
      </c>
      <c r="B24" s="272" t="str">
        <f>VLOOKUP(OverzichtGlas[[#This Row],[Code Locatie]],Locaties[],2,0)</f>
        <v>Novalis College hoofdgebouw</v>
      </c>
      <c r="C24" s="337">
        <v>1</v>
      </c>
      <c r="D24" s="342" t="str">
        <f>IF(Glasbewassing!$C24&gt;0,VLOOKUP(Glasbewassing!$C24,$A$8:$B$21,2,FALSE),"Hier vult u de inzet van eventuele hoogwerkers in")</f>
        <v>Gevelglas binnenzijde</v>
      </c>
      <c r="E24" s="343">
        <v>251</v>
      </c>
      <c r="F24" s="343">
        <v>3</v>
      </c>
      <c r="G24" s="344">
        <f>IF(C24&gt;0,VLOOKUP(OverzichtGlas[[#This Row],[Code taak]],InvulGlas[],3,0)*E24*F24,0)</f>
        <v>0</v>
      </c>
    </row>
    <row r="25" spans="1:9" ht="15" customHeight="1">
      <c r="A25" s="337">
        <v>1</v>
      </c>
      <c r="B25" s="272" t="str">
        <f>VLOOKUP(OverzichtGlas[[#This Row],[Code Locatie]],Locaties[],2,0)</f>
        <v>Novalis College hoofdgebouw</v>
      </c>
      <c r="C25" s="337">
        <v>2</v>
      </c>
      <c r="D25" s="342" t="str">
        <f>IF(Glasbewassing!$C25&gt;0,VLOOKUP(Glasbewassing!$C25,$A$8:$B$21,2,FALSE),"Hier vult u de inzet van eventuele hoogwerkers in")</f>
        <v>Gevelglas buitenzijde</v>
      </c>
      <c r="E25" s="343">
        <v>251</v>
      </c>
      <c r="F25" s="343">
        <v>3</v>
      </c>
      <c r="G25" s="344">
        <f>IF(C25&gt;0,VLOOKUP(OverzichtGlas[[#This Row],[Code taak]],InvulGlas[],3,0)*E25*F25,0)</f>
        <v>0</v>
      </c>
    </row>
    <row r="26" spans="1:9" ht="15" customHeight="1">
      <c r="A26" s="337">
        <v>1</v>
      </c>
      <c r="B26" s="272" t="str">
        <f>VLOOKUP(OverzichtGlas[[#This Row],[Code Locatie]],Locaties[],2,0)</f>
        <v>Novalis College hoofdgebouw</v>
      </c>
      <c r="C26" s="337">
        <v>3</v>
      </c>
      <c r="D26" s="342" t="str">
        <f>IF(Glasbewassing!$C26&gt;0,VLOOKUP(Glasbewassing!$C26,$A$8:$B$21,2,FALSE),"Hier vult u de inzet van eventuele hoogwerkers in")</f>
        <v>Separatieglas (enkel gemeten, dubbel te wassen)</v>
      </c>
      <c r="E26" s="343">
        <v>175</v>
      </c>
      <c r="F26" s="343">
        <v>3</v>
      </c>
      <c r="G26" s="344">
        <f>IF(C26&gt;0,VLOOKUP(OverzichtGlas[[#This Row],[Code taak]],InvulGlas[],3,0)*E26*F26,0)</f>
        <v>0</v>
      </c>
    </row>
    <row r="27" spans="1:9" ht="15" customHeight="1">
      <c r="A27" s="337">
        <v>1</v>
      </c>
      <c r="B27" s="272" t="str">
        <f>VLOOKUP(OverzichtGlas[[#This Row],[Code Locatie]],Locaties[],2,0)</f>
        <v>Novalis College hoofdgebouw</v>
      </c>
      <c r="C27" s="239"/>
      <c r="D27" s="342" t="str">
        <f>IF(Glasbewassing!$C27&gt;0,VLOOKUP(Glasbewassing!$C27,$A$8:$B$21,2,FALSE),"Hier vult u de inzet van eventuele hoogwerkers in")</f>
        <v>Hier vult u de inzet van eventuele hoogwerkers in</v>
      </c>
      <c r="E27" s="239"/>
      <c r="F27" s="343">
        <v>3</v>
      </c>
      <c r="G27" s="344">
        <f>IF(C27&gt;0,VLOOKUP(OverzichtGlas[[#This Row],[Code taak]],InvulGlas[],3,0)*E27*F27,0)</f>
        <v>0</v>
      </c>
    </row>
    <row r="28" spans="1:9" ht="15" customHeight="1">
      <c r="A28" s="337">
        <v>1</v>
      </c>
      <c r="B28" s="272" t="str">
        <f>VLOOKUP(OverzichtGlas[[#This Row],[Code Locatie]],Locaties[],2,0)</f>
        <v>Novalis College hoofdgebouw</v>
      </c>
      <c r="C28" s="341" t="s">
        <v>937</v>
      </c>
      <c r="D28" s="342" t="str">
        <f>IF(Glasbewassing!$C28&gt;0,VLOOKUP(Glasbewassing!$C28,$A$8:$B$21,2,FALSE),"Hier vult u de inzet van eventuele hoogwerkers in")</f>
        <v>Tuckerpool</v>
      </c>
      <c r="E28" s="239"/>
      <c r="F28" s="343">
        <v>3</v>
      </c>
      <c r="G28" s="344">
        <f>IF(C28&gt;0,VLOOKUP(OverzichtGlas[[#This Row],[Code taak]],InvulGlas[],3,0)*E28*F28,0)</f>
        <v>0</v>
      </c>
    </row>
    <row r="29" spans="1:9" ht="15" customHeight="1">
      <c r="A29" s="337">
        <v>2</v>
      </c>
      <c r="B29" s="272" t="str">
        <f>VLOOKUP(OverzichtGlas[[#This Row],[Code Locatie]],Locaties[],2,0)</f>
        <v>Novalis College nieuwbouw</v>
      </c>
      <c r="C29" s="57">
        <v>1</v>
      </c>
      <c r="D29" s="342" t="str">
        <f>IF(Glasbewassing!$C29&gt;0,VLOOKUP(Glasbewassing!$C29,$A$8:$B$21,2,FALSE),"Hier vult u de inzet van eventuele hoogwerkers in")</f>
        <v>Gevelglas binnenzijde</v>
      </c>
      <c r="E29" s="69">
        <v>295</v>
      </c>
      <c r="F29" s="343">
        <v>3</v>
      </c>
      <c r="G29" s="344">
        <f>IF(C29&gt;0,VLOOKUP(OverzichtGlas[[#This Row],[Code taak]],InvulGlas[],3,0)*E29*F29,0)</f>
        <v>0</v>
      </c>
    </row>
    <row r="30" spans="1:9" ht="15" customHeight="1">
      <c r="A30" s="337">
        <v>2</v>
      </c>
      <c r="B30" s="272" t="str">
        <f>VLOOKUP(OverzichtGlas[[#This Row],[Code Locatie]],Locaties[],2,0)</f>
        <v>Novalis College nieuwbouw</v>
      </c>
      <c r="C30" s="54">
        <v>2</v>
      </c>
      <c r="D30" s="342" t="str">
        <f>IF(Glasbewassing!$C30&gt;0,VLOOKUP(Glasbewassing!$C30,$A$8:$B$21,2,FALSE),"Hier vult u de inzet van eventuele hoogwerkers in")</f>
        <v>Gevelglas buitenzijde</v>
      </c>
      <c r="E30" s="65">
        <v>295</v>
      </c>
      <c r="F30" s="343">
        <v>3</v>
      </c>
      <c r="G30" s="344">
        <f>IF(C30&gt;0,VLOOKUP(OverzichtGlas[[#This Row],[Code taak]],InvulGlas[],3,0)*E30*F30,0)</f>
        <v>0</v>
      </c>
    </row>
    <row r="31" spans="1:9" ht="15" customHeight="1">
      <c r="A31" s="337">
        <v>2</v>
      </c>
      <c r="B31" s="272" t="str">
        <f>VLOOKUP(OverzichtGlas[[#This Row],[Code Locatie]],Locaties[],2,0)</f>
        <v>Novalis College nieuwbouw</v>
      </c>
      <c r="C31" s="57">
        <v>3</v>
      </c>
      <c r="D31" s="342" t="str">
        <f>IF(Glasbewassing!$C31&gt;0,VLOOKUP(Glasbewassing!$C31,$A$8:$B$21,2,FALSE),"Hier vult u de inzet van eventuele hoogwerkers in")</f>
        <v>Separatieglas (enkel gemeten, dubbel te wassen)</v>
      </c>
      <c r="E31" s="69">
        <v>26</v>
      </c>
      <c r="F31" s="343">
        <v>3</v>
      </c>
      <c r="G31" s="344">
        <f>IF(C31&gt;0,VLOOKUP(OverzichtGlas[[#This Row],[Code taak]],InvulGlas[],3,0)*E31*F31,0)</f>
        <v>0</v>
      </c>
    </row>
    <row r="32" spans="1:9" ht="14.25" customHeight="1">
      <c r="A32" s="337">
        <v>2</v>
      </c>
      <c r="B32" s="272" t="str">
        <f>VLOOKUP(OverzichtGlas[[#This Row],[Code Locatie]],Locaties[],2,0)</f>
        <v>Novalis College nieuwbouw</v>
      </c>
      <c r="C32" s="239"/>
      <c r="D32" s="342" t="str">
        <f>IF(Glasbewassing!$C32&gt;0,VLOOKUP(Glasbewassing!$C32,$A$8:$B$21,2,FALSE),"Hier vult u de inzet van eventuele hoogwerkers in")</f>
        <v>Hier vult u de inzet van eventuele hoogwerkers in</v>
      </c>
      <c r="E32" s="239"/>
      <c r="F32" s="343">
        <v>3</v>
      </c>
      <c r="G32" s="344">
        <f>IF(C32&gt;0,VLOOKUP(OverzichtGlas[[#This Row],[Code taak]],InvulGlas[],3,0)*E32*F32,0)</f>
        <v>0</v>
      </c>
    </row>
    <row r="33" spans="1:8" ht="14.25" customHeight="1">
      <c r="A33" s="337">
        <v>2</v>
      </c>
      <c r="B33" s="272" t="str">
        <f>VLOOKUP(OverzichtGlas[[#This Row],[Code Locatie]],Locaties[],2,0)</f>
        <v>Novalis College nieuwbouw</v>
      </c>
      <c r="C33" s="341" t="s">
        <v>937</v>
      </c>
      <c r="D33" s="342" t="str">
        <f>IF(Glasbewassing!$C33&gt;0,VLOOKUP(Glasbewassing!$C33,$A$8:$B$21,2,FALSE),"Hier vult u de inzet van eventuele hoogwerkers in")</f>
        <v>Tuckerpool</v>
      </c>
      <c r="E33" s="239"/>
      <c r="F33" s="343">
        <v>3</v>
      </c>
      <c r="G33" s="344">
        <f>IF(C33&gt;0,VLOOKUP(OverzichtGlas[[#This Row],[Code taak]],InvulGlas[],3,0)*E33*F33,0)</f>
        <v>0</v>
      </c>
    </row>
    <row r="34" spans="1:8" ht="15" customHeight="1">
      <c r="A34" s="337">
        <v>3</v>
      </c>
      <c r="B34" s="272" t="str">
        <f>VLOOKUP(OverzichtGlas[[#This Row],[Code Locatie]],Locaties[],2,0)</f>
        <v>Karel de Grote College</v>
      </c>
      <c r="C34" s="337">
        <v>1</v>
      </c>
      <c r="D34" s="342" t="str">
        <f>IF(Glasbewassing!$C34&gt;0,VLOOKUP(Glasbewassing!$C34,$A$8:$B$21,2,FALSE),"Hier vult u de inzet van eventuele hoogwerkers in")</f>
        <v>Gevelglas binnenzijde</v>
      </c>
      <c r="E34" s="343">
        <v>1191</v>
      </c>
      <c r="F34" s="343">
        <v>3</v>
      </c>
      <c r="G34" s="344">
        <f>IF(C34&gt;0,VLOOKUP(OverzichtGlas[[#This Row],[Code taak]],InvulGlas[],3,0)*E34*F34,0)</f>
        <v>0</v>
      </c>
      <c r="H34" s="4" t="s">
        <v>920</v>
      </c>
    </row>
    <row r="35" spans="1:8" ht="15" customHeight="1">
      <c r="A35" s="337">
        <v>3</v>
      </c>
      <c r="B35" s="272" t="str">
        <f>VLOOKUP(OverzichtGlas[[#This Row],[Code Locatie]],Locaties[],2,0)</f>
        <v>Karel de Grote College</v>
      </c>
      <c r="C35" s="337">
        <v>2</v>
      </c>
      <c r="D35" s="342" t="str">
        <f>IF(Glasbewassing!$C35&gt;0,VLOOKUP(Glasbewassing!$C35,$A$8:$B$21,2,FALSE),"Hier vult u de inzet van eventuele hoogwerkers in")</f>
        <v>Gevelglas buitenzijde</v>
      </c>
      <c r="E35" s="343">
        <v>1191</v>
      </c>
      <c r="F35" s="343">
        <v>3</v>
      </c>
      <c r="G35" s="344">
        <f>IF(C35&gt;0,VLOOKUP(OverzichtGlas[[#This Row],[Code taak]],InvulGlas[],3,0)*E35*F35,0)</f>
        <v>0</v>
      </c>
      <c r="H35" s="4" t="s">
        <v>920</v>
      </c>
    </row>
    <row r="36" spans="1:8" ht="15" customHeight="1">
      <c r="A36" s="337">
        <v>3</v>
      </c>
      <c r="B36" s="272" t="str">
        <f>VLOOKUP(OverzichtGlas[[#This Row],[Code Locatie]],Locaties[],2,0)</f>
        <v>Karel de Grote College</v>
      </c>
      <c r="C36" s="337">
        <v>3</v>
      </c>
      <c r="D36" s="342" t="str">
        <f>IF(Glasbewassing!$C36&gt;0,VLOOKUP(Glasbewassing!$C36,$A$8:$B$21,2,FALSE),"Hier vult u de inzet van eventuele hoogwerkers in")</f>
        <v>Separatieglas (enkel gemeten, dubbel te wassen)</v>
      </c>
      <c r="E36" s="343">
        <v>421</v>
      </c>
      <c r="F36" s="343">
        <v>3</v>
      </c>
      <c r="G36" s="344">
        <f>IF(C36&gt;0,VLOOKUP(OverzichtGlas[[#This Row],[Code taak]],InvulGlas[],3,0)*E36*F36,0)</f>
        <v>0</v>
      </c>
      <c r="H36" s="4" t="s">
        <v>920</v>
      </c>
    </row>
    <row r="37" spans="1:8" ht="15" customHeight="1">
      <c r="A37" s="337">
        <v>3</v>
      </c>
      <c r="B37" s="272" t="str">
        <f>VLOOKUP(OverzichtGlas[[#This Row],[Code Locatie]],Locaties[],2,0)</f>
        <v>Karel de Grote College</v>
      </c>
      <c r="C37" s="239"/>
      <c r="D37" s="342" t="str">
        <f>IF(Glasbewassing!$C37&gt;0,VLOOKUP(Glasbewassing!$C37,$A$8:$B$21,2,FALSE),"Hier vult u de inzet van eventuele hoogwerkers in")</f>
        <v>Hier vult u de inzet van eventuele hoogwerkers in</v>
      </c>
      <c r="E37" s="239"/>
      <c r="F37" s="343">
        <v>3</v>
      </c>
      <c r="G37" s="344">
        <f>IF(C37&gt;0,VLOOKUP(OverzichtGlas[[#This Row],[Code taak]],InvulGlas[],3,0)*E37*F37,0)</f>
        <v>0</v>
      </c>
    </row>
    <row r="38" spans="1:8" ht="15" customHeight="1">
      <c r="A38" s="337">
        <v>3</v>
      </c>
      <c r="B38" s="272" t="str">
        <f>VLOOKUP(OverzichtGlas[[#This Row],[Code Locatie]],Locaties[],2,0)</f>
        <v>Karel de Grote College</v>
      </c>
      <c r="C38" s="341" t="s">
        <v>937</v>
      </c>
      <c r="D38" s="342" t="str">
        <f>IF(Glasbewassing!$C38&gt;0,VLOOKUP(Glasbewassing!$C38,$A$8:$B$21,2,FALSE),"Hier vult u de inzet van eventuele hoogwerkers in")</f>
        <v>Tuckerpool</v>
      </c>
      <c r="E38" s="239"/>
      <c r="F38" s="343">
        <v>3</v>
      </c>
      <c r="G38" s="344">
        <f>IF(C38&gt;0,VLOOKUP(OverzichtGlas[[#This Row],[Code taak]],InvulGlas[],3,0)*E38*F38,0)</f>
        <v>0</v>
      </c>
    </row>
    <row r="39" spans="1:8" ht="15" customHeight="1">
      <c r="A39" s="168" t="s">
        <v>33</v>
      </c>
      <c r="B39" s="169"/>
      <c r="C39" s="168"/>
      <c r="D39" s="170"/>
      <c r="E39" s="168"/>
      <c r="F39" s="168"/>
      <c r="G39" s="171">
        <f>SUBTOTAL(109,OverzichtGlas[Kosten/jaar excl. BTW])</f>
        <v>0</v>
      </c>
    </row>
    <row r="40" spans="1:8" ht="15" customHeight="1">
      <c r="C40" s="35"/>
      <c r="D40" s="35"/>
      <c r="E40" s="35"/>
      <c r="F40" s="41"/>
      <c r="G40" s="36"/>
    </row>
    <row r="41" spans="1:8" ht="15" customHeight="1">
      <c r="C41" s="21"/>
      <c r="D41" s="4"/>
    </row>
    <row r="42" spans="1:8" ht="15" customHeight="1">
      <c r="C42" s="21"/>
      <c r="D42" s="4"/>
    </row>
    <row r="43" spans="1:8" ht="15" customHeight="1">
      <c r="C43" s="21"/>
      <c r="D43" s="4"/>
    </row>
    <row r="44" spans="1:8" ht="15" customHeight="1">
      <c r="C44" s="21"/>
      <c r="D44" s="4"/>
    </row>
    <row r="45" spans="1:8" ht="15" customHeight="1">
      <c r="C45" s="21"/>
      <c r="D45" s="4"/>
    </row>
    <row r="46" spans="1:8" ht="15" customHeight="1">
      <c r="C46" s="21"/>
      <c r="D46" s="4"/>
    </row>
    <row r="47" spans="1:8" ht="15" customHeight="1">
      <c r="C47" s="21"/>
      <c r="D47" s="4"/>
    </row>
    <row r="48" spans="1:8" ht="15" customHeight="1">
      <c r="C48" s="21"/>
      <c r="D48" s="4"/>
    </row>
    <row r="49" spans="3:4" ht="15" customHeight="1">
      <c r="C49" s="21"/>
      <c r="D49" s="4"/>
    </row>
    <row r="50" spans="3:4" ht="15" customHeight="1">
      <c r="C50" s="21"/>
      <c r="D50" s="4"/>
    </row>
    <row r="51" spans="3:4" ht="15" customHeight="1">
      <c r="C51" s="21"/>
      <c r="D51" s="4"/>
    </row>
    <row r="52" spans="3:4" ht="15" customHeight="1">
      <c r="C52" s="21"/>
      <c r="D52" s="4"/>
    </row>
    <row r="53" spans="3:4" ht="15" customHeight="1">
      <c r="C53" s="21"/>
      <c r="D53" s="4"/>
    </row>
    <row r="54" spans="3:4" ht="15" customHeight="1">
      <c r="C54" s="21"/>
      <c r="D54" s="4"/>
    </row>
    <row r="55" spans="3:4" ht="15" customHeight="1">
      <c r="C55" s="21"/>
      <c r="D55" s="4"/>
    </row>
    <row r="56" spans="3:4" ht="15" customHeight="1">
      <c r="C56" s="21"/>
      <c r="D56" s="4"/>
    </row>
    <row r="57" spans="3:4" ht="15" customHeight="1">
      <c r="C57" s="21"/>
      <c r="D57" s="4"/>
    </row>
    <row r="58" spans="3:4" ht="15" customHeight="1">
      <c r="C58" s="21"/>
      <c r="D58" s="4"/>
    </row>
    <row r="59" spans="3:4" ht="15" customHeight="1">
      <c r="C59" s="21"/>
      <c r="D59" s="4"/>
    </row>
    <row r="60" spans="3:4" ht="15" customHeight="1">
      <c r="C60" s="21"/>
      <c r="D60" s="4"/>
    </row>
    <row r="61" spans="3:4" ht="15" customHeight="1">
      <c r="C61" s="21"/>
      <c r="D61" s="4"/>
    </row>
    <row r="62" spans="3:4" ht="15" customHeight="1">
      <c r="C62" s="21"/>
      <c r="D62" s="4"/>
    </row>
    <row r="63" spans="3:4" ht="15" customHeight="1">
      <c r="C63" s="21"/>
      <c r="D63" s="4"/>
    </row>
    <row r="64" spans="3:4" ht="15" customHeight="1">
      <c r="C64" s="21"/>
      <c r="D64" s="4"/>
    </row>
    <row r="65" spans="3:4" ht="15" customHeight="1">
      <c r="C65" s="21"/>
      <c r="D65" s="4"/>
    </row>
    <row r="66" spans="3:4" ht="15" customHeight="1">
      <c r="C66" s="21"/>
      <c r="D66" s="4"/>
    </row>
    <row r="67" spans="3:4" ht="15" customHeight="1">
      <c r="C67" s="21"/>
      <c r="D67" s="4"/>
    </row>
    <row r="68" spans="3:4" ht="15" customHeight="1">
      <c r="C68" s="21"/>
      <c r="D68" s="4"/>
    </row>
    <row r="69" spans="3:4" ht="15" customHeight="1">
      <c r="C69" s="21"/>
      <c r="D69" s="4"/>
    </row>
    <row r="70" spans="3:4" ht="15" customHeight="1">
      <c r="C70" s="21"/>
      <c r="D70" s="4"/>
    </row>
    <row r="71" spans="3:4" ht="15" customHeight="1">
      <c r="C71" s="21"/>
      <c r="D71" s="4"/>
    </row>
    <row r="72" spans="3:4" ht="15" customHeight="1">
      <c r="C72" s="21"/>
      <c r="D72" s="4"/>
    </row>
    <row r="73" spans="3:4" ht="15" customHeight="1">
      <c r="C73" s="21"/>
      <c r="D73" s="4"/>
    </row>
    <row r="74" spans="3:4" ht="15" customHeight="1">
      <c r="C74" s="21"/>
      <c r="D74" s="4"/>
    </row>
    <row r="75" spans="3:4" ht="15" customHeight="1">
      <c r="C75" s="21"/>
      <c r="D75" s="4"/>
    </row>
    <row r="76" spans="3:4" ht="15" customHeight="1">
      <c r="C76" s="21"/>
      <c r="D76" s="4"/>
    </row>
    <row r="77" spans="3:4" ht="15" customHeight="1">
      <c r="C77" s="21"/>
      <c r="D77" s="4"/>
    </row>
    <row r="78" spans="3:4" ht="15" customHeight="1">
      <c r="C78" s="21"/>
      <c r="D78" s="4"/>
    </row>
    <row r="79" spans="3:4" ht="15" customHeight="1">
      <c r="C79" s="21"/>
      <c r="D79" s="4"/>
    </row>
    <row r="80" spans="3:4" ht="15" customHeight="1">
      <c r="C80" s="21"/>
      <c r="D80" s="4"/>
    </row>
    <row r="81" spans="3:4" ht="15" customHeight="1">
      <c r="C81" s="21"/>
      <c r="D81" s="4"/>
    </row>
    <row r="82" spans="3:4" ht="15" customHeight="1">
      <c r="C82" s="21"/>
      <c r="D82" s="4"/>
    </row>
    <row r="83" spans="3:4" ht="15" customHeight="1">
      <c r="C83" s="21"/>
      <c r="D83" s="4"/>
    </row>
    <row r="84" spans="3:4" ht="15" customHeight="1">
      <c r="C84" s="21"/>
      <c r="D84" s="4"/>
    </row>
    <row r="85" spans="3:4" ht="15" customHeight="1">
      <c r="C85" s="21"/>
      <c r="D85" s="4"/>
    </row>
    <row r="86" spans="3:4" ht="15" customHeight="1">
      <c r="C86" s="21"/>
      <c r="D86" s="4"/>
    </row>
    <row r="87" spans="3:4" ht="15" customHeight="1">
      <c r="C87" s="21"/>
      <c r="D87" s="4"/>
    </row>
    <row r="88" spans="3:4" ht="15" customHeight="1">
      <c r="C88" s="21"/>
      <c r="D88" s="4"/>
    </row>
    <row r="89" spans="3:4" ht="15" customHeight="1">
      <c r="C89" s="21"/>
      <c r="D89" s="4"/>
    </row>
    <row r="90" spans="3:4" ht="15" customHeight="1">
      <c r="C90" s="21"/>
      <c r="D90" s="4"/>
    </row>
    <row r="91" spans="3:4" ht="15" customHeight="1">
      <c r="C91" s="21"/>
      <c r="D91" s="4"/>
    </row>
    <row r="92" spans="3:4" ht="15" customHeight="1">
      <c r="C92" s="21"/>
      <c r="D92" s="4"/>
    </row>
    <row r="93" spans="3:4" ht="15" customHeight="1">
      <c r="C93" s="21"/>
      <c r="D93" s="4"/>
    </row>
    <row r="94" spans="3:4" ht="15" customHeight="1">
      <c r="C94" s="21"/>
      <c r="D94" s="4"/>
    </row>
    <row r="95" spans="3:4" ht="15" customHeight="1">
      <c r="C95" s="21"/>
      <c r="D95" s="4"/>
    </row>
    <row r="96" spans="3:4" ht="15" customHeight="1">
      <c r="C96" s="21"/>
      <c r="D96" s="4"/>
    </row>
    <row r="97" spans="3:4" ht="15" customHeight="1">
      <c r="C97" s="21"/>
      <c r="D97" s="4"/>
    </row>
    <row r="98" spans="3:4" ht="15" customHeight="1">
      <c r="C98" s="21"/>
      <c r="D98" s="4"/>
    </row>
    <row r="99" spans="3:4" ht="15" customHeight="1">
      <c r="C99" s="21"/>
      <c r="D99" s="4"/>
    </row>
    <row r="100" spans="3:4" ht="15" customHeight="1">
      <c r="C100" s="21"/>
      <c r="D100" s="4"/>
    </row>
    <row r="101" spans="3:4" ht="15" customHeight="1">
      <c r="C101" s="21"/>
      <c r="D101" s="4"/>
    </row>
    <row r="102" spans="3:4" ht="15" customHeight="1">
      <c r="C102" s="21"/>
      <c r="D102" s="4"/>
    </row>
    <row r="103" spans="3:4" ht="15" customHeight="1">
      <c r="C103" s="21"/>
      <c r="D103" s="4"/>
    </row>
    <row r="104" spans="3:4" ht="15" customHeight="1">
      <c r="C104" s="21"/>
      <c r="D104" s="4"/>
    </row>
    <row r="105" spans="3:4" ht="15" customHeight="1">
      <c r="C105" s="21"/>
      <c r="D105" s="4"/>
    </row>
    <row r="106" spans="3:4" ht="15" customHeight="1">
      <c r="C106" s="21"/>
      <c r="D106" s="4"/>
    </row>
    <row r="107" spans="3:4" ht="15" customHeight="1">
      <c r="C107" s="21"/>
      <c r="D107" s="4"/>
    </row>
    <row r="108" spans="3:4" ht="15" customHeight="1">
      <c r="C108" s="21"/>
      <c r="D108" s="4"/>
    </row>
    <row r="109" spans="3:4" ht="15" customHeight="1">
      <c r="C109" s="21"/>
      <c r="D109" s="4"/>
    </row>
    <row r="110" spans="3:4" ht="15" customHeight="1">
      <c r="C110" s="21"/>
      <c r="D110" s="4"/>
    </row>
  </sheetData>
  <mergeCells count="3">
    <mergeCell ref="A2:G2"/>
    <mergeCell ref="A1:G1"/>
    <mergeCell ref="E7:I7"/>
  </mergeCells>
  <phoneticPr fontId="19" type="noConversion"/>
  <pageMargins left="0.70866141732283472" right="0.70866141732283472" top="0.35433070866141736" bottom="0.47244094488188981" header="0.31496062992125984" footer="0.31496062992125984"/>
  <pageSetup paperSize="9" scale="40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38"/>
  <sheetViews>
    <sheetView showGridLines="0" view="pageBreakPreview" zoomScaleNormal="100" zoomScaleSheetLayoutView="100" workbookViewId="0">
      <selection activeCell="C9" sqref="C9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21" customWidth="1"/>
    <col min="4" max="4" width="59.85546875" style="4" bestFit="1" customWidth="1"/>
    <col min="5" max="5" width="17.7109375" style="4" bestFit="1" customWidth="1"/>
    <col min="6" max="6" width="17.7109375" style="161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6384" width="9.140625" style="4"/>
  </cols>
  <sheetData>
    <row r="1" spans="1:9" s="9" customFormat="1" ht="26.25" customHeight="1">
      <c r="A1" s="296" t="s">
        <v>172</v>
      </c>
      <c r="B1" s="296"/>
      <c r="C1" s="296"/>
      <c r="D1" s="296"/>
      <c r="E1" s="296"/>
      <c r="F1" s="296"/>
      <c r="G1" s="296"/>
      <c r="H1" s="296"/>
    </row>
    <row r="2" spans="1:9" s="9" customFormat="1" ht="15" customHeight="1">
      <c r="A2" s="314" t="s">
        <v>436</v>
      </c>
      <c r="B2" s="297"/>
      <c r="C2" s="297"/>
      <c r="D2" s="297"/>
      <c r="E2" s="297"/>
      <c r="F2" s="297"/>
      <c r="G2" s="297"/>
      <c r="H2" s="297"/>
    </row>
    <row r="3" spans="1:9" ht="15" customHeight="1">
      <c r="B3" s="21"/>
      <c r="C3" s="4"/>
    </row>
    <row r="4" spans="1:9" ht="15" customHeight="1">
      <c r="A4" s="4" t="s">
        <v>184</v>
      </c>
      <c r="B4" s="35"/>
      <c r="C4" s="35"/>
      <c r="D4" s="35"/>
      <c r="E4" s="35"/>
      <c r="F4" s="162"/>
      <c r="G4" s="36"/>
    </row>
    <row r="5" spans="1:9" ht="15" customHeight="1">
      <c r="A5" s="4" t="s">
        <v>251</v>
      </c>
      <c r="B5" s="35"/>
      <c r="C5" s="35"/>
      <c r="D5" s="35"/>
      <c r="E5" s="35"/>
      <c r="F5" s="162"/>
      <c r="G5" s="36"/>
    </row>
    <row r="6" spans="1:9" ht="15" customHeight="1">
      <c r="A6" s="4" t="s">
        <v>244</v>
      </c>
      <c r="B6" s="38"/>
      <c r="C6" s="39"/>
      <c r="D6" s="39"/>
      <c r="E6" s="39"/>
      <c r="F6" s="163"/>
    </row>
    <row r="7" spans="1:9" ht="15" customHeight="1">
      <c r="B7" s="38"/>
      <c r="C7" s="38"/>
      <c r="D7" s="34"/>
      <c r="E7" s="315" t="s">
        <v>407</v>
      </c>
      <c r="F7" s="315"/>
      <c r="G7" s="315"/>
      <c r="H7" s="315"/>
      <c r="I7" s="315"/>
    </row>
    <row r="8" spans="1:9" s="8" customFormat="1" ht="26.25" customHeight="1">
      <c r="A8" s="51" t="s">
        <v>215</v>
      </c>
      <c r="B8" s="52" t="s">
        <v>162</v>
      </c>
      <c r="C8" s="53" t="s">
        <v>154</v>
      </c>
      <c r="D8" s="51" t="s">
        <v>217</v>
      </c>
      <c r="E8" s="51" t="s">
        <v>437</v>
      </c>
      <c r="F8" s="51" t="s">
        <v>438</v>
      </c>
      <c r="G8" s="51" t="s">
        <v>439</v>
      </c>
      <c r="H8" s="51" t="s">
        <v>440</v>
      </c>
      <c r="I8" s="51" t="s">
        <v>928</v>
      </c>
    </row>
    <row r="9" spans="1:9" ht="15" customHeight="1">
      <c r="A9" s="54">
        <v>1</v>
      </c>
      <c r="B9" s="55" t="s">
        <v>167</v>
      </c>
      <c r="C9" s="56">
        <v>0</v>
      </c>
      <c r="D9" s="59" t="s">
        <v>163</v>
      </c>
      <c r="E9" s="226" t="e">
        <f>(InvulVloer[[#This Row],[Prijs]]*Tariefsopbouw!$I$37)+InvulVloer[[#This Row],[Prijs]]</f>
        <v>#DIV/0!</v>
      </c>
      <c r="F9" s="228" t="e">
        <f>E9*Tariefsopbouw!$K$37+E9</f>
        <v>#DIV/0!</v>
      </c>
      <c r="G9" s="228" t="e">
        <f>F9*Tariefsopbouw!$M$37+F9</f>
        <v>#DIV/0!</v>
      </c>
      <c r="H9" s="271" t="e">
        <f>G9*Tariefsopbouw!$O$37+InvulVloer[[#This Row],[2025]]</f>
        <v>#DIV/0!</v>
      </c>
      <c r="I9" s="271" t="e">
        <f>H9*Tariefsopbouw!$Q$37+InvulVloer[[#This Row],[2026]]</f>
        <v>#DIV/0!</v>
      </c>
    </row>
    <row r="10" spans="1:9" ht="15" customHeight="1">
      <c r="A10" s="57">
        <v>2</v>
      </c>
      <c r="B10" s="58" t="s">
        <v>408</v>
      </c>
      <c r="C10" s="56">
        <v>0</v>
      </c>
      <c r="D10" s="61" t="s">
        <v>163</v>
      </c>
      <c r="E10" s="227" t="e">
        <f>(InvulVloer[[#This Row],[Prijs]]*Tariefsopbouw!$I$37)+InvulVloer[[#This Row],[Prijs]]</f>
        <v>#DIV/0!</v>
      </c>
      <c r="F10" s="227" t="e">
        <f>E10*Tariefsopbouw!$K$37+E10</f>
        <v>#DIV/0!</v>
      </c>
      <c r="G10" s="227" t="e">
        <f>F10*Tariefsopbouw!$M$37+F10</f>
        <v>#DIV/0!</v>
      </c>
      <c r="H10" s="271" t="e">
        <f>G10*Tariefsopbouw!$O$37+InvulVloer[[#This Row],[2025]]</f>
        <v>#DIV/0!</v>
      </c>
      <c r="I10" s="271" t="e">
        <f>H10*Tariefsopbouw!$Q$37+InvulVloer[[#This Row],[2026]]</f>
        <v>#DIV/0!</v>
      </c>
    </row>
    <row r="11" spans="1:9" ht="15" customHeight="1">
      <c r="A11" s="54">
        <v>3</v>
      </c>
      <c r="B11" s="55" t="s">
        <v>168</v>
      </c>
      <c r="C11" s="56">
        <v>0</v>
      </c>
      <c r="D11" s="59" t="s">
        <v>164</v>
      </c>
      <c r="E11" s="226" t="e">
        <f>(InvulVloer[[#This Row],[Prijs]]*Tariefsopbouw!$I$37)+InvulVloer[[#This Row],[Prijs]]</f>
        <v>#DIV/0!</v>
      </c>
      <c r="F11" s="226" t="e">
        <f>E11*Tariefsopbouw!$K$37+E11</f>
        <v>#DIV/0!</v>
      </c>
      <c r="G11" s="226" t="e">
        <f>F11*Tariefsopbouw!$M$37+F11</f>
        <v>#DIV/0!</v>
      </c>
      <c r="H11" s="271" t="e">
        <f>G11*Tariefsopbouw!$O$37+InvulVloer[[#This Row],[2025]]</f>
        <v>#DIV/0!</v>
      </c>
      <c r="I11" s="271" t="e">
        <f>H11*Tariefsopbouw!$Q$37+InvulVloer[[#This Row],[2026]]</f>
        <v>#DIV/0!</v>
      </c>
    </row>
    <row r="12" spans="1:9" ht="15" customHeight="1">
      <c r="A12" s="57">
        <v>4</v>
      </c>
      <c r="B12" s="58" t="s">
        <v>409</v>
      </c>
      <c r="C12" s="56">
        <v>0</v>
      </c>
      <c r="D12" s="61" t="s">
        <v>163</v>
      </c>
      <c r="E12" s="227" t="e">
        <f>(InvulVloer[[#This Row],[Prijs]]*Tariefsopbouw!$I$37)+InvulVloer[[#This Row],[Prijs]]</f>
        <v>#DIV/0!</v>
      </c>
      <c r="F12" s="227" t="e">
        <f>E12*Tariefsopbouw!$K$37+E12</f>
        <v>#DIV/0!</v>
      </c>
      <c r="G12" s="227" t="e">
        <f>F12*Tariefsopbouw!$M$37+F12</f>
        <v>#DIV/0!</v>
      </c>
      <c r="H12" s="271" t="e">
        <f>G12*Tariefsopbouw!$O$37+InvulVloer[[#This Row],[2025]]</f>
        <v>#DIV/0!</v>
      </c>
      <c r="I12" s="271" t="e">
        <f>H12*Tariefsopbouw!$Q$37+InvulVloer[[#This Row],[2026]]</f>
        <v>#DIV/0!</v>
      </c>
    </row>
    <row r="13" spans="1:9" ht="15" customHeight="1">
      <c r="A13" s="54">
        <v>5</v>
      </c>
      <c r="B13" s="55" t="s">
        <v>410</v>
      </c>
      <c r="C13" s="56">
        <v>0</v>
      </c>
      <c r="D13" s="59" t="s">
        <v>163</v>
      </c>
      <c r="E13" s="226" t="e">
        <f>(InvulVloer[[#This Row],[Prijs]]*Tariefsopbouw!$I$37)+InvulVloer[[#This Row],[Prijs]]</f>
        <v>#DIV/0!</v>
      </c>
      <c r="F13" s="226" t="e">
        <f>E13*Tariefsopbouw!$K$37+E13</f>
        <v>#DIV/0!</v>
      </c>
      <c r="G13" s="226" t="e">
        <f>F13*Tariefsopbouw!$M$37+F13</f>
        <v>#DIV/0!</v>
      </c>
      <c r="H13" s="271" t="e">
        <f>G13*Tariefsopbouw!$O$37+InvulVloer[[#This Row],[2025]]</f>
        <v>#DIV/0!</v>
      </c>
      <c r="I13" s="271" t="e">
        <f>H13*Tariefsopbouw!$Q$37+InvulVloer[[#This Row],[2026]]</f>
        <v>#DIV/0!</v>
      </c>
    </row>
    <row r="14" spans="1:9" ht="15" customHeight="1">
      <c r="A14" s="57">
        <v>6</v>
      </c>
      <c r="B14" s="58" t="s">
        <v>169</v>
      </c>
      <c r="C14" s="56">
        <v>0</v>
      </c>
      <c r="D14" s="61" t="s">
        <v>163</v>
      </c>
      <c r="E14" s="227" t="e">
        <f>(InvulVloer[[#This Row],[Prijs]]*Tariefsopbouw!$I$37)+InvulVloer[[#This Row],[Prijs]]</f>
        <v>#DIV/0!</v>
      </c>
      <c r="F14" s="227" t="e">
        <f>E14*Tariefsopbouw!$K$37+E14</f>
        <v>#DIV/0!</v>
      </c>
      <c r="G14" s="227" t="e">
        <f>F14*Tariefsopbouw!$M$37+F14</f>
        <v>#DIV/0!</v>
      </c>
      <c r="H14" s="271" t="e">
        <f>G14*Tariefsopbouw!$O$37+InvulVloer[[#This Row],[2025]]</f>
        <v>#DIV/0!</v>
      </c>
      <c r="I14" s="271" t="e">
        <f>H14*Tariefsopbouw!$Q$37+InvulVloer[[#This Row],[2026]]</f>
        <v>#DIV/0!</v>
      </c>
    </row>
    <row r="15" spans="1:9" ht="15" customHeight="1">
      <c r="A15" s="54">
        <v>7</v>
      </c>
      <c r="B15" s="59" t="s">
        <v>171</v>
      </c>
      <c r="C15" s="56">
        <v>0</v>
      </c>
      <c r="D15" s="59" t="s">
        <v>163</v>
      </c>
      <c r="E15" s="226" t="e">
        <f>(InvulVloer[[#This Row],[Prijs]]*Tariefsopbouw!$I$37)+InvulVloer[[#This Row],[Prijs]]</f>
        <v>#DIV/0!</v>
      </c>
      <c r="F15" s="226" t="e">
        <f>E15*Tariefsopbouw!$K$37+E15</f>
        <v>#DIV/0!</v>
      </c>
      <c r="G15" s="226" t="e">
        <f>F15*Tariefsopbouw!$M$37+F15</f>
        <v>#DIV/0!</v>
      </c>
      <c r="H15" s="271" t="e">
        <f>G15*Tariefsopbouw!$O$37+InvulVloer[[#This Row],[2025]]</f>
        <v>#DIV/0!</v>
      </c>
      <c r="I15" s="271" t="e">
        <f>H15*Tariefsopbouw!$Q$37+InvulVloer[[#This Row],[2026]]</f>
        <v>#DIV/0!</v>
      </c>
    </row>
    <row r="16" spans="1:9" ht="15" customHeight="1">
      <c r="A16" s="57">
        <v>8</v>
      </c>
      <c r="B16" s="60" t="s">
        <v>203</v>
      </c>
      <c r="C16" s="56">
        <v>0</v>
      </c>
      <c r="D16" s="61" t="s">
        <v>163</v>
      </c>
      <c r="E16" s="227" t="e">
        <f>(InvulVloer[[#This Row],[Prijs]]*Tariefsopbouw!$I$37)+InvulVloer[[#This Row],[Prijs]]</f>
        <v>#DIV/0!</v>
      </c>
      <c r="F16" s="227" t="e">
        <f>E16*Tariefsopbouw!$K$37+E16</f>
        <v>#DIV/0!</v>
      </c>
      <c r="G16" s="227" t="e">
        <f>F16*Tariefsopbouw!$M$37+F16</f>
        <v>#DIV/0!</v>
      </c>
      <c r="H16" s="271" t="e">
        <f>G16*Tariefsopbouw!$O$37+InvulVloer[[#This Row],[2025]]</f>
        <v>#DIV/0!</v>
      </c>
      <c r="I16" s="271" t="e">
        <f>H16*Tariefsopbouw!$Q$37+InvulVloer[[#This Row],[2026]]</f>
        <v>#DIV/0!</v>
      </c>
    </row>
    <row r="17" spans="1:9" ht="15" customHeight="1">
      <c r="B17" s="21"/>
      <c r="E17" s="40"/>
      <c r="F17" s="164"/>
      <c r="G17" s="40"/>
      <c r="H17" s="40"/>
    </row>
    <row r="18" spans="1:9" s="33" customFormat="1" ht="26.25" customHeight="1">
      <c r="A18" s="51" t="s">
        <v>214</v>
      </c>
      <c r="B18" s="52" t="s">
        <v>147</v>
      </c>
      <c r="C18" s="51" t="s">
        <v>215</v>
      </c>
      <c r="D18" s="62" t="s">
        <v>256</v>
      </c>
      <c r="E18" s="62" t="s">
        <v>165</v>
      </c>
      <c r="F18" s="165" t="s">
        <v>166</v>
      </c>
      <c r="G18" s="62" t="s">
        <v>170</v>
      </c>
      <c r="H18" s="63" t="s">
        <v>149</v>
      </c>
      <c r="I18" s="62" t="s">
        <v>429</v>
      </c>
    </row>
    <row r="19" spans="1:9" ht="15" customHeight="1">
      <c r="A19" s="54">
        <v>1</v>
      </c>
      <c r="B19" s="59" t="str">
        <f>VLOOKUP(OverzichtVloer[[#This Row],[Code Locatie]],Locaties[],2,0)</f>
        <v>Novalis College hoofdgebouw</v>
      </c>
      <c r="C19" s="54">
        <v>1</v>
      </c>
      <c r="D19" s="64" t="str">
        <f>IF(Vloeronderhoud!$C19&gt;0,VLOOKUP(Vloeronderhoud!$C19,$A$8:$B$16,2,FALSE),"")</f>
        <v>Sprayen/opblokken</v>
      </c>
      <c r="E19" s="65" t="s">
        <v>110</v>
      </c>
      <c r="F19" s="166">
        <f>SUMIFS('Ruimtestaat'!$N:$N,'Ruimtestaat'!L:L,Vloeronderhoud!E19,'Ruimtestaat'!A:A,Vloeronderhoud!A19)</f>
        <v>2575</v>
      </c>
      <c r="G19" s="67">
        <v>0</v>
      </c>
      <c r="H19" s="66">
        <f>VLOOKUP(OverzichtVloer[[#This Row],[Code Taak]],InvulVloer[],3,3)*F19*G19</f>
        <v>0</v>
      </c>
      <c r="I19" s="54"/>
    </row>
    <row r="20" spans="1:9" ht="15" customHeight="1">
      <c r="A20" s="57">
        <v>1</v>
      </c>
      <c r="B20" s="61" t="str">
        <f>VLOOKUP(OverzichtVloer[[#This Row],[Code Locatie]],Locaties[],2,0)</f>
        <v>Novalis College hoofdgebouw</v>
      </c>
      <c r="C20" s="57">
        <v>2</v>
      </c>
      <c r="D20" s="68" t="str">
        <f>IF(Vloeronderhoud!$C20&gt;0,VLOOKUP(Vloeronderhoud!$C20,$A$8:$B$16,2,FALSE),"")</f>
        <v>Topstrippen en conserveren</v>
      </c>
      <c r="E20" s="69" t="s">
        <v>110</v>
      </c>
      <c r="F20" s="167">
        <f>SUMIFS('Ruimtestaat'!$N:$N,'Ruimtestaat'!L:L,Vloeronderhoud!E20,'Ruimtestaat'!A:A,Vloeronderhoud!A20)</f>
        <v>2575</v>
      </c>
      <c r="G20" s="71">
        <v>1</v>
      </c>
      <c r="H20" s="70">
        <f>VLOOKUP(OverzichtVloer[[#This Row],[Code Taak]],InvulVloer[],3,3)*F20*G20</f>
        <v>0</v>
      </c>
      <c r="I20" s="68"/>
    </row>
    <row r="21" spans="1:9" ht="15" customHeight="1">
      <c r="A21" s="54">
        <v>1</v>
      </c>
      <c r="B21" s="59" t="str">
        <f>VLOOKUP(OverzichtVloer[[#This Row],[Code Locatie]],Locaties[],2,0)</f>
        <v>Novalis College hoofdgebouw</v>
      </c>
      <c r="C21" s="54">
        <v>4</v>
      </c>
      <c r="D21" s="64" t="str">
        <f>IF(Vloeronderhoud!$C21&gt;0,VLOOKUP(Vloeronderhoud!$C21,$A$8:$B$16,2,FALSE),"")</f>
        <v>Tapijtreinigen, sproei-extractiemethode</v>
      </c>
      <c r="E21" s="65" t="s">
        <v>109</v>
      </c>
      <c r="F21" s="166">
        <f>SUMIFS('Ruimtestaat'!$N:$N,'Ruimtestaat'!L:L,Vloeronderhoud!E21,'Ruimtestaat'!A:A,Vloeronderhoud!A21)</f>
        <v>64</v>
      </c>
      <c r="G21" s="67">
        <v>1</v>
      </c>
      <c r="H21" s="66">
        <f>VLOOKUP(OverzichtVloer[[#This Row],[Code Taak]],InvulVloer[],3,3)*F21*G21</f>
        <v>0</v>
      </c>
      <c r="I21" s="54"/>
    </row>
    <row r="22" spans="1:9" ht="15" customHeight="1">
      <c r="A22" s="57">
        <v>1</v>
      </c>
      <c r="B22" s="61" t="str">
        <f>VLOOKUP(OverzichtVloer[[#This Row],[Code Locatie]],Locaties[],2,0)</f>
        <v>Novalis College hoofdgebouw</v>
      </c>
      <c r="C22" s="57">
        <v>6</v>
      </c>
      <c r="D22" s="68" t="str">
        <f>IF(Vloeronderhoud!$C22&gt;0,VLOOKUP(Vloeronderhoud!$C22,$A$8:$B$16,2,FALSE),"")</f>
        <v>Schuren en lakken houten vloer</v>
      </c>
      <c r="E22" s="69" t="s">
        <v>762</v>
      </c>
      <c r="F22" s="167">
        <f>SUMIFS('Ruimtestaat'!$N:$N,'Ruimtestaat'!L:L,Vloeronderhoud!E22,'Ruimtestaat'!A:A,Vloeronderhoud!A22)</f>
        <v>484</v>
      </c>
      <c r="G22" s="71">
        <v>0</v>
      </c>
      <c r="H22" s="70">
        <f>VLOOKUP(OverzichtVloer[[#This Row],[Code Taak]],InvulVloer[],3,3)*F22*G22</f>
        <v>0</v>
      </c>
      <c r="I22" s="68"/>
    </row>
    <row r="23" spans="1:9" ht="15" customHeight="1">
      <c r="A23" s="54">
        <v>1</v>
      </c>
      <c r="B23" s="59" t="str">
        <f>VLOOKUP(OverzichtVloer[[#This Row],[Code Locatie]],Locaties[],2,0)</f>
        <v>Novalis College hoofdgebouw</v>
      </c>
      <c r="C23" s="54">
        <v>8</v>
      </c>
      <c r="D23" s="64" t="str">
        <f>IF(Vloeronderhoud!$C23&gt;0,VLOOKUP(Vloeronderhoud!$C23,$A$8:$B$16,2,FALSE),"")</f>
        <v>Machinaal schrobben en droogzuigen</v>
      </c>
      <c r="E23" s="65" t="s">
        <v>112</v>
      </c>
      <c r="F23" s="166">
        <f>SUMIFS('Ruimtestaat'!$N:$N,'Ruimtestaat'!L:L,Vloeronderhoud!E23,'Ruimtestaat'!A:A,Vloeronderhoud!A23)</f>
        <v>2</v>
      </c>
      <c r="G23" s="67">
        <v>2</v>
      </c>
      <c r="H23" s="66">
        <f>VLOOKUP(OverzichtVloer[[#This Row],[Code Taak]],InvulVloer[],3,3)*F23*G23</f>
        <v>0</v>
      </c>
      <c r="I23" s="54"/>
    </row>
    <row r="24" spans="1:9" ht="15" customHeight="1">
      <c r="A24" s="57">
        <v>1</v>
      </c>
      <c r="B24" s="61" t="str">
        <f>VLOOKUP(OverzichtVloer[[#This Row],[Code Locatie]],Locaties[],2,0)</f>
        <v>Novalis College hoofdgebouw</v>
      </c>
      <c r="C24" s="57">
        <v>8</v>
      </c>
      <c r="D24" s="68" t="str">
        <f>IF(Vloeronderhoud!$C24&gt;0,VLOOKUP(Vloeronderhoud!$C24,$A$8:$B$16,2,FALSE),"")</f>
        <v>Machinaal schrobben en droogzuigen</v>
      </c>
      <c r="E24" s="69" t="s">
        <v>111</v>
      </c>
      <c r="F24" s="167">
        <f>SUMIFS('Ruimtestaat'!$N:$N,'Ruimtestaat'!L:L,Vloeronderhoud!E24,'Ruimtestaat'!A:A,Vloeronderhoud!A24)</f>
        <v>239</v>
      </c>
      <c r="G24" s="71">
        <v>2</v>
      </c>
      <c r="H24" s="70">
        <f>VLOOKUP(OverzichtVloer[[#This Row],[Code Taak]],InvulVloer[],3,3)*F24*G24</f>
        <v>0</v>
      </c>
      <c r="I24" s="68"/>
    </row>
    <row r="25" spans="1:9" ht="15" customHeight="1">
      <c r="A25" s="54">
        <v>2</v>
      </c>
      <c r="B25" s="59" t="str">
        <f>VLOOKUP(OverzichtVloer[[#This Row],[Code Locatie]],Locaties[],2,0)</f>
        <v>Novalis College nieuwbouw</v>
      </c>
      <c r="C25" s="54">
        <v>1</v>
      </c>
      <c r="D25" s="64" t="str">
        <f>IF(Vloeronderhoud!$C25&gt;0,VLOOKUP(Vloeronderhoud!$C25,$A$8:$B$16,2,FALSE),"")</f>
        <v>Sprayen/opblokken</v>
      </c>
      <c r="E25" s="65" t="s">
        <v>110</v>
      </c>
      <c r="F25" s="166">
        <f>SUMIFS('Ruimtestaat'!$N:$N,'Ruimtestaat'!L:L,Vloeronderhoud!E25,'Ruimtestaat'!A:A,Vloeronderhoud!A25)</f>
        <v>1006</v>
      </c>
      <c r="G25" s="67">
        <v>0</v>
      </c>
      <c r="H25" s="66">
        <f>VLOOKUP(OverzichtVloer[[#This Row],[Code Taak]],InvulVloer[],3,3)*F25*G25</f>
        <v>0</v>
      </c>
      <c r="I25" s="54"/>
    </row>
    <row r="26" spans="1:9" ht="15" customHeight="1">
      <c r="A26" s="57">
        <v>2</v>
      </c>
      <c r="B26" s="61" t="str">
        <f>VLOOKUP(OverzichtVloer[[#This Row],[Code Locatie]],Locaties[],2,0)</f>
        <v>Novalis College nieuwbouw</v>
      </c>
      <c r="C26" s="57">
        <v>2</v>
      </c>
      <c r="D26" s="68" t="str">
        <f>IF(Vloeronderhoud!$C26&gt;0,VLOOKUP(Vloeronderhoud!$C26,$A$8:$B$16,2,FALSE),"")</f>
        <v>Topstrippen en conserveren</v>
      </c>
      <c r="E26" s="69" t="s">
        <v>110</v>
      </c>
      <c r="F26" s="167">
        <f>SUMIFS('Ruimtestaat'!$N:$N,'Ruimtestaat'!L:L,Vloeronderhoud!E26,'Ruimtestaat'!A:A,Vloeronderhoud!A26)</f>
        <v>1006</v>
      </c>
      <c r="G26" s="71">
        <v>1</v>
      </c>
      <c r="H26" s="70">
        <f>VLOOKUP(OverzichtVloer[[#This Row],[Code Taak]],InvulVloer[],3,3)*F26*G26</f>
        <v>0</v>
      </c>
      <c r="I26" s="68"/>
    </row>
    <row r="27" spans="1:9" ht="15" customHeight="1">
      <c r="A27" s="54">
        <v>2</v>
      </c>
      <c r="B27" s="59" t="str">
        <f>VLOOKUP(OverzichtVloer[[#This Row],[Code Locatie]],Locaties[],2,0)</f>
        <v>Novalis College nieuwbouw</v>
      </c>
      <c r="C27" s="54">
        <v>4</v>
      </c>
      <c r="D27" s="64" t="str">
        <f>IF(Vloeronderhoud!$C27&gt;0,VLOOKUP(Vloeronderhoud!$C27,$A$8:$B$16,2,FALSE),"")</f>
        <v>Tapijtreinigen, sproei-extractiemethode</v>
      </c>
      <c r="E27" s="65" t="s">
        <v>109</v>
      </c>
      <c r="F27" s="166">
        <f>SUMIFS('Ruimtestaat'!$N:$N,'Ruimtestaat'!L:L,Vloeronderhoud!E27,'Ruimtestaat'!A:A,Vloeronderhoud!A27)</f>
        <v>9</v>
      </c>
      <c r="G27" s="67">
        <v>1</v>
      </c>
      <c r="H27" s="66">
        <f>VLOOKUP(OverzichtVloer[[#This Row],[Code Taak]],InvulVloer[],3,3)*F27*G27</f>
        <v>0</v>
      </c>
      <c r="I27" s="54"/>
    </row>
    <row r="28" spans="1:9" ht="15" customHeight="1">
      <c r="A28" s="57">
        <v>2</v>
      </c>
      <c r="B28" s="61" t="str">
        <f>VLOOKUP(OverzichtVloer[[#This Row],[Code Locatie]],Locaties[],2,0)</f>
        <v>Novalis College nieuwbouw</v>
      </c>
      <c r="C28" s="57">
        <v>6</v>
      </c>
      <c r="D28" s="68" t="str">
        <f>IF(Vloeronderhoud!$C28&gt;0,VLOOKUP(Vloeronderhoud!$C28,$A$8:$B$16,2,FALSE),"")</f>
        <v>Schuren en lakken houten vloer</v>
      </c>
      <c r="E28" s="69" t="s">
        <v>762</v>
      </c>
      <c r="F28" s="167">
        <f>SUMIFS('Ruimtestaat'!$N:$N,'Ruimtestaat'!L:L,Vloeronderhoud!E28,'Ruimtestaat'!A:A,Vloeronderhoud!A28)</f>
        <v>0</v>
      </c>
      <c r="G28" s="71">
        <v>0</v>
      </c>
      <c r="H28" s="70">
        <f>VLOOKUP(OverzichtVloer[[#This Row],[Code Taak]],InvulVloer[],3,3)*F28*G28</f>
        <v>0</v>
      </c>
      <c r="I28" s="68"/>
    </row>
    <row r="29" spans="1:9" ht="15" customHeight="1">
      <c r="A29" s="54">
        <v>2</v>
      </c>
      <c r="B29" s="59" t="str">
        <f>VLOOKUP(OverzichtVloer[[#This Row],[Code Locatie]],Locaties[],2,0)</f>
        <v>Novalis College nieuwbouw</v>
      </c>
      <c r="C29" s="54">
        <v>8</v>
      </c>
      <c r="D29" s="64" t="str">
        <f>IF(Vloeronderhoud!$C29&gt;0,VLOOKUP(Vloeronderhoud!$C29,$A$8:$B$16,2,FALSE),"")</f>
        <v>Machinaal schrobben en droogzuigen</v>
      </c>
      <c r="E29" s="65" t="s">
        <v>112</v>
      </c>
      <c r="F29" s="166">
        <f>SUMIFS('Ruimtestaat'!$N:$N,'Ruimtestaat'!L:L,Vloeronderhoud!E29,'Ruimtestaat'!A:A,Vloeronderhoud!A29)</f>
        <v>0</v>
      </c>
      <c r="G29" s="67">
        <v>2</v>
      </c>
      <c r="H29" s="66">
        <f>VLOOKUP(OverzichtVloer[[#This Row],[Code Taak]],InvulVloer[],3,3)*F29*G29</f>
        <v>0</v>
      </c>
      <c r="I29" s="54"/>
    </row>
    <row r="30" spans="1:9" ht="15" customHeight="1">
      <c r="A30" s="57">
        <v>2</v>
      </c>
      <c r="B30" s="61" t="str">
        <f>VLOOKUP(OverzichtVloer[[#This Row],[Code Locatie]],Locaties[],2,0)</f>
        <v>Novalis College nieuwbouw</v>
      </c>
      <c r="C30" s="57">
        <v>8</v>
      </c>
      <c r="D30" s="68" t="str">
        <f>IF(Vloeronderhoud!$C30&gt;0,VLOOKUP(Vloeronderhoud!$C30,$A$8:$B$16,2,FALSE),"")</f>
        <v>Machinaal schrobben en droogzuigen</v>
      </c>
      <c r="E30" s="69" t="s">
        <v>111</v>
      </c>
      <c r="F30" s="167">
        <f>SUMIFS('Ruimtestaat'!$N:$N,'Ruimtestaat'!L:L,Vloeronderhoud!E30,'Ruimtestaat'!A:A,Vloeronderhoud!A30)</f>
        <v>49</v>
      </c>
      <c r="G30" s="71">
        <v>2</v>
      </c>
      <c r="H30" s="70">
        <f>VLOOKUP(OverzichtVloer[[#This Row],[Code Taak]],InvulVloer[],3,3)*F30*G30</f>
        <v>0</v>
      </c>
      <c r="I30" s="68"/>
    </row>
    <row r="31" spans="1:9" ht="15" customHeight="1">
      <c r="A31" s="54">
        <v>3</v>
      </c>
      <c r="B31" s="59" t="str">
        <f>VLOOKUP(OverzichtVloer[[#This Row],[Code Locatie]],Locaties[],2,0)</f>
        <v>Karel de Grote College</v>
      </c>
      <c r="C31" s="54">
        <v>1</v>
      </c>
      <c r="D31" s="64" t="str">
        <f>IF(Vloeronderhoud!$C31&gt;0,VLOOKUP(Vloeronderhoud!$C31,$A$8:$B$16,2,FALSE),"")</f>
        <v>Sprayen/opblokken</v>
      </c>
      <c r="E31" s="65" t="s">
        <v>110</v>
      </c>
      <c r="F31" s="166">
        <f>SUMIFS('Ruimtestaat'!$N:$N,'Ruimtestaat'!L:L,Vloeronderhoud!E31,'Ruimtestaat'!A:A,Vloeronderhoud!A31)</f>
        <v>2705.900000000001</v>
      </c>
      <c r="G31" s="67">
        <v>1</v>
      </c>
      <c r="H31" s="66">
        <f>VLOOKUP(OverzichtVloer[[#This Row],[Code Taak]],InvulVloer[],3,3)*F31*G31</f>
        <v>0</v>
      </c>
      <c r="I31" s="54"/>
    </row>
    <row r="32" spans="1:9" ht="15" customHeight="1">
      <c r="A32" s="57">
        <v>3</v>
      </c>
      <c r="B32" s="61" t="str">
        <f>VLOOKUP(OverzichtVloer[[#This Row],[Code Locatie]],Locaties[],2,0)</f>
        <v>Karel de Grote College</v>
      </c>
      <c r="C32" s="57">
        <v>2</v>
      </c>
      <c r="D32" s="68" t="str">
        <f>IF(Vloeronderhoud!$C32&gt;0,VLOOKUP(Vloeronderhoud!$C32,$A$8:$B$16,2,FALSE),"")</f>
        <v>Topstrippen en conserveren</v>
      </c>
      <c r="E32" s="69" t="s">
        <v>110</v>
      </c>
      <c r="F32" s="167">
        <f>SUMIFS('Ruimtestaat'!$N:$N,'Ruimtestaat'!L:L,Vloeronderhoud!E32,'Ruimtestaat'!A:A,Vloeronderhoud!A32)</f>
        <v>2705.900000000001</v>
      </c>
      <c r="G32" s="71">
        <v>1</v>
      </c>
      <c r="H32" s="70">
        <f>VLOOKUP(OverzichtVloer[[#This Row],[Code Taak]],InvulVloer[],3,3)*F32*G32</f>
        <v>0</v>
      </c>
      <c r="I32" s="68"/>
    </row>
    <row r="33" spans="1:9" ht="15" customHeight="1">
      <c r="A33" s="54">
        <v>3</v>
      </c>
      <c r="B33" s="59" t="str">
        <f>VLOOKUP(OverzichtVloer[[#This Row],[Code Locatie]],Locaties[],2,0)</f>
        <v>Karel de Grote College</v>
      </c>
      <c r="C33" s="54">
        <v>4</v>
      </c>
      <c r="D33" s="64" t="str">
        <f>IF(Vloeronderhoud!$C33&gt;0,VLOOKUP(Vloeronderhoud!$C33,$A$8:$B$16,2,FALSE),"")</f>
        <v>Tapijtreinigen, sproei-extractiemethode</v>
      </c>
      <c r="E33" s="65" t="s">
        <v>109</v>
      </c>
      <c r="F33" s="166">
        <f>SUMIFS('Ruimtestaat'!$N:$N,'Ruimtestaat'!L:L,Vloeronderhoud!E33,'Ruimtestaat'!A:A,Vloeronderhoud!A33)</f>
        <v>352.6</v>
      </c>
      <c r="G33" s="67">
        <v>1</v>
      </c>
      <c r="H33" s="66">
        <f>VLOOKUP(OverzichtVloer[[#This Row],[Code Taak]],InvulVloer[],3,3)*F33*G33</f>
        <v>0</v>
      </c>
      <c r="I33" s="54"/>
    </row>
    <row r="34" spans="1:9" ht="15" customHeight="1">
      <c r="A34" s="57">
        <v>3</v>
      </c>
      <c r="B34" s="61" t="str">
        <f>VLOOKUP(OverzichtVloer[[#This Row],[Code Locatie]],Locaties[],2,0)</f>
        <v>Karel de Grote College</v>
      </c>
      <c r="C34" s="57">
        <v>6</v>
      </c>
      <c r="D34" s="68" t="str">
        <f>IF(Vloeronderhoud!$C34&gt;0,VLOOKUP(Vloeronderhoud!$C34,$A$8:$B$16,2,FALSE),"")</f>
        <v>Schuren en lakken houten vloer</v>
      </c>
      <c r="E34" s="69" t="s">
        <v>762</v>
      </c>
      <c r="F34" s="167">
        <f>SUMIFS('Ruimtestaat'!$N:$N,'Ruimtestaat'!L:L,Vloeronderhoud!E34,'Ruimtestaat'!A:A,Vloeronderhoud!A34)</f>
        <v>308</v>
      </c>
      <c r="G34" s="71">
        <v>0</v>
      </c>
      <c r="H34" s="70">
        <f>VLOOKUP(OverzichtVloer[[#This Row],[Code Taak]],InvulVloer[],3,3)*F34*G34</f>
        <v>0</v>
      </c>
      <c r="I34" s="68"/>
    </row>
    <row r="35" spans="1:9" ht="15" customHeight="1">
      <c r="A35" s="54">
        <v>3</v>
      </c>
      <c r="B35" s="59" t="str">
        <f>VLOOKUP(OverzichtVloer[[#This Row],[Code Locatie]],Locaties[],2,0)</f>
        <v>Karel de Grote College</v>
      </c>
      <c r="C35" s="54">
        <v>8</v>
      </c>
      <c r="D35" s="64" t="str">
        <f>IF(Vloeronderhoud!$C35&gt;0,VLOOKUP(Vloeronderhoud!$C35,$A$8:$B$16,2,FALSE),"")</f>
        <v>Machinaal schrobben en droogzuigen</v>
      </c>
      <c r="E35" s="65" t="s">
        <v>112</v>
      </c>
      <c r="F35" s="166">
        <f>SUMIFS('Ruimtestaat'!$N:$N,'Ruimtestaat'!L:L,Vloeronderhoud!E35,'Ruimtestaat'!A:A,Vloeronderhoud!A35)</f>
        <v>1014</v>
      </c>
      <c r="G35" s="67">
        <v>2</v>
      </c>
      <c r="H35" s="66">
        <f>VLOOKUP(OverzichtVloer[[#This Row],[Code Taak]],InvulVloer[],3,3)*F35*G35</f>
        <v>0</v>
      </c>
      <c r="I35" s="54"/>
    </row>
    <row r="36" spans="1:9" ht="15" customHeight="1">
      <c r="A36" s="57">
        <v>3</v>
      </c>
      <c r="B36" s="61" t="str">
        <f>VLOOKUP(OverzichtVloer[[#This Row],[Code Locatie]],Locaties[],2,0)</f>
        <v>Karel de Grote College</v>
      </c>
      <c r="C36" s="57">
        <v>8</v>
      </c>
      <c r="D36" s="68" t="str">
        <f>IF(Vloeronderhoud!$C36&gt;0,VLOOKUP(Vloeronderhoud!$C36,$A$8:$B$16,2,FALSE),"")</f>
        <v>Machinaal schrobben en droogzuigen</v>
      </c>
      <c r="E36" s="69" t="s">
        <v>111</v>
      </c>
      <c r="F36" s="167">
        <f>SUMIFS('Ruimtestaat'!$N:$N,'Ruimtestaat'!L:L,Vloeronderhoud!E36,'Ruimtestaat'!A:A,Vloeronderhoud!A36)</f>
        <v>1029.9000000000001</v>
      </c>
      <c r="G36" s="71">
        <v>2</v>
      </c>
      <c r="H36" s="70">
        <f>VLOOKUP(OverzichtVloer[[#This Row],[Code Taak]],InvulVloer[],3,3)*F36*G36</f>
        <v>0</v>
      </c>
      <c r="I36" s="68"/>
    </row>
    <row r="37" spans="1:9" ht="15" customHeight="1">
      <c r="A37" s="175"/>
      <c r="B37" s="176" t="s">
        <v>33</v>
      </c>
      <c r="C37" s="175"/>
      <c r="D37" s="177"/>
      <c r="E37" s="175"/>
      <c r="F37" s="178"/>
      <c r="G37" s="175"/>
      <c r="H37" s="179">
        <f>SUBTOTAL(109,OverzichtVloer[Kosten/jaar excl. BTW])</f>
        <v>0</v>
      </c>
      <c r="I37" s="243"/>
    </row>
    <row r="38" spans="1:9" ht="15" customHeight="1">
      <c r="A38" s="37"/>
      <c r="C38" s="35"/>
      <c r="D38" s="35"/>
      <c r="E38" s="35"/>
      <c r="F38" s="164"/>
      <c r="G38" s="41"/>
      <c r="H38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7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1D780-3B97-493C-9478-2802C9533A1F}">
  <ds:schemaRefs>
    <ds:schemaRef ds:uri="http://schemas.microsoft.com/office/2006/documentManagement/types"/>
    <ds:schemaRef ds:uri="http://schemas.microsoft.com/office/2006/metadata/properties"/>
    <ds:schemaRef ds:uri="46c995e6-7f53-48aa-a5ad-a9d38912b46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d807127-6dfe-4777-9fc9-8a2ccfc388c3"/>
    <ds:schemaRef ds:uri="http://purl.org/dc/elements/1.1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Sanitaire voorzieningen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Myrna Lansink | Inkada Inkoop &amp; Advies</cp:lastModifiedBy>
  <cp:lastPrinted>2021-05-20T14:57:45Z</cp:lastPrinted>
  <dcterms:created xsi:type="dcterms:W3CDTF">1999-03-23T11:24:21Z</dcterms:created>
  <dcterms:modified xsi:type="dcterms:W3CDTF">2021-05-20T14:59:54Z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