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Y:\Inkoopprojecten\Infra &amp; Facilitair\2021-03 Schoonmaak metrostations en tramhaltes\10. Productie aanbestedingsleidraad en bijlagen\"/>
    </mc:Choice>
  </mc:AlternateContent>
  <xr:revisionPtr revIDLastSave="0" documentId="8_{99A63EE4-4FDB-4CA3-8AC8-A3397FF65C1A}" xr6:coauthVersionLast="45" xr6:coauthVersionMax="45" xr10:uidLastSave="{00000000-0000-0000-0000-000000000000}"/>
  <bookViews>
    <workbookView xWindow="-120" yWindow="-120" windowWidth="20730" windowHeight="11160" tabRatio="777" activeTab="1" xr2:uid="{BCA24956-64CF-4227-ACDB-DEE8FFB0AC4E}"/>
  </bookViews>
  <sheets>
    <sheet name="Mutatieblad" sheetId="70" r:id="rId1"/>
    <sheet name="1-Inschrijfstaat" sheetId="38" r:id="rId2"/>
    <sheet name="2-Kosten per locatie" sheetId="39" r:id="rId3"/>
    <sheet name="3-Ruimtestaat" sheetId="2" r:id="rId4"/>
    <sheet name="4-Schrobben vloeren" sheetId="43" r:id="rId5"/>
    <sheet name="5-Aanvullend" sheetId="44" r:id="rId6"/>
    <sheet name="6-Ballastbed " sheetId="32" r:id="rId7"/>
    <sheet name="7-Liftbodems" sheetId="71" r:id="rId8"/>
    <sheet name="8-Geveldelen  en wanden" sheetId="64" r:id="rId9"/>
    <sheet name="9-Glasstaat" sheetId="69" r:id="rId10"/>
    <sheet name="10-Glas kosten totaal" sheetId="68" r:id="rId11"/>
    <sheet name="11-Machinekosten" sheetId="46" r:id="rId12"/>
    <sheet name="12-Periodieke beurt" sheetId="50" r:id="rId13"/>
    <sheet name="13a- Afroepprijs" sheetId="48" r:id="rId14"/>
    <sheet name="13b-Afroep RVS kraaiennest" sheetId="49" r:id="rId15"/>
    <sheet name="13c-Afroep Kap Bijlmer" sheetId="67" r:id="rId16"/>
    <sheet name="14-Gelijkrichter stations" sheetId="72" r:id="rId17"/>
    <sheet name="15- Dienstruimten" sheetId="73" r:id="rId18"/>
  </sheets>
  <externalReferences>
    <externalReference r:id="rId19"/>
    <externalReference r:id="rId20"/>
  </externalReferences>
  <definedNames>
    <definedName name="_Fill" localSheetId="15" hidden="1">'[1]#REF'!#REF!</definedName>
    <definedName name="_Fill" localSheetId="6" hidden="1">'[1]#REF'!#REF!</definedName>
    <definedName name="_Fill" localSheetId="7" hidden="1">'[1]#REF'!#REF!</definedName>
    <definedName name="_Fill" localSheetId="8" hidden="1">'[1]#REF'!#REF!</definedName>
    <definedName name="_Fill" localSheetId="0" hidden="1">'[1]#REF'!#REF!</definedName>
    <definedName name="_Fill" hidden="1">'[1]#REF'!#REF!</definedName>
    <definedName name="_xlnm._FilterDatabase" localSheetId="16" hidden="1">'14-Gelijkrichter stations'!$A$35:$L$175</definedName>
    <definedName name="_xlnm._FilterDatabase" localSheetId="17" hidden="1">'15- Dienstruimten'!$A$37:$K$197</definedName>
    <definedName name="_xlnm._FilterDatabase" localSheetId="2" hidden="1">'2-Kosten per locatie'!$A$13:$N$80</definedName>
    <definedName name="_xlnm._FilterDatabase" localSheetId="3" hidden="1">'3-Ruimtestaat'!$A$11:$S$1610</definedName>
    <definedName name="_xlnm._FilterDatabase" localSheetId="5" hidden="1">'5-Aanvullend'!$A$15:$J$15</definedName>
    <definedName name="_xlnm._FilterDatabase" localSheetId="6" hidden="1">'6-Ballastbed '!$A$25:$M$74</definedName>
    <definedName name="_xlnm._FilterDatabase" localSheetId="7" hidden="1">'7-Liftbodems'!$C$15:$U$56</definedName>
    <definedName name="_xlnm._FilterDatabase" localSheetId="8" hidden="1">'8-Geveldelen  en wanden'!$B$16:$G$45</definedName>
    <definedName name="_xlnm._FilterDatabase" localSheetId="9" hidden="1">'9-Glasstaat'!$A$16:$S$698</definedName>
    <definedName name="_Key1" localSheetId="15" hidden="1">'[1]#REF'!#REF!</definedName>
    <definedName name="_Key1" localSheetId="6" hidden="1">'[1]#REF'!#REF!</definedName>
    <definedName name="_Key1" localSheetId="7" hidden="1">'[1]#REF'!#REF!</definedName>
    <definedName name="_Key1" localSheetId="8" hidden="1">'[1]#REF'!#REF!</definedName>
    <definedName name="_Key1" localSheetId="0" hidden="1">'[1]#REF'!#REF!</definedName>
    <definedName name="_Key1" hidden="1">'[1]#REF'!#REF!</definedName>
    <definedName name="_Order1" hidden="1">255</definedName>
    <definedName name="_Table1_In1" localSheetId="7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xlnm.Print_Area" localSheetId="10">'10-Glas kosten totaal'!$B$1:$M$74</definedName>
    <definedName name="_xlnm.Print_Area" localSheetId="12">'12-Periodieke beurt'!$A$1:$N$67</definedName>
    <definedName name="_xlnm.Print_Area" localSheetId="1">'1-Inschrijfstaat'!$A$1:$I$59</definedName>
    <definedName name="_xlnm.Print_Area" localSheetId="3">'3-Ruimtestaat'!$B$3:$S$1610</definedName>
    <definedName name="_xlnm.Print_Area" localSheetId="6">'6-Ballastbed '!$A$2:$L$193</definedName>
    <definedName name="_xlnm.Print_Area" localSheetId="9">'9-Glasstaat'!$B$1:$N$698</definedName>
    <definedName name="_xlnm.Print_Titles" localSheetId="10">'10-Glas kosten totaal'!$12:$12</definedName>
    <definedName name="_xlnm.Print_Titles" localSheetId="3">'3-Ruimtestaat'!$11:$11</definedName>
    <definedName name="_xlnm.Print_Titles" localSheetId="6">'6-Ballastbed '!$3:$10</definedName>
    <definedName name="_xlnm.Print_Titles" localSheetId="9">'9-Glasstaat'!$16:$16</definedName>
    <definedName name="dffdf" localSheetId="15" hidden="1">'[1]#REF'!#REF!</definedName>
    <definedName name="dffdf" localSheetId="6" hidden="1">'[1]#REF'!#REF!</definedName>
    <definedName name="dffdf" localSheetId="7" hidden="1">'[1]#REF'!#REF!</definedName>
    <definedName name="dffdf" localSheetId="8" hidden="1">'[2]#REF'!#REF!</definedName>
    <definedName name="dffdf" hidden="1">'[1]#REF'!#REF!</definedName>
    <definedName name="fghf" localSheetId="7" hidden="1">'[1]#REF'!#REF!</definedName>
    <definedName name="fghf" hidden="1">'[1]#REF'!#REF!</definedName>
    <definedName name="Glassoort2">'9-Glasstaat'!$G$2:$I$14</definedName>
    <definedName name="gs" localSheetId="15" hidden="1">'[1]#REF'!#REF!</definedName>
    <definedName name="gs" localSheetId="6" hidden="1">'[1]#REF'!#REF!</definedName>
    <definedName name="gs" localSheetId="7" hidden="1">'[1]#REF'!#REF!</definedName>
    <definedName name="gs" localSheetId="8" hidden="1">'[2]#REF'!#REF!</definedName>
    <definedName name="gs" localSheetId="0" hidden="1">'[1]#REF'!#REF!</definedName>
    <definedName name="gs" hidden="1">'[1]#REF'!#REF!</definedName>
    <definedName name="han" localSheetId="15" hidden="1">'[1]#REF'!#REF!</definedName>
    <definedName name="han" localSheetId="6" hidden="1">'[1]#REF'!#REF!</definedName>
    <definedName name="han" localSheetId="8" hidden="1">'[1]#REF'!#REF!</definedName>
    <definedName name="han" hidden="1">'[1]#REF'!#REF!</definedName>
    <definedName name="kjh" hidden="1">'[1]#REF'!#REF!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73" l="1"/>
  <c r="D20" i="73" s="1"/>
  <c r="C21" i="73"/>
  <c r="D21" i="73" s="1"/>
  <c r="C22" i="73"/>
  <c r="D22" i="73" s="1"/>
  <c r="C23" i="73"/>
  <c r="D23" i="73" s="1"/>
  <c r="C24" i="73"/>
  <c r="D24" i="73" s="1"/>
  <c r="C25" i="73"/>
  <c r="D25" i="73" s="1"/>
  <c r="C26" i="73"/>
  <c r="D26" i="73" s="1"/>
  <c r="C27" i="73"/>
  <c r="D27" i="73" s="1"/>
  <c r="C28" i="73"/>
  <c r="D28" i="73" s="1"/>
  <c r="C29" i="73"/>
  <c r="D29" i="73" s="1"/>
  <c r="C30" i="73"/>
  <c r="D30" i="73" s="1"/>
  <c r="C31" i="73"/>
  <c r="D31" i="73" s="1"/>
  <c r="C32" i="73"/>
  <c r="D32" i="73" s="1"/>
  <c r="C19" i="73"/>
  <c r="D19" i="73" s="1"/>
  <c r="M78" i="39"/>
  <c r="M77" i="39"/>
  <c r="M76" i="39"/>
  <c r="M75" i="39"/>
  <c r="M74" i="39"/>
  <c r="M73" i="39"/>
  <c r="M72" i="39"/>
  <c r="M71" i="39"/>
  <c r="M70" i="39"/>
  <c r="M69" i="39"/>
  <c r="M68" i="39"/>
  <c r="M67" i="39"/>
  <c r="M66" i="39"/>
  <c r="M65" i="39"/>
  <c r="M64" i="39"/>
  <c r="M63" i="39"/>
  <c r="M62" i="39"/>
  <c r="M61" i="39"/>
  <c r="M60" i="39"/>
  <c r="M59" i="39"/>
  <c r="M57" i="39"/>
  <c r="M56" i="39"/>
  <c r="M55" i="39"/>
  <c r="M53" i="39"/>
  <c r="M52" i="39"/>
  <c r="M51" i="39"/>
  <c r="M50" i="39"/>
  <c r="M49" i="39"/>
  <c r="M48" i="39"/>
  <c r="M47" i="39"/>
  <c r="M46" i="39"/>
  <c r="M45" i="39"/>
  <c r="M44" i="39"/>
  <c r="M43" i="39"/>
  <c r="M42" i="39"/>
  <c r="M41" i="39"/>
  <c r="M40" i="39"/>
  <c r="M39" i="39"/>
  <c r="M38" i="39"/>
  <c r="M37" i="39"/>
  <c r="M35" i="39"/>
  <c r="M28" i="39"/>
  <c r="M27" i="39"/>
  <c r="M26" i="39"/>
  <c r="M25" i="39"/>
  <c r="M24" i="39"/>
  <c r="M23" i="39"/>
  <c r="M22" i="39"/>
  <c r="M21" i="39"/>
  <c r="M20" i="39"/>
  <c r="M14" i="39"/>
  <c r="F19" i="73"/>
  <c r="C9" i="73"/>
  <c r="C8" i="73"/>
  <c r="C7" i="73"/>
  <c r="C6" i="73"/>
  <c r="C5" i="73"/>
  <c r="C4" i="73"/>
  <c r="A34" i="38" s="1"/>
  <c r="C3" i="73"/>
  <c r="L63" i="39"/>
  <c r="L62" i="39"/>
  <c r="L61" i="39"/>
  <c r="L60" i="39"/>
  <c r="L59" i="39"/>
  <c r="L58" i="39"/>
  <c r="L57" i="39"/>
  <c r="L56" i="39"/>
  <c r="L55" i="39"/>
  <c r="L54" i="39"/>
  <c r="L53" i="39"/>
  <c r="L52" i="39"/>
  <c r="L51" i="39"/>
  <c r="L50" i="39"/>
  <c r="L49" i="39"/>
  <c r="L48" i="39"/>
  <c r="L47" i="39"/>
  <c r="L46" i="39"/>
  <c r="L45" i="39"/>
  <c r="L44" i="39"/>
  <c r="L43" i="39"/>
  <c r="L42" i="39"/>
  <c r="L41" i="39"/>
  <c r="L40" i="39"/>
  <c r="L39" i="39"/>
  <c r="L38" i="39"/>
  <c r="L37" i="39"/>
  <c r="L36" i="39"/>
  <c r="L35" i="39"/>
  <c r="L34" i="39"/>
  <c r="L33" i="39"/>
  <c r="L32" i="39"/>
  <c r="L31" i="39"/>
  <c r="L30" i="39"/>
  <c r="L29" i="39"/>
  <c r="L28" i="39"/>
  <c r="L27" i="39"/>
  <c r="L26" i="39"/>
  <c r="L25" i="39"/>
  <c r="L24" i="39"/>
  <c r="L23" i="39"/>
  <c r="L22" i="39"/>
  <c r="L21" i="39"/>
  <c r="L20" i="39"/>
  <c r="L19" i="39"/>
  <c r="L18" i="39"/>
  <c r="L17" i="39"/>
  <c r="L16" i="39"/>
  <c r="L15" i="39"/>
  <c r="L14" i="39"/>
  <c r="K29" i="72"/>
  <c r="K25" i="72"/>
  <c r="K21" i="72"/>
  <c r="K17" i="72"/>
  <c r="K28" i="72"/>
  <c r="I31" i="72"/>
  <c r="H31" i="72"/>
  <c r="J30" i="72"/>
  <c r="J29" i="72"/>
  <c r="J28" i="72"/>
  <c r="J27" i="72"/>
  <c r="J26" i="72"/>
  <c r="J25" i="72"/>
  <c r="J24" i="72"/>
  <c r="J23" i="72"/>
  <c r="J22" i="72"/>
  <c r="J21" i="72"/>
  <c r="J20" i="72"/>
  <c r="J19" i="72"/>
  <c r="J18" i="72"/>
  <c r="J17" i="72"/>
  <c r="J16" i="72"/>
  <c r="G30" i="72"/>
  <c r="F30" i="72"/>
  <c r="G29" i="72"/>
  <c r="F29" i="72"/>
  <c r="G28" i="72"/>
  <c r="F28" i="72"/>
  <c r="G27" i="72"/>
  <c r="F27" i="72"/>
  <c r="G26" i="72"/>
  <c r="F26" i="72"/>
  <c r="G25" i="72"/>
  <c r="F25" i="72"/>
  <c r="G24" i="72"/>
  <c r="F24" i="72"/>
  <c r="G23" i="72"/>
  <c r="F23" i="72"/>
  <c r="G22" i="72"/>
  <c r="F22" i="72"/>
  <c r="G21" i="72"/>
  <c r="F21" i="72"/>
  <c r="G20" i="72"/>
  <c r="F20" i="72"/>
  <c r="G19" i="72"/>
  <c r="F19" i="72"/>
  <c r="G18" i="72"/>
  <c r="F18" i="72"/>
  <c r="G16" i="72"/>
  <c r="F16" i="72"/>
  <c r="G17" i="72"/>
  <c r="F17" i="72"/>
  <c r="G19" i="73" l="1"/>
  <c r="F24" i="73"/>
  <c r="F21" i="73"/>
  <c r="F22" i="73"/>
  <c r="F20" i="73"/>
  <c r="G20" i="73" s="1"/>
  <c r="F23" i="73"/>
  <c r="G23" i="73" s="1"/>
  <c r="F27" i="73"/>
  <c r="G27" i="73" s="1"/>
  <c r="F28" i="73"/>
  <c r="G28" i="73" s="1"/>
  <c r="F29" i="73"/>
  <c r="G29" i="73" s="1"/>
  <c r="F31" i="73"/>
  <c r="G31" i="73" s="1"/>
  <c r="F25" i="73"/>
  <c r="G25" i="73" s="1"/>
  <c r="F26" i="73"/>
  <c r="G26" i="73" s="1"/>
  <c r="F30" i="73"/>
  <c r="G30" i="73" s="1"/>
  <c r="F32" i="73"/>
  <c r="G32" i="73" s="1"/>
  <c r="M19" i="39"/>
  <c r="M32" i="39"/>
  <c r="M33" i="39"/>
  <c r="M34" i="39"/>
  <c r="M30" i="39"/>
  <c r="M58" i="39"/>
  <c r="M16" i="39"/>
  <c r="M31" i="39"/>
  <c r="M36" i="39"/>
  <c r="M54" i="39"/>
  <c r="L28" i="72"/>
  <c r="L76" i="39" s="1"/>
  <c r="K18" i="72"/>
  <c r="L18" i="72" s="1"/>
  <c r="L66" i="39" s="1"/>
  <c r="K22" i="72"/>
  <c r="L22" i="72" s="1"/>
  <c r="L70" i="39" s="1"/>
  <c r="K26" i="72"/>
  <c r="L26" i="72" s="1"/>
  <c r="L74" i="39" s="1"/>
  <c r="K30" i="72"/>
  <c r="L30" i="72" s="1"/>
  <c r="L78" i="39" s="1"/>
  <c r="K19" i="72"/>
  <c r="L19" i="72" s="1"/>
  <c r="L67" i="39" s="1"/>
  <c r="K23" i="72"/>
  <c r="L23" i="72" s="1"/>
  <c r="L71" i="39" s="1"/>
  <c r="K27" i="72"/>
  <c r="L27" i="72" s="1"/>
  <c r="L75" i="39" s="1"/>
  <c r="K16" i="72"/>
  <c r="L16" i="72" s="1"/>
  <c r="L64" i="39" s="1"/>
  <c r="K20" i="72"/>
  <c r="L20" i="72" s="1"/>
  <c r="L68" i="39" s="1"/>
  <c r="K24" i="72"/>
  <c r="L24" i="72" s="1"/>
  <c r="L72" i="39" s="1"/>
  <c r="F31" i="72"/>
  <c r="G31" i="72"/>
  <c r="L17" i="72"/>
  <c r="L65" i="39" s="1"/>
  <c r="L21" i="72"/>
  <c r="L69" i="39" s="1"/>
  <c r="L25" i="72"/>
  <c r="L73" i="39" s="1"/>
  <c r="L29" i="72"/>
  <c r="L77" i="39" s="1"/>
  <c r="J31" i="72"/>
  <c r="C9" i="72"/>
  <c r="C8" i="72"/>
  <c r="C7" i="72"/>
  <c r="C6" i="72"/>
  <c r="C5" i="72"/>
  <c r="C4" i="72"/>
  <c r="A32" i="38" s="1"/>
  <c r="C3" i="72"/>
  <c r="B3" i="43"/>
  <c r="B6" i="43"/>
  <c r="G37" i="67"/>
  <c r="H37" i="67" s="1"/>
  <c r="G36" i="67"/>
  <c r="H36" i="67" s="1"/>
  <c r="G23" i="67"/>
  <c r="G22" i="67"/>
  <c r="G21" i="67"/>
  <c r="G24" i="67"/>
  <c r="H45" i="49"/>
  <c r="H44" i="49"/>
  <c r="G45" i="49"/>
  <c r="G44" i="49"/>
  <c r="G28" i="49"/>
  <c r="G27" i="49"/>
  <c r="G26" i="49"/>
  <c r="G25" i="49"/>
  <c r="G23" i="49"/>
  <c r="L15" i="68"/>
  <c r="L14" i="68"/>
  <c r="L13" i="68"/>
  <c r="J15" i="68"/>
  <c r="J14" i="68"/>
  <c r="J13" i="68"/>
  <c r="L18" i="69"/>
  <c r="L19" i="69"/>
  <c r="L20" i="69"/>
  <c r="L21" i="69"/>
  <c r="L22" i="69"/>
  <c r="L23" i="69"/>
  <c r="L24" i="69"/>
  <c r="L25" i="69"/>
  <c r="L26" i="69"/>
  <c r="L27" i="69"/>
  <c r="L28" i="69"/>
  <c r="L29" i="69"/>
  <c r="L30" i="69"/>
  <c r="L31" i="69"/>
  <c r="L32" i="69"/>
  <c r="L33" i="69"/>
  <c r="L34" i="69"/>
  <c r="L35" i="69"/>
  <c r="L36" i="69"/>
  <c r="L37" i="69"/>
  <c r="L38" i="69"/>
  <c r="L39" i="69"/>
  <c r="L40" i="69"/>
  <c r="L41" i="69"/>
  <c r="L42" i="69"/>
  <c r="L43" i="69"/>
  <c r="L44" i="69"/>
  <c r="L45" i="69"/>
  <c r="L46" i="69"/>
  <c r="L47" i="69"/>
  <c r="L48" i="69"/>
  <c r="L49" i="69"/>
  <c r="L50" i="69"/>
  <c r="L51" i="69"/>
  <c r="L52" i="69"/>
  <c r="L53" i="69"/>
  <c r="L54" i="69"/>
  <c r="L55" i="69"/>
  <c r="L56" i="69"/>
  <c r="L57" i="69"/>
  <c r="L58" i="69"/>
  <c r="L59" i="69"/>
  <c r="L60" i="69"/>
  <c r="L61" i="69"/>
  <c r="L62" i="69"/>
  <c r="L63" i="69"/>
  <c r="L64" i="69"/>
  <c r="L65" i="69"/>
  <c r="L66" i="69"/>
  <c r="L67" i="69"/>
  <c r="L68" i="69"/>
  <c r="L69" i="69"/>
  <c r="L70" i="69"/>
  <c r="L71" i="69"/>
  <c r="L72" i="69"/>
  <c r="L73" i="69"/>
  <c r="L74" i="69"/>
  <c r="L75" i="69"/>
  <c r="L76" i="69"/>
  <c r="L77" i="69"/>
  <c r="L78" i="69"/>
  <c r="L79" i="69"/>
  <c r="L80" i="69"/>
  <c r="L81" i="69"/>
  <c r="L82" i="69"/>
  <c r="L83" i="69"/>
  <c r="L84" i="69"/>
  <c r="L85" i="69"/>
  <c r="L86" i="69"/>
  <c r="L87" i="69"/>
  <c r="L88" i="69"/>
  <c r="L89" i="69"/>
  <c r="L90" i="69"/>
  <c r="L91" i="69"/>
  <c r="L92" i="69"/>
  <c r="L93" i="69"/>
  <c r="L94" i="69"/>
  <c r="L95" i="69"/>
  <c r="L96" i="69"/>
  <c r="L97" i="69"/>
  <c r="L98" i="69"/>
  <c r="L99" i="69"/>
  <c r="L100" i="69"/>
  <c r="L101" i="69"/>
  <c r="L102" i="69"/>
  <c r="L103" i="69"/>
  <c r="L104" i="69"/>
  <c r="L105" i="69"/>
  <c r="L106" i="69"/>
  <c r="L107" i="69"/>
  <c r="L108" i="69"/>
  <c r="L109" i="69"/>
  <c r="L110" i="69"/>
  <c r="L111" i="69"/>
  <c r="L112" i="69"/>
  <c r="L113" i="69"/>
  <c r="L114" i="69"/>
  <c r="L115" i="69"/>
  <c r="L116" i="69"/>
  <c r="L117" i="69"/>
  <c r="L118" i="69"/>
  <c r="L119" i="69"/>
  <c r="L120" i="69"/>
  <c r="L121" i="69"/>
  <c r="L122" i="69"/>
  <c r="L123" i="69"/>
  <c r="L124" i="69"/>
  <c r="L125" i="69"/>
  <c r="L126" i="69"/>
  <c r="L127" i="69"/>
  <c r="L128" i="69"/>
  <c r="L129" i="69"/>
  <c r="L130" i="69"/>
  <c r="L131" i="69"/>
  <c r="L132" i="69"/>
  <c r="L133" i="69"/>
  <c r="L134" i="69"/>
  <c r="L135" i="69"/>
  <c r="L136" i="69"/>
  <c r="L137" i="69"/>
  <c r="L138" i="69"/>
  <c r="L139" i="69"/>
  <c r="L140" i="69"/>
  <c r="L141" i="69"/>
  <c r="L142" i="69"/>
  <c r="L143" i="69"/>
  <c r="L144" i="69"/>
  <c r="L145" i="69"/>
  <c r="L146" i="69"/>
  <c r="L147" i="69"/>
  <c r="L148" i="69"/>
  <c r="L149" i="69"/>
  <c r="L150" i="69"/>
  <c r="L151" i="69"/>
  <c r="L152" i="69"/>
  <c r="L153" i="69"/>
  <c r="L154" i="69"/>
  <c r="L155" i="69"/>
  <c r="L156" i="69"/>
  <c r="L157" i="69"/>
  <c r="L158" i="69"/>
  <c r="L159" i="69"/>
  <c r="L160" i="69"/>
  <c r="L161" i="69"/>
  <c r="L162" i="69"/>
  <c r="L163" i="69"/>
  <c r="L164" i="69"/>
  <c r="L165" i="69"/>
  <c r="L166" i="69"/>
  <c r="L167" i="69"/>
  <c r="L168" i="69"/>
  <c r="L169" i="69"/>
  <c r="L170" i="69"/>
  <c r="L171" i="69"/>
  <c r="L172" i="69"/>
  <c r="L173" i="69"/>
  <c r="L174" i="69"/>
  <c r="L175" i="69"/>
  <c r="L176" i="69"/>
  <c r="L177" i="69"/>
  <c r="L178" i="69"/>
  <c r="L179" i="69"/>
  <c r="L180" i="69"/>
  <c r="L181" i="69"/>
  <c r="L182" i="69"/>
  <c r="L183" i="69"/>
  <c r="L184" i="69"/>
  <c r="L185" i="69"/>
  <c r="L186" i="69"/>
  <c r="L187" i="69"/>
  <c r="L188" i="69"/>
  <c r="L189" i="69"/>
  <c r="L190" i="69"/>
  <c r="L191" i="69"/>
  <c r="L192" i="69"/>
  <c r="L193" i="69"/>
  <c r="L194" i="69"/>
  <c r="L195" i="69"/>
  <c r="L196" i="69"/>
  <c r="L197" i="69"/>
  <c r="L198" i="69"/>
  <c r="L199" i="69"/>
  <c r="L200" i="69"/>
  <c r="L201" i="69"/>
  <c r="L202" i="69"/>
  <c r="L203" i="69"/>
  <c r="L204" i="69"/>
  <c r="L205" i="69"/>
  <c r="L206" i="69"/>
  <c r="L207" i="69"/>
  <c r="L208" i="69"/>
  <c r="L209" i="69"/>
  <c r="L210" i="69"/>
  <c r="L211" i="69"/>
  <c r="L212" i="69"/>
  <c r="L213" i="69"/>
  <c r="L214" i="69"/>
  <c r="L215" i="69"/>
  <c r="L216" i="69"/>
  <c r="L217" i="69"/>
  <c r="L218" i="69"/>
  <c r="L219" i="69"/>
  <c r="L220" i="69"/>
  <c r="L221" i="69"/>
  <c r="L222" i="69"/>
  <c r="L223" i="69"/>
  <c r="L224" i="69"/>
  <c r="L225" i="69"/>
  <c r="L226" i="69"/>
  <c r="L227" i="69"/>
  <c r="L228" i="69"/>
  <c r="L229" i="69"/>
  <c r="L230" i="69"/>
  <c r="L231" i="69"/>
  <c r="L232" i="69"/>
  <c r="L233" i="69"/>
  <c r="L234" i="69"/>
  <c r="L235" i="69"/>
  <c r="L236" i="69"/>
  <c r="L237" i="69"/>
  <c r="L238" i="69"/>
  <c r="L239" i="69"/>
  <c r="L240" i="69"/>
  <c r="L241" i="69"/>
  <c r="L242" i="69"/>
  <c r="L243" i="69"/>
  <c r="L244" i="69"/>
  <c r="L245" i="69"/>
  <c r="L246" i="69"/>
  <c r="L247" i="69"/>
  <c r="L248" i="69"/>
  <c r="L249" i="69"/>
  <c r="L250" i="69"/>
  <c r="L251" i="69"/>
  <c r="L252" i="69"/>
  <c r="L253" i="69"/>
  <c r="L254" i="69"/>
  <c r="L255" i="69"/>
  <c r="L256" i="69"/>
  <c r="L257" i="69"/>
  <c r="L258" i="69"/>
  <c r="L259" i="69"/>
  <c r="L260" i="69"/>
  <c r="L261" i="69"/>
  <c r="L262" i="69"/>
  <c r="L263" i="69"/>
  <c r="L264" i="69"/>
  <c r="L265" i="69"/>
  <c r="L266" i="69"/>
  <c r="L267" i="69"/>
  <c r="L268" i="69"/>
  <c r="L269" i="69"/>
  <c r="L270" i="69"/>
  <c r="L271" i="69"/>
  <c r="L272" i="69"/>
  <c r="L273" i="69"/>
  <c r="L274" i="69"/>
  <c r="L275" i="69"/>
  <c r="L276" i="69"/>
  <c r="L277" i="69"/>
  <c r="L278" i="69"/>
  <c r="L279" i="69"/>
  <c r="L280" i="69"/>
  <c r="L281" i="69"/>
  <c r="L282" i="69"/>
  <c r="L283" i="69"/>
  <c r="L284" i="69"/>
  <c r="L285" i="69"/>
  <c r="L286" i="69"/>
  <c r="L287" i="69"/>
  <c r="L288" i="69"/>
  <c r="L289" i="69"/>
  <c r="L290" i="69"/>
  <c r="L291" i="69"/>
  <c r="L292" i="69"/>
  <c r="L293" i="69"/>
  <c r="L294" i="69"/>
  <c r="L295" i="69"/>
  <c r="L296" i="69"/>
  <c r="L297" i="69"/>
  <c r="L298" i="69"/>
  <c r="L299" i="69"/>
  <c r="L300" i="69"/>
  <c r="L301" i="69"/>
  <c r="L302" i="69"/>
  <c r="L303" i="69"/>
  <c r="L304" i="69"/>
  <c r="L305" i="69"/>
  <c r="L306" i="69"/>
  <c r="L307" i="69"/>
  <c r="L308" i="69"/>
  <c r="L309" i="69"/>
  <c r="L310" i="69"/>
  <c r="L311" i="69"/>
  <c r="L312" i="69"/>
  <c r="L313" i="69"/>
  <c r="L314" i="69"/>
  <c r="L315" i="69"/>
  <c r="L316" i="69"/>
  <c r="L317" i="69"/>
  <c r="L318" i="69"/>
  <c r="L319" i="69"/>
  <c r="L320" i="69"/>
  <c r="L321" i="69"/>
  <c r="L322" i="69"/>
  <c r="L323" i="69"/>
  <c r="L324" i="69"/>
  <c r="L325" i="69"/>
  <c r="L326" i="69"/>
  <c r="L327" i="69"/>
  <c r="L328" i="69"/>
  <c r="L329" i="69"/>
  <c r="L330" i="69"/>
  <c r="L331" i="69"/>
  <c r="L332" i="69"/>
  <c r="L333" i="69"/>
  <c r="L334" i="69"/>
  <c r="L335" i="69"/>
  <c r="L336" i="69"/>
  <c r="L337" i="69"/>
  <c r="L338" i="69"/>
  <c r="L339" i="69"/>
  <c r="L340" i="69"/>
  <c r="L341" i="69"/>
  <c r="L342" i="69"/>
  <c r="L343" i="69"/>
  <c r="L344" i="69"/>
  <c r="L345" i="69"/>
  <c r="L346" i="69"/>
  <c r="L347" i="69"/>
  <c r="L348" i="69"/>
  <c r="L349" i="69"/>
  <c r="L350" i="69"/>
  <c r="L351" i="69"/>
  <c r="L352" i="69"/>
  <c r="L353" i="69"/>
  <c r="L354" i="69"/>
  <c r="L355" i="69"/>
  <c r="L356" i="69"/>
  <c r="L357" i="69"/>
  <c r="L358" i="69"/>
  <c r="L359" i="69"/>
  <c r="L360" i="69"/>
  <c r="L361" i="69"/>
  <c r="L362" i="69"/>
  <c r="L363" i="69"/>
  <c r="L364" i="69"/>
  <c r="L365" i="69"/>
  <c r="L366" i="69"/>
  <c r="L367" i="69"/>
  <c r="L368" i="69"/>
  <c r="L369" i="69"/>
  <c r="L370" i="69"/>
  <c r="L371" i="69"/>
  <c r="L372" i="69"/>
  <c r="L373" i="69"/>
  <c r="L374" i="69"/>
  <c r="L375" i="69"/>
  <c r="L376" i="69"/>
  <c r="L377" i="69"/>
  <c r="L378" i="69"/>
  <c r="L379" i="69"/>
  <c r="L380" i="69"/>
  <c r="L381" i="69"/>
  <c r="L382" i="69"/>
  <c r="L383" i="69"/>
  <c r="L384" i="69"/>
  <c r="L385" i="69"/>
  <c r="L386" i="69"/>
  <c r="L387" i="69"/>
  <c r="L388" i="69"/>
  <c r="L389" i="69"/>
  <c r="L390" i="69"/>
  <c r="L391" i="69"/>
  <c r="L392" i="69"/>
  <c r="L393" i="69"/>
  <c r="L394" i="69"/>
  <c r="L395" i="69"/>
  <c r="L396" i="69"/>
  <c r="L397" i="69"/>
  <c r="L398" i="69"/>
  <c r="L399" i="69"/>
  <c r="L400" i="69"/>
  <c r="L401" i="69"/>
  <c r="L402" i="69"/>
  <c r="L403" i="69"/>
  <c r="L404" i="69"/>
  <c r="L405" i="69"/>
  <c r="L406" i="69"/>
  <c r="L407" i="69"/>
  <c r="L408" i="69"/>
  <c r="L409" i="69"/>
  <c r="L410" i="69"/>
  <c r="L411" i="69"/>
  <c r="L412" i="69"/>
  <c r="L413" i="69"/>
  <c r="L414" i="69"/>
  <c r="L415" i="69"/>
  <c r="L416" i="69"/>
  <c r="L417" i="69"/>
  <c r="L418" i="69"/>
  <c r="L419" i="69"/>
  <c r="L420" i="69"/>
  <c r="L421" i="69"/>
  <c r="L422" i="69"/>
  <c r="L423" i="69"/>
  <c r="L424" i="69"/>
  <c r="L425" i="69"/>
  <c r="L426" i="69"/>
  <c r="L427" i="69"/>
  <c r="L428" i="69"/>
  <c r="L429" i="69"/>
  <c r="L430" i="69"/>
  <c r="L431" i="69"/>
  <c r="L432" i="69"/>
  <c r="L433" i="69"/>
  <c r="L434" i="69"/>
  <c r="L435" i="69"/>
  <c r="L436" i="69"/>
  <c r="L437" i="69"/>
  <c r="L438" i="69"/>
  <c r="L439" i="69"/>
  <c r="L440" i="69"/>
  <c r="L441" i="69"/>
  <c r="L442" i="69"/>
  <c r="L443" i="69"/>
  <c r="L444" i="69"/>
  <c r="L445" i="69"/>
  <c r="L446" i="69"/>
  <c r="L447" i="69"/>
  <c r="N447" i="69" s="1"/>
  <c r="L448" i="69"/>
  <c r="L449" i="69"/>
  <c r="L450" i="69"/>
  <c r="L451" i="69"/>
  <c r="L452" i="69"/>
  <c r="L453" i="69"/>
  <c r="L454" i="69"/>
  <c r="L455" i="69"/>
  <c r="L456" i="69"/>
  <c r="L457" i="69"/>
  <c r="L458" i="69"/>
  <c r="L459" i="69"/>
  <c r="L460" i="69"/>
  <c r="L461" i="69"/>
  <c r="L462" i="69"/>
  <c r="L463" i="69"/>
  <c r="L464" i="69"/>
  <c r="L465" i="69"/>
  <c r="L466" i="69"/>
  <c r="L467" i="69"/>
  <c r="L468" i="69"/>
  <c r="L469" i="69"/>
  <c r="L470" i="69"/>
  <c r="L471" i="69"/>
  <c r="L472" i="69"/>
  <c r="L473" i="69"/>
  <c r="L474" i="69"/>
  <c r="L475" i="69"/>
  <c r="L476" i="69"/>
  <c r="L477" i="69"/>
  <c r="L478" i="69"/>
  <c r="L479" i="69"/>
  <c r="L480" i="69"/>
  <c r="L481" i="69"/>
  <c r="L482" i="69"/>
  <c r="L483" i="69"/>
  <c r="L484" i="69"/>
  <c r="L485" i="69"/>
  <c r="L486" i="69"/>
  <c r="L487" i="69"/>
  <c r="L488" i="69"/>
  <c r="L489" i="69"/>
  <c r="L490" i="69"/>
  <c r="L491" i="69"/>
  <c r="L492" i="69"/>
  <c r="L493" i="69"/>
  <c r="L494" i="69"/>
  <c r="L495" i="69"/>
  <c r="L496" i="69"/>
  <c r="L497" i="69"/>
  <c r="L498" i="69"/>
  <c r="L499" i="69"/>
  <c r="L500" i="69"/>
  <c r="L501" i="69"/>
  <c r="L502" i="69"/>
  <c r="L503" i="69"/>
  <c r="L504" i="69"/>
  <c r="L505" i="69"/>
  <c r="L506" i="69"/>
  <c r="L507" i="69"/>
  <c r="L508" i="69"/>
  <c r="L509" i="69"/>
  <c r="L510" i="69"/>
  <c r="L511" i="69"/>
  <c r="L512" i="69"/>
  <c r="L513" i="69"/>
  <c r="L514" i="69"/>
  <c r="L515" i="69"/>
  <c r="L516" i="69"/>
  <c r="L517" i="69"/>
  <c r="L518" i="69"/>
  <c r="L519" i="69"/>
  <c r="L520" i="69"/>
  <c r="L521" i="69"/>
  <c r="L522" i="69"/>
  <c r="L523" i="69"/>
  <c r="L524" i="69"/>
  <c r="L525" i="69"/>
  <c r="L526" i="69"/>
  <c r="L527" i="69"/>
  <c r="L528" i="69"/>
  <c r="L529" i="69"/>
  <c r="L530" i="69"/>
  <c r="L531" i="69"/>
  <c r="L532" i="69"/>
  <c r="L533" i="69"/>
  <c r="L534" i="69"/>
  <c r="L535" i="69"/>
  <c r="L536" i="69"/>
  <c r="L537" i="69"/>
  <c r="L538" i="69"/>
  <c r="L539" i="69"/>
  <c r="L540" i="69"/>
  <c r="L541" i="69"/>
  <c r="L542" i="69"/>
  <c r="L543" i="69"/>
  <c r="L544" i="69"/>
  <c r="L545" i="69"/>
  <c r="L546" i="69"/>
  <c r="L547" i="69"/>
  <c r="L548" i="69"/>
  <c r="L549" i="69"/>
  <c r="L550" i="69"/>
  <c r="L551" i="69"/>
  <c r="L552" i="69"/>
  <c r="L553" i="69"/>
  <c r="L554" i="69"/>
  <c r="L555" i="69"/>
  <c r="L556" i="69"/>
  <c r="L557" i="69"/>
  <c r="L558" i="69"/>
  <c r="L559" i="69"/>
  <c r="L560" i="69"/>
  <c r="L561" i="69"/>
  <c r="L562" i="69"/>
  <c r="L563" i="69"/>
  <c r="L564" i="69"/>
  <c r="L565" i="69"/>
  <c r="L566" i="69"/>
  <c r="L567" i="69"/>
  <c r="L568" i="69"/>
  <c r="L569" i="69"/>
  <c r="L570" i="69"/>
  <c r="L571" i="69"/>
  <c r="L572" i="69"/>
  <c r="L573" i="69"/>
  <c r="L574" i="69"/>
  <c r="L575" i="69"/>
  <c r="L576" i="69"/>
  <c r="L577" i="69"/>
  <c r="L578" i="69"/>
  <c r="L579" i="69"/>
  <c r="L580" i="69"/>
  <c r="L581" i="69"/>
  <c r="L582" i="69"/>
  <c r="L583" i="69"/>
  <c r="L584" i="69"/>
  <c r="L585" i="69"/>
  <c r="L586" i="69"/>
  <c r="L587" i="69"/>
  <c r="L588" i="69"/>
  <c r="L589" i="69"/>
  <c r="L590" i="69"/>
  <c r="L591" i="69"/>
  <c r="L592" i="69"/>
  <c r="L593" i="69"/>
  <c r="L594" i="69"/>
  <c r="L595" i="69"/>
  <c r="L596" i="69"/>
  <c r="L597" i="69"/>
  <c r="L598" i="69"/>
  <c r="L599" i="69"/>
  <c r="L600" i="69"/>
  <c r="L601" i="69"/>
  <c r="L602" i="69"/>
  <c r="L603" i="69"/>
  <c r="L604" i="69"/>
  <c r="L605" i="69"/>
  <c r="L606" i="69"/>
  <c r="L607" i="69"/>
  <c r="L608" i="69"/>
  <c r="L609" i="69"/>
  <c r="L610" i="69"/>
  <c r="L611" i="69"/>
  <c r="L612" i="69"/>
  <c r="L613" i="69"/>
  <c r="L614" i="69"/>
  <c r="L615" i="69"/>
  <c r="L616" i="69"/>
  <c r="L617" i="69"/>
  <c r="L618" i="69"/>
  <c r="L619" i="69"/>
  <c r="L620" i="69"/>
  <c r="L621" i="69"/>
  <c r="L622" i="69"/>
  <c r="L623" i="69"/>
  <c r="L624" i="69"/>
  <c r="L625" i="69"/>
  <c r="L626" i="69"/>
  <c r="L627" i="69"/>
  <c r="L628" i="69"/>
  <c r="L629" i="69"/>
  <c r="L630" i="69"/>
  <c r="L631" i="69"/>
  <c r="L632" i="69"/>
  <c r="L633" i="69"/>
  <c r="L634" i="69"/>
  <c r="L635" i="69"/>
  <c r="L636" i="69"/>
  <c r="L637" i="69"/>
  <c r="L638" i="69"/>
  <c r="L639" i="69"/>
  <c r="L640" i="69"/>
  <c r="L641" i="69"/>
  <c r="L642" i="69"/>
  <c r="L643" i="69"/>
  <c r="L644" i="69"/>
  <c r="L645" i="69"/>
  <c r="L646" i="69"/>
  <c r="L647" i="69"/>
  <c r="L648" i="69"/>
  <c r="L649" i="69"/>
  <c r="L650" i="69"/>
  <c r="L651" i="69"/>
  <c r="L652" i="69"/>
  <c r="L653" i="69"/>
  <c r="L654" i="69"/>
  <c r="L655" i="69"/>
  <c r="L656" i="69"/>
  <c r="L657" i="69"/>
  <c r="L658" i="69"/>
  <c r="L659" i="69"/>
  <c r="L660" i="69"/>
  <c r="L661" i="69"/>
  <c r="L662" i="69"/>
  <c r="L663" i="69"/>
  <c r="L664" i="69"/>
  <c r="L665" i="69"/>
  <c r="L666" i="69"/>
  <c r="L667" i="69"/>
  <c r="L668" i="69"/>
  <c r="L669" i="69"/>
  <c r="L670" i="69"/>
  <c r="L671" i="69"/>
  <c r="L672" i="69"/>
  <c r="L673" i="69"/>
  <c r="L674" i="69"/>
  <c r="L675" i="69"/>
  <c r="L676" i="69"/>
  <c r="L677" i="69"/>
  <c r="L678" i="69"/>
  <c r="L679" i="69"/>
  <c r="L680" i="69"/>
  <c r="L681" i="69"/>
  <c r="L682" i="69"/>
  <c r="L683" i="69"/>
  <c r="L684" i="69"/>
  <c r="L685" i="69"/>
  <c r="L686" i="69"/>
  <c r="L687" i="69"/>
  <c r="L688" i="69"/>
  <c r="L689" i="69"/>
  <c r="L690" i="69"/>
  <c r="L691" i="69"/>
  <c r="L692" i="69"/>
  <c r="L693" i="69"/>
  <c r="L694" i="69"/>
  <c r="L695" i="69"/>
  <c r="L696" i="69"/>
  <c r="L697" i="69"/>
  <c r="L698" i="69"/>
  <c r="L17" i="69"/>
  <c r="N31" i="69"/>
  <c r="N32" i="69"/>
  <c r="N128" i="69"/>
  <c r="N218" i="69"/>
  <c r="N543" i="69"/>
  <c r="N544" i="69"/>
  <c r="M18" i="69"/>
  <c r="N18" i="69" s="1"/>
  <c r="M19" i="69"/>
  <c r="N19" i="69" s="1"/>
  <c r="M20" i="69"/>
  <c r="M21" i="69"/>
  <c r="N21" i="69" s="1"/>
  <c r="M22" i="69"/>
  <c r="N22" i="69" s="1"/>
  <c r="M23" i="69"/>
  <c r="M24" i="69"/>
  <c r="M25" i="69"/>
  <c r="M26" i="69"/>
  <c r="M27" i="69"/>
  <c r="N27" i="69" s="1"/>
  <c r="M28" i="69"/>
  <c r="M29" i="69"/>
  <c r="M30" i="69"/>
  <c r="M31" i="69"/>
  <c r="M32" i="69"/>
  <c r="M33" i="69"/>
  <c r="M34" i="69"/>
  <c r="M35" i="69"/>
  <c r="M36" i="69"/>
  <c r="M37" i="69"/>
  <c r="M38" i="69"/>
  <c r="M39" i="69"/>
  <c r="M40" i="69"/>
  <c r="M41" i="69"/>
  <c r="M42" i="69"/>
  <c r="N42" i="69" s="1"/>
  <c r="M43" i="69"/>
  <c r="M44" i="69"/>
  <c r="M45" i="69"/>
  <c r="M46" i="69"/>
  <c r="M47" i="69"/>
  <c r="M48" i="69"/>
  <c r="M49" i="69"/>
  <c r="M50" i="69"/>
  <c r="N50" i="69" s="1"/>
  <c r="M51" i="69"/>
  <c r="N51" i="69" s="1"/>
  <c r="M52" i="69"/>
  <c r="M53" i="69"/>
  <c r="N53" i="69" s="1"/>
  <c r="M54" i="69"/>
  <c r="N54" i="69" s="1"/>
  <c r="M55" i="69"/>
  <c r="M56" i="69"/>
  <c r="M57" i="69"/>
  <c r="M58" i="69"/>
  <c r="M59" i="69"/>
  <c r="N59" i="69" s="1"/>
  <c r="M60" i="69"/>
  <c r="M61" i="69"/>
  <c r="M62" i="69"/>
  <c r="M63" i="69"/>
  <c r="M64" i="69"/>
  <c r="M65" i="69"/>
  <c r="M66" i="69"/>
  <c r="M67" i="69"/>
  <c r="M68" i="69"/>
  <c r="M69" i="69"/>
  <c r="M70" i="69"/>
  <c r="M71" i="69"/>
  <c r="M72" i="69"/>
  <c r="M73" i="69"/>
  <c r="M74" i="69"/>
  <c r="N74" i="69" s="1"/>
  <c r="M75" i="69"/>
  <c r="M76" i="69"/>
  <c r="M77" i="69"/>
  <c r="M78" i="69"/>
  <c r="M79" i="69"/>
  <c r="M80" i="69"/>
  <c r="M81" i="69"/>
  <c r="M82" i="69"/>
  <c r="N82" i="69" s="1"/>
  <c r="M83" i="69"/>
  <c r="N83" i="69" s="1"/>
  <c r="M84" i="69"/>
  <c r="M85" i="69"/>
  <c r="N85" i="69" s="1"/>
  <c r="M86" i="69"/>
  <c r="N86" i="69" s="1"/>
  <c r="M87" i="69"/>
  <c r="M88" i="69"/>
  <c r="M89" i="69"/>
  <c r="M90" i="69"/>
  <c r="M91" i="69"/>
  <c r="N91" i="69" s="1"/>
  <c r="M92" i="69"/>
  <c r="M93" i="69"/>
  <c r="M94" i="69"/>
  <c r="M95" i="69"/>
  <c r="M96" i="69"/>
  <c r="M97" i="69"/>
  <c r="M98" i="69"/>
  <c r="M99" i="69"/>
  <c r="M100" i="69"/>
  <c r="M101" i="69"/>
  <c r="M102" i="69"/>
  <c r="M103" i="69"/>
  <c r="M104" i="69"/>
  <c r="M105" i="69"/>
  <c r="M106" i="69"/>
  <c r="N106" i="69" s="1"/>
  <c r="M107" i="69"/>
  <c r="M108" i="69"/>
  <c r="M109" i="69"/>
  <c r="M110" i="69"/>
  <c r="M111" i="69"/>
  <c r="M112" i="69"/>
  <c r="M113" i="69"/>
  <c r="M114" i="69"/>
  <c r="N114" i="69" s="1"/>
  <c r="M115" i="69"/>
  <c r="N115" i="69" s="1"/>
  <c r="M116" i="69"/>
  <c r="M117" i="69"/>
  <c r="N117" i="69" s="1"/>
  <c r="M118" i="69"/>
  <c r="N118" i="69" s="1"/>
  <c r="M119" i="69"/>
  <c r="M120" i="69"/>
  <c r="M121" i="69"/>
  <c r="M122" i="69"/>
  <c r="M123" i="69"/>
  <c r="N123" i="69" s="1"/>
  <c r="M124" i="69"/>
  <c r="M125" i="69"/>
  <c r="M126" i="69"/>
  <c r="M127" i="69"/>
  <c r="M128" i="69"/>
  <c r="M129" i="69"/>
  <c r="M130" i="69"/>
  <c r="M131" i="69"/>
  <c r="M132" i="69"/>
  <c r="M133" i="69"/>
  <c r="M134" i="69"/>
  <c r="M135" i="69"/>
  <c r="M136" i="69"/>
  <c r="M137" i="69"/>
  <c r="M138" i="69"/>
  <c r="N138" i="69" s="1"/>
  <c r="M139" i="69"/>
  <c r="M140" i="69"/>
  <c r="M141" i="69"/>
  <c r="M142" i="69"/>
  <c r="M143" i="69"/>
  <c r="M144" i="69"/>
  <c r="M145" i="69"/>
  <c r="M146" i="69"/>
  <c r="N146" i="69" s="1"/>
  <c r="M147" i="69"/>
  <c r="N147" i="69" s="1"/>
  <c r="M148" i="69"/>
  <c r="M149" i="69"/>
  <c r="N149" i="69" s="1"/>
  <c r="M150" i="69"/>
  <c r="N150" i="69" s="1"/>
  <c r="M151" i="69"/>
  <c r="M152" i="69"/>
  <c r="M153" i="69"/>
  <c r="M154" i="69"/>
  <c r="M155" i="69"/>
  <c r="N155" i="69" s="1"/>
  <c r="M156" i="69"/>
  <c r="M157" i="69"/>
  <c r="M158" i="69"/>
  <c r="M159" i="69"/>
  <c r="M160" i="69"/>
  <c r="M161" i="69"/>
  <c r="M162" i="69"/>
  <c r="M163" i="69"/>
  <c r="M164" i="69"/>
  <c r="M165" i="69"/>
  <c r="M166" i="69"/>
  <c r="N166" i="69" s="1"/>
  <c r="M167" i="69"/>
  <c r="M168" i="69"/>
  <c r="M169" i="69"/>
  <c r="M170" i="69"/>
  <c r="N170" i="69" s="1"/>
  <c r="M171" i="69"/>
  <c r="M172" i="69"/>
  <c r="M173" i="69"/>
  <c r="M174" i="69"/>
  <c r="M175" i="69"/>
  <c r="M176" i="69"/>
  <c r="M177" i="69"/>
  <c r="M178" i="69"/>
  <c r="N178" i="69" s="1"/>
  <c r="M179" i="69"/>
  <c r="N179" i="69" s="1"/>
  <c r="M180" i="69"/>
  <c r="M181" i="69"/>
  <c r="N181" i="69" s="1"/>
  <c r="M182" i="69"/>
  <c r="N182" i="69" s="1"/>
  <c r="M183" i="69"/>
  <c r="M184" i="69"/>
  <c r="M185" i="69"/>
  <c r="M186" i="69"/>
  <c r="M187" i="69"/>
  <c r="N187" i="69" s="1"/>
  <c r="M188" i="69"/>
  <c r="M189" i="69"/>
  <c r="M190" i="69"/>
  <c r="M191" i="69"/>
  <c r="M192" i="69"/>
  <c r="M193" i="69"/>
  <c r="M194" i="69"/>
  <c r="M195" i="69"/>
  <c r="M196" i="69"/>
  <c r="M197" i="69"/>
  <c r="M198" i="69"/>
  <c r="M199" i="69"/>
  <c r="M200" i="69"/>
  <c r="M201" i="69"/>
  <c r="M202" i="69"/>
  <c r="N202" i="69" s="1"/>
  <c r="M203" i="69"/>
  <c r="M204" i="69"/>
  <c r="M205" i="69"/>
  <c r="M206" i="69"/>
  <c r="M207" i="69"/>
  <c r="M208" i="69"/>
  <c r="M209" i="69"/>
  <c r="M210" i="69"/>
  <c r="N210" i="69" s="1"/>
  <c r="M211" i="69"/>
  <c r="N211" i="69" s="1"/>
  <c r="M212" i="69"/>
  <c r="M213" i="69"/>
  <c r="N213" i="69" s="1"/>
  <c r="M214" i="69"/>
  <c r="N214" i="69" s="1"/>
  <c r="M215" i="69"/>
  <c r="M216" i="69"/>
  <c r="M217" i="69"/>
  <c r="M218" i="69"/>
  <c r="M219" i="69"/>
  <c r="N219" i="69" s="1"/>
  <c r="M220" i="69"/>
  <c r="M221" i="69"/>
  <c r="M222" i="69"/>
  <c r="M223" i="69"/>
  <c r="M224" i="69"/>
  <c r="M225" i="69"/>
  <c r="M226" i="69"/>
  <c r="M227" i="69"/>
  <c r="M228" i="69"/>
  <c r="M229" i="69"/>
  <c r="M230" i="69"/>
  <c r="M231" i="69"/>
  <c r="M232" i="69"/>
  <c r="M233" i="69"/>
  <c r="M234" i="69"/>
  <c r="N234" i="69" s="1"/>
  <c r="M235" i="69"/>
  <c r="M236" i="69"/>
  <c r="M237" i="69"/>
  <c r="M238" i="69"/>
  <c r="M239" i="69"/>
  <c r="M240" i="69"/>
  <c r="M241" i="69"/>
  <c r="M242" i="69"/>
  <c r="N242" i="69" s="1"/>
  <c r="M243" i="69"/>
  <c r="N243" i="69" s="1"/>
  <c r="M244" i="69"/>
  <c r="M245" i="69"/>
  <c r="N245" i="69" s="1"/>
  <c r="M246" i="69"/>
  <c r="N246" i="69" s="1"/>
  <c r="M247" i="69"/>
  <c r="M248" i="69"/>
  <c r="M249" i="69"/>
  <c r="M250" i="69"/>
  <c r="M251" i="69"/>
  <c r="N251" i="69" s="1"/>
  <c r="M252" i="69"/>
  <c r="M253" i="69"/>
  <c r="M254" i="69"/>
  <c r="M255" i="69"/>
  <c r="M256" i="69"/>
  <c r="M257" i="69"/>
  <c r="M258" i="69"/>
  <c r="M259" i="69"/>
  <c r="M260" i="69"/>
  <c r="M261" i="69"/>
  <c r="M262" i="69"/>
  <c r="N262" i="69" s="1"/>
  <c r="M263" i="69"/>
  <c r="M264" i="69"/>
  <c r="M265" i="69"/>
  <c r="M266" i="69"/>
  <c r="N266" i="69" s="1"/>
  <c r="M267" i="69"/>
  <c r="M268" i="69"/>
  <c r="M269" i="69"/>
  <c r="M270" i="69"/>
  <c r="M271" i="69"/>
  <c r="M272" i="69"/>
  <c r="M273" i="69"/>
  <c r="M274" i="69"/>
  <c r="N274" i="69" s="1"/>
  <c r="M275" i="69"/>
  <c r="N275" i="69" s="1"/>
  <c r="M276" i="69"/>
  <c r="M277" i="69"/>
  <c r="N277" i="69" s="1"/>
  <c r="M278" i="69"/>
  <c r="N278" i="69" s="1"/>
  <c r="M279" i="69"/>
  <c r="M280" i="69"/>
  <c r="M281" i="69"/>
  <c r="M282" i="69"/>
  <c r="M283" i="69"/>
  <c r="N283" i="69" s="1"/>
  <c r="M284" i="69"/>
  <c r="M285" i="69"/>
  <c r="M286" i="69"/>
  <c r="M287" i="69"/>
  <c r="M288" i="69"/>
  <c r="M289" i="69"/>
  <c r="M290" i="69"/>
  <c r="M291" i="69"/>
  <c r="M292" i="69"/>
  <c r="M293" i="69"/>
  <c r="M294" i="69"/>
  <c r="M295" i="69"/>
  <c r="M296" i="69"/>
  <c r="M297" i="69"/>
  <c r="M298" i="69"/>
  <c r="N298" i="69" s="1"/>
  <c r="M299" i="69"/>
  <c r="M300" i="69"/>
  <c r="M301" i="69"/>
  <c r="M302" i="69"/>
  <c r="M303" i="69"/>
  <c r="M304" i="69"/>
  <c r="M305" i="69"/>
  <c r="M306" i="69"/>
  <c r="N306" i="69" s="1"/>
  <c r="M307" i="69"/>
  <c r="N307" i="69" s="1"/>
  <c r="M308" i="69"/>
  <c r="M309" i="69"/>
  <c r="N309" i="69" s="1"/>
  <c r="M310" i="69"/>
  <c r="N310" i="69" s="1"/>
  <c r="M311" i="69"/>
  <c r="M312" i="69"/>
  <c r="M313" i="69"/>
  <c r="M314" i="69"/>
  <c r="M315" i="69"/>
  <c r="N315" i="69" s="1"/>
  <c r="M316" i="69"/>
  <c r="M317" i="69"/>
  <c r="M318" i="69"/>
  <c r="M319" i="69"/>
  <c r="M320" i="69"/>
  <c r="M321" i="69"/>
  <c r="M322" i="69"/>
  <c r="M323" i="69"/>
  <c r="M324" i="69"/>
  <c r="M325" i="69"/>
  <c r="M326" i="69"/>
  <c r="M327" i="69"/>
  <c r="M328" i="69"/>
  <c r="M329" i="69"/>
  <c r="M330" i="69"/>
  <c r="N330" i="69" s="1"/>
  <c r="M331" i="69"/>
  <c r="M332" i="69"/>
  <c r="M333" i="69"/>
  <c r="M334" i="69"/>
  <c r="M335" i="69"/>
  <c r="M336" i="69"/>
  <c r="M337" i="69"/>
  <c r="M338" i="69"/>
  <c r="N338" i="69" s="1"/>
  <c r="M339" i="69"/>
  <c r="N339" i="69" s="1"/>
  <c r="M340" i="69"/>
  <c r="M341" i="69"/>
  <c r="N341" i="69" s="1"/>
  <c r="M342" i="69"/>
  <c r="N342" i="69" s="1"/>
  <c r="M343" i="69"/>
  <c r="M344" i="69"/>
  <c r="M345" i="69"/>
  <c r="M346" i="69"/>
  <c r="M347" i="69"/>
  <c r="N347" i="69" s="1"/>
  <c r="M348" i="69"/>
  <c r="M349" i="69"/>
  <c r="M350" i="69"/>
  <c r="M351" i="69"/>
  <c r="M352" i="69"/>
  <c r="M353" i="69"/>
  <c r="M354" i="69"/>
  <c r="M355" i="69"/>
  <c r="M356" i="69"/>
  <c r="M357" i="69"/>
  <c r="M358" i="69"/>
  <c r="N358" i="69" s="1"/>
  <c r="M359" i="69"/>
  <c r="M360" i="69"/>
  <c r="M361" i="69"/>
  <c r="M362" i="69"/>
  <c r="N362" i="69" s="1"/>
  <c r="M363" i="69"/>
  <c r="M364" i="69"/>
  <c r="M365" i="69"/>
  <c r="M366" i="69"/>
  <c r="M367" i="69"/>
  <c r="M368" i="69"/>
  <c r="M369" i="69"/>
  <c r="M370" i="69"/>
  <c r="N370" i="69" s="1"/>
  <c r="M371" i="69"/>
  <c r="N371" i="69" s="1"/>
  <c r="M372" i="69"/>
  <c r="M373" i="69"/>
  <c r="N373" i="69" s="1"/>
  <c r="M374" i="69"/>
  <c r="N374" i="69" s="1"/>
  <c r="M375" i="69"/>
  <c r="M376" i="69"/>
  <c r="M377" i="69"/>
  <c r="M378" i="69"/>
  <c r="N378" i="69" s="1"/>
  <c r="M379" i="69"/>
  <c r="N379" i="69" s="1"/>
  <c r="M380" i="69"/>
  <c r="M381" i="69"/>
  <c r="M382" i="69"/>
  <c r="M383" i="69"/>
  <c r="M384" i="69"/>
  <c r="M385" i="69"/>
  <c r="M386" i="69"/>
  <c r="M387" i="69"/>
  <c r="M388" i="69"/>
  <c r="M389" i="69"/>
  <c r="M390" i="69"/>
  <c r="M391" i="69"/>
  <c r="M392" i="69"/>
  <c r="M393" i="69"/>
  <c r="M394" i="69"/>
  <c r="N394" i="69" s="1"/>
  <c r="M395" i="69"/>
  <c r="M396" i="69"/>
  <c r="M397" i="69"/>
  <c r="M398" i="69"/>
  <c r="M399" i="69"/>
  <c r="M400" i="69"/>
  <c r="M401" i="69"/>
  <c r="M402" i="69"/>
  <c r="N402" i="69" s="1"/>
  <c r="M403" i="69"/>
  <c r="N403" i="69" s="1"/>
  <c r="M404" i="69"/>
  <c r="M405" i="69"/>
  <c r="N405" i="69" s="1"/>
  <c r="M406" i="69"/>
  <c r="N406" i="69" s="1"/>
  <c r="M407" i="69"/>
  <c r="M408" i="69"/>
  <c r="M409" i="69"/>
  <c r="M410" i="69"/>
  <c r="M411" i="69"/>
  <c r="N411" i="69" s="1"/>
  <c r="M412" i="69"/>
  <c r="M413" i="69"/>
  <c r="M414" i="69"/>
  <c r="M415" i="69"/>
  <c r="M416" i="69"/>
  <c r="M417" i="69"/>
  <c r="M418" i="69"/>
  <c r="M419" i="69"/>
  <c r="M420" i="69"/>
  <c r="M421" i="69"/>
  <c r="M422" i="69"/>
  <c r="M423" i="69"/>
  <c r="M424" i="69"/>
  <c r="M425" i="69"/>
  <c r="M426" i="69"/>
  <c r="N426" i="69" s="1"/>
  <c r="M427" i="69"/>
  <c r="M428" i="69"/>
  <c r="M429" i="69"/>
  <c r="M430" i="69"/>
  <c r="M431" i="69"/>
  <c r="M432" i="69"/>
  <c r="M433" i="69"/>
  <c r="M434" i="69"/>
  <c r="N434" i="69" s="1"/>
  <c r="M435" i="69"/>
  <c r="N435" i="69" s="1"/>
  <c r="M436" i="69"/>
  <c r="M437" i="69"/>
  <c r="N437" i="69" s="1"/>
  <c r="M438" i="69"/>
  <c r="N438" i="69" s="1"/>
  <c r="M439" i="69"/>
  <c r="M440" i="69"/>
  <c r="M441" i="69"/>
  <c r="M442" i="69"/>
  <c r="M443" i="69"/>
  <c r="N443" i="69" s="1"/>
  <c r="M444" i="69"/>
  <c r="M445" i="69"/>
  <c r="M446" i="69"/>
  <c r="M447" i="69"/>
  <c r="M448" i="69"/>
  <c r="M449" i="69"/>
  <c r="M450" i="69"/>
  <c r="M451" i="69"/>
  <c r="M452" i="69"/>
  <c r="M453" i="69"/>
  <c r="M454" i="69"/>
  <c r="M455" i="69"/>
  <c r="M456" i="69"/>
  <c r="M457" i="69"/>
  <c r="M458" i="69"/>
  <c r="N458" i="69" s="1"/>
  <c r="M459" i="69"/>
  <c r="M460" i="69"/>
  <c r="M461" i="69"/>
  <c r="M462" i="69"/>
  <c r="M463" i="69"/>
  <c r="M464" i="69"/>
  <c r="M465" i="69"/>
  <c r="M466" i="69"/>
  <c r="N466" i="69" s="1"/>
  <c r="M467" i="69"/>
  <c r="N467" i="69" s="1"/>
  <c r="M468" i="69"/>
  <c r="M469" i="69"/>
  <c r="N469" i="69" s="1"/>
  <c r="M470" i="69"/>
  <c r="N470" i="69" s="1"/>
  <c r="M471" i="69"/>
  <c r="M472" i="69"/>
  <c r="M473" i="69"/>
  <c r="M474" i="69"/>
  <c r="N474" i="69" s="1"/>
  <c r="M475" i="69"/>
  <c r="N475" i="69" s="1"/>
  <c r="M476" i="69"/>
  <c r="M477" i="69"/>
  <c r="M478" i="69"/>
  <c r="M479" i="69"/>
  <c r="M480" i="69"/>
  <c r="M481" i="69"/>
  <c r="M482" i="69"/>
  <c r="M483" i="69"/>
  <c r="M484" i="69"/>
  <c r="M485" i="69"/>
  <c r="M486" i="69"/>
  <c r="M487" i="69"/>
  <c r="M488" i="69"/>
  <c r="M489" i="69"/>
  <c r="M490" i="69"/>
  <c r="N490" i="69" s="1"/>
  <c r="M491" i="69"/>
  <c r="M492" i="69"/>
  <c r="M493" i="69"/>
  <c r="M494" i="69"/>
  <c r="M495" i="69"/>
  <c r="M496" i="69"/>
  <c r="M497" i="69"/>
  <c r="M498" i="69"/>
  <c r="N498" i="69" s="1"/>
  <c r="M499" i="69"/>
  <c r="N499" i="69" s="1"/>
  <c r="M500" i="69"/>
  <c r="M501" i="69"/>
  <c r="N501" i="69" s="1"/>
  <c r="M502" i="69"/>
  <c r="N502" i="69" s="1"/>
  <c r="M503" i="69"/>
  <c r="M504" i="69"/>
  <c r="M505" i="69"/>
  <c r="M506" i="69"/>
  <c r="M507" i="69"/>
  <c r="N507" i="69" s="1"/>
  <c r="M508" i="69"/>
  <c r="M509" i="69"/>
  <c r="M510" i="69"/>
  <c r="M511" i="69"/>
  <c r="M512" i="69"/>
  <c r="M513" i="69"/>
  <c r="M514" i="69"/>
  <c r="M515" i="69"/>
  <c r="M516" i="69"/>
  <c r="M517" i="69"/>
  <c r="M518" i="69"/>
  <c r="M519" i="69"/>
  <c r="M520" i="69"/>
  <c r="M521" i="69"/>
  <c r="M522" i="69"/>
  <c r="N522" i="69" s="1"/>
  <c r="M523" i="69"/>
  <c r="M524" i="69"/>
  <c r="M525" i="69"/>
  <c r="M526" i="69"/>
  <c r="M527" i="69"/>
  <c r="M528" i="69"/>
  <c r="M529" i="69"/>
  <c r="M530" i="69"/>
  <c r="N530" i="69" s="1"/>
  <c r="M531" i="69"/>
  <c r="N531" i="69" s="1"/>
  <c r="M532" i="69"/>
  <c r="M533" i="69"/>
  <c r="N533" i="69" s="1"/>
  <c r="M534" i="69"/>
  <c r="N534" i="69" s="1"/>
  <c r="M535" i="69"/>
  <c r="M536" i="69"/>
  <c r="M537" i="69"/>
  <c r="M538" i="69"/>
  <c r="M539" i="69"/>
  <c r="N539" i="69" s="1"/>
  <c r="M540" i="69"/>
  <c r="M541" i="69"/>
  <c r="M542" i="69"/>
  <c r="M543" i="69"/>
  <c r="M544" i="69"/>
  <c r="M545" i="69"/>
  <c r="M546" i="69"/>
  <c r="M547" i="69"/>
  <c r="M548" i="69"/>
  <c r="M549" i="69"/>
  <c r="M550" i="69"/>
  <c r="M551" i="69"/>
  <c r="M552" i="69"/>
  <c r="M553" i="69"/>
  <c r="M554" i="69"/>
  <c r="N554" i="69" s="1"/>
  <c r="M555" i="69"/>
  <c r="M556" i="69"/>
  <c r="M557" i="69"/>
  <c r="M558" i="69"/>
  <c r="M559" i="69"/>
  <c r="M560" i="69"/>
  <c r="M561" i="69"/>
  <c r="M562" i="69"/>
  <c r="N562" i="69" s="1"/>
  <c r="M563" i="69"/>
  <c r="N563" i="69" s="1"/>
  <c r="M564" i="69"/>
  <c r="M565" i="69"/>
  <c r="N565" i="69" s="1"/>
  <c r="M566" i="69"/>
  <c r="N566" i="69" s="1"/>
  <c r="M567" i="69"/>
  <c r="M568" i="69"/>
  <c r="M569" i="69"/>
  <c r="M570" i="69"/>
  <c r="M571" i="69"/>
  <c r="N571" i="69" s="1"/>
  <c r="M572" i="69"/>
  <c r="M573" i="69"/>
  <c r="M574" i="69"/>
  <c r="M575" i="69"/>
  <c r="M576" i="69"/>
  <c r="M577" i="69"/>
  <c r="M578" i="69"/>
  <c r="M579" i="69"/>
  <c r="M580" i="69"/>
  <c r="M581" i="69"/>
  <c r="M582" i="69"/>
  <c r="M583" i="69"/>
  <c r="M584" i="69"/>
  <c r="M585" i="69"/>
  <c r="M586" i="69"/>
  <c r="N586" i="69" s="1"/>
  <c r="M587" i="69"/>
  <c r="M588" i="69"/>
  <c r="M589" i="69"/>
  <c r="M590" i="69"/>
  <c r="M591" i="69"/>
  <c r="M592" i="69"/>
  <c r="M593" i="69"/>
  <c r="M594" i="69"/>
  <c r="N594" i="69" s="1"/>
  <c r="M595" i="69"/>
  <c r="N595" i="69" s="1"/>
  <c r="M596" i="69"/>
  <c r="M597" i="69"/>
  <c r="N597" i="69" s="1"/>
  <c r="M598" i="69"/>
  <c r="N598" i="69" s="1"/>
  <c r="M599" i="69"/>
  <c r="M600" i="69"/>
  <c r="M601" i="69"/>
  <c r="M602" i="69"/>
  <c r="M603" i="69"/>
  <c r="N603" i="69" s="1"/>
  <c r="M604" i="69"/>
  <c r="M605" i="69"/>
  <c r="M606" i="69"/>
  <c r="M607" i="69"/>
  <c r="M608" i="69"/>
  <c r="M609" i="69"/>
  <c r="M610" i="69"/>
  <c r="M611" i="69"/>
  <c r="M612" i="69"/>
  <c r="M613" i="69"/>
  <c r="M614" i="69"/>
  <c r="M615" i="69"/>
  <c r="M616" i="69"/>
  <c r="M617" i="69"/>
  <c r="M618" i="69"/>
  <c r="N618" i="69" s="1"/>
  <c r="M619" i="69"/>
  <c r="M620" i="69"/>
  <c r="M621" i="69"/>
  <c r="M622" i="69"/>
  <c r="M623" i="69"/>
  <c r="M624" i="69"/>
  <c r="M625" i="69"/>
  <c r="M626" i="69"/>
  <c r="N626" i="69" s="1"/>
  <c r="M627" i="69"/>
  <c r="N627" i="69" s="1"/>
  <c r="M628" i="69"/>
  <c r="M629" i="69"/>
  <c r="N629" i="69" s="1"/>
  <c r="M630" i="69"/>
  <c r="N630" i="69" s="1"/>
  <c r="M631" i="69"/>
  <c r="M632" i="69"/>
  <c r="M633" i="69"/>
  <c r="M634" i="69"/>
  <c r="M635" i="69"/>
  <c r="N635" i="69" s="1"/>
  <c r="M636" i="69"/>
  <c r="M637" i="69"/>
  <c r="M638" i="69"/>
  <c r="M639" i="69"/>
  <c r="M640" i="69"/>
  <c r="M641" i="69"/>
  <c r="M642" i="69"/>
  <c r="M643" i="69"/>
  <c r="M644" i="69"/>
  <c r="M645" i="69"/>
  <c r="M646" i="69"/>
  <c r="M647" i="69"/>
  <c r="M648" i="69"/>
  <c r="M649" i="69"/>
  <c r="M650" i="69"/>
  <c r="M651" i="69"/>
  <c r="M652" i="69"/>
  <c r="M653" i="69"/>
  <c r="M654" i="69"/>
  <c r="M655" i="69"/>
  <c r="M656" i="69"/>
  <c r="M657" i="69"/>
  <c r="M658" i="69"/>
  <c r="N658" i="69" s="1"/>
  <c r="M659" i="69"/>
  <c r="N659" i="69" s="1"/>
  <c r="M660" i="69"/>
  <c r="M661" i="69"/>
  <c r="N661" i="69" s="1"/>
  <c r="M662" i="69"/>
  <c r="N662" i="69" s="1"/>
  <c r="M663" i="69"/>
  <c r="M664" i="69"/>
  <c r="M665" i="69"/>
  <c r="M666" i="69"/>
  <c r="M667" i="69"/>
  <c r="N667" i="69" s="1"/>
  <c r="M668" i="69"/>
  <c r="M669" i="69"/>
  <c r="M670" i="69"/>
  <c r="M671" i="69"/>
  <c r="M672" i="69"/>
  <c r="M673" i="69"/>
  <c r="M674" i="69"/>
  <c r="M675" i="69"/>
  <c r="M676" i="69"/>
  <c r="M677" i="69"/>
  <c r="M678" i="69"/>
  <c r="M679" i="69"/>
  <c r="M680" i="69"/>
  <c r="M681" i="69"/>
  <c r="M682" i="69"/>
  <c r="M683" i="69"/>
  <c r="M684" i="69"/>
  <c r="M685" i="69"/>
  <c r="M686" i="69"/>
  <c r="M687" i="69"/>
  <c r="M688" i="69"/>
  <c r="M689" i="69"/>
  <c r="M690" i="69"/>
  <c r="N690" i="69" s="1"/>
  <c r="M691" i="69"/>
  <c r="N691" i="69" s="1"/>
  <c r="M692" i="69"/>
  <c r="M693" i="69"/>
  <c r="N693" i="69" s="1"/>
  <c r="M694" i="69"/>
  <c r="N694" i="69" s="1"/>
  <c r="M695" i="69"/>
  <c r="M696" i="69"/>
  <c r="M697" i="69"/>
  <c r="M698" i="69"/>
  <c r="M17" i="69"/>
  <c r="N17" i="69" s="1"/>
  <c r="N33" i="69" l="1"/>
  <c r="N478" i="69"/>
  <c r="N382" i="69"/>
  <c r="N350" i="69"/>
  <c r="N318" i="69"/>
  <c r="N286" i="69"/>
  <c r="N254" i="69"/>
  <c r="N222" i="69"/>
  <c r="N190" i="69"/>
  <c r="N158" i="69"/>
  <c r="N126" i="69"/>
  <c r="N94" i="69"/>
  <c r="N62" i="69"/>
  <c r="N30" i="69"/>
  <c r="N637" i="69"/>
  <c r="N509" i="69"/>
  <c r="N477" i="69"/>
  <c r="N445" i="69"/>
  <c r="N413" i="69"/>
  <c r="N381" i="69"/>
  <c r="N349" i="69"/>
  <c r="N317" i="69"/>
  <c r="N285" i="69"/>
  <c r="N253" i="69"/>
  <c r="N221" i="69"/>
  <c r="N189" i="69"/>
  <c r="N157" i="69"/>
  <c r="N125" i="69"/>
  <c r="N93" i="69"/>
  <c r="N61" i="69"/>
  <c r="N29" i="69"/>
  <c r="N640" i="69"/>
  <c r="N574" i="69"/>
  <c r="N573" i="69"/>
  <c r="N668" i="69"/>
  <c r="N636" i="69"/>
  <c r="N604" i="69"/>
  <c r="N572" i="69"/>
  <c r="N540" i="69"/>
  <c r="N508" i="69"/>
  <c r="N476" i="69"/>
  <c r="N444" i="69"/>
  <c r="N412" i="69"/>
  <c r="N380" i="69"/>
  <c r="N348" i="69"/>
  <c r="N316" i="69"/>
  <c r="N284" i="69"/>
  <c r="N252" i="69"/>
  <c r="N220" i="69"/>
  <c r="N188" i="69"/>
  <c r="N156" i="69"/>
  <c r="N124" i="69"/>
  <c r="N92" i="69"/>
  <c r="N60" i="69"/>
  <c r="N28" i="69"/>
  <c r="N606" i="69"/>
  <c r="N414" i="69"/>
  <c r="N666" i="69"/>
  <c r="N442" i="69"/>
  <c r="N410" i="69"/>
  <c r="N346" i="69"/>
  <c r="N314" i="69"/>
  <c r="N282" i="69"/>
  <c r="N250" i="69"/>
  <c r="N186" i="69"/>
  <c r="N154" i="69"/>
  <c r="N122" i="69"/>
  <c r="N90" i="69"/>
  <c r="N58" i="69"/>
  <c r="N26" i="69"/>
  <c r="N542" i="69"/>
  <c r="N669" i="69"/>
  <c r="N665" i="69"/>
  <c r="N505" i="69"/>
  <c r="N409" i="69"/>
  <c r="N377" i="69"/>
  <c r="N345" i="69"/>
  <c r="N313" i="69"/>
  <c r="N281" i="69"/>
  <c r="N249" i="69"/>
  <c r="N217" i="69"/>
  <c r="N185" i="69"/>
  <c r="N153" i="69"/>
  <c r="N121" i="69"/>
  <c r="N89" i="69"/>
  <c r="N57" i="69"/>
  <c r="N25" i="69"/>
  <c r="N638" i="69"/>
  <c r="N510" i="69"/>
  <c r="N605" i="69"/>
  <c r="N698" i="69"/>
  <c r="N602" i="69"/>
  <c r="N570" i="69"/>
  <c r="N506" i="69"/>
  <c r="N601" i="69"/>
  <c r="N537" i="69"/>
  <c r="N441" i="69"/>
  <c r="N696" i="69"/>
  <c r="N664" i="69"/>
  <c r="N632" i="69"/>
  <c r="N600" i="69"/>
  <c r="N568" i="69"/>
  <c r="N536" i="69"/>
  <c r="N504" i="69"/>
  <c r="N472" i="69"/>
  <c r="N440" i="69"/>
  <c r="N408" i="69"/>
  <c r="N376" i="69"/>
  <c r="N344" i="69"/>
  <c r="N312" i="69"/>
  <c r="N280" i="69"/>
  <c r="N248" i="69"/>
  <c r="N216" i="69"/>
  <c r="N184" i="69"/>
  <c r="N152" i="69"/>
  <c r="N120" i="69"/>
  <c r="N88" i="69"/>
  <c r="N56" i="69"/>
  <c r="N24" i="69"/>
  <c r="N449" i="69"/>
  <c r="N670" i="69"/>
  <c r="N446" i="69"/>
  <c r="N541" i="69"/>
  <c r="N634" i="69"/>
  <c r="N538" i="69"/>
  <c r="N697" i="69"/>
  <c r="N633" i="69"/>
  <c r="N569" i="69"/>
  <c r="N473" i="69"/>
  <c r="N695" i="69"/>
  <c r="N663" i="69"/>
  <c r="N631" i="69"/>
  <c r="N599" i="69"/>
  <c r="N567" i="69"/>
  <c r="N535" i="69"/>
  <c r="N503" i="69"/>
  <c r="N471" i="69"/>
  <c r="N439" i="69"/>
  <c r="N407" i="69"/>
  <c r="N375" i="69"/>
  <c r="N343" i="69"/>
  <c r="N311" i="69"/>
  <c r="N279" i="69"/>
  <c r="N247" i="69"/>
  <c r="N215" i="69"/>
  <c r="N183" i="69"/>
  <c r="N151" i="69"/>
  <c r="N119" i="69"/>
  <c r="N87" i="69"/>
  <c r="N55" i="69"/>
  <c r="N23" i="69"/>
  <c r="N551" i="69"/>
  <c r="N263" i="69"/>
  <c r="N231" i="69"/>
  <c r="N199" i="69"/>
  <c r="N167" i="69"/>
  <c r="N135" i="69"/>
  <c r="N103" i="69"/>
  <c r="N71" i="69"/>
  <c r="N39" i="69"/>
  <c r="N519" i="69"/>
  <c r="N550" i="69"/>
  <c r="N518" i="69"/>
  <c r="N486" i="69"/>
  <c r="N454" i="69"/>
  <c r="N422" i="69"/>
  <c r="N390" i="69"/>
  <c r="N326" i="69"/>
  <c r="N294" i="69"/>
  <c r="N230" i="69"/>
  <c r="N198" i="69"/>
  <c r="N134" i="69"/>
  <c r="N102" i="69"/>
  <c r="N70" i="69"/>
  <c r="N38" i="69"/>
  <c r="N423" i="69"/>
  <c r="N613" i="69"/>
  <c r="N581" i="69"/>
  <c r="N549" i="69"/>
  <c r="N517" i="69"/>
  <c r="N485" i="69"/>
  <c r="N453" i="69"/>
  <c r="N421" i="69"/>
  <c r="N389" i="69"/>
  <c r="N357" i="69"/>
  <c r="N325" i="69"/>
  <c r="N293" i="69"/>
  <c r="N261" i="69"/>
  <c r="N229" i="69"/>
  <c r="N197" i="69"/>
  <c r="N165" i="69"/>
  <c r="N133" i="69"/>
  <c r="N101" i="69"/>
  <c r="N69" i="69"/>
  <c r="N37" i="69"/>
  <c r="N647" i="69"/>
  <c r="N487" i="69"/>
  <c r="N646" i="69"/>
  <c r="N516" i="69"/>
  <c r="N356" i="69"/>
  <c r="N260" i="69"/>
  <c r="N228" i="69"/>
  <c r="N196" i="69"/>
  <c r="N164" i="69"/>
  <c r="N132" i="69"/>
  <c r="N100" i="69"/>
  <c r="N68" i="69"/>
  <c r="N36" i="69"/>
  <c r="N327" i="69"/>
  <c r="N644" i="69"/>
  <c r="N420" i="69"/>
  <c r="N611" i="69"/>
  <c r="N579" i="69"/>
  <c r="N547" i="69"/>
  <c r="N515" i="69"/>
  <c r="N483" i="69"/>
  <c r="N451" i="69"/>
  <c r="N419" i="69"/>
  <c r="N387" i="69"/>
  <c r="N355" i="69"/>
  <c r="N323" i="69"/>
  <c r="N291" i="69"/>
  <c r="N259" i="69"/>
  <c r="N227" i="69"/>
  <c r="N195" i="69"/>
  <c r="N163" i="69"/>
  <c r="N131" i="69"/>
  <c r="N99" i="69"/>
  <c r="N67" i="69"/>
  <c r="N35" i="69"/>
  <c r="N679" i="69"/>
  <c r="N455" i="69"/>
  <c r="N678" i="69"/>
  <c r="N677" i="69"/>
  <c r="N452" i="69"/>
  <c r="N675" i="69"/>
  <c r="N578" i="69"/>
  <c r="N482" i="69"/>
  <c r="N450" i="69"/>
  <c r="N418" i="69"/>
  <c r="N386" i="69"/>
  <c r="N354" i="69"/>
  <c r="N322" i="69"/>
  <c r="N290" i="69"/>
  <c r="N258" i="69"/>
  <c r="N226" i="69"/>
  <c r="N194" i="69"/>
  <c r="N162" i="69"/>
  <c r="N130" i="69"/>
  <c r="N98" i="69"/>
  <c r="N66" i="69"/>
  <c r="N34" i="69"/>
  <c r="N615" i="69"/>
  <c r="N295" i="69"/>
  <c r="N580" i="69"/>
  <c r="N324" i="69"/>
  <c r="N674" i="69"/>
  <c r="N514" i="69"/>
  <c r="N673" i="69"/>
  <c r="N609" i="69"/>
  <c r="N545" i="69"/>
  <c r="N513" i="69"/>
  <c r="N417" i="69"/>
  <c r="N385" i="69"/>
  <c r="N353" i="69"/>
  <c r="N321" i="69"/>
  <c r="N289" i="69"/>
  <c r="N257" i="69"/>
  <c r="N225" i="69"/>
  <c r="N193" i="69"/>
  <c r="N161" i="69"/>
  <c r="N129" i="69"/>
  <c r="N97" i="69"/>
  <c r="N65" i="69"/>
  <c r="N583" i="69"/>
  <c r="N359" i="69"/>
  <c r="N582" i="69"/>
  <c r="N645" i="69"/>
  <c r="N676" i="69"/>
  <c r="N548" i="69"/>
  <c r="N388" i="69"/>
  <c r="N643" i="69"/>
  <c r="N642" i="69"/>
  <c r="N546" i="69"/>
  <c r="N641" i="69"/>
  <c r="N577" i="69"/>
  <c r="N481" i="69"/>
  <c r="N672" i="69"/>
  <c r="N608" i="69"/>
  <c r="N576" i="69"/>
  <c r="N512" i="69"/>
  <c r="N480" i="69"/>
  <c r="N448" i="69"/>
  <c r="N416" i="69"/>
  <c r="N384" i="69"/>
  <c r="N352" i="69"/>
  <c r="N320" i="69"/>
  <c r="N288" i="69"/>
  <c r="N256" i="69"/>
  <c r="N224" i="69"/>
  <c r="N192" i="69"/>
  <c r="N160" i="69"/>
  <c r="N96" i="69"/>
  <c r="N64" i="69"/>
  <c r="N391" i="69"/>
  <c r="N614" i="69"/>
  <c r="N612" i="69"/>
  <c r="N484" i="69"/>
  <c r="N292" i="69"/>
  <c r="N610" i="69"/>
  <c r="N671" i="69"/>
  <c r="N639" i="69"/>
  <c r="N607" i="69"/>
  <c r="N575" i="69"/>
  <c r="N511" i="69"/>
  <c r="N479" i="69"/>
  <c r="N415" i="69"/>
  <c r="N383" i="69"/>
  <c r="N351" i="69"/>
  <c r="N319" i="69"/>
  <c r="N287" i="69"/>
  <c r="N255" i="69"/>
  <c r="N223" i="69"/>
  <c r="N191" i="69"/>
  <c r="N159" i="69"/>
  <c r="N127" i="69"/>
  <c r="N95" i="69"/>
  <c r="N63" i="69"/>
  <c r="G22" i="73"/>
  <c r="M18" i="39" s="1"/>
  <c r="G21" i="73"/>
  <c r="M17" i="39" s="1"/>
  <c r="G24" i="73"/>
  <c r="M29" i="39" s="1"/>
  <c r="G33" i="73"/>
  <c r="H34" i="38" s="1"/>
  <c r="M15" i="39"/>
  <c r="L31" i="72"/>
  <c r="H32" i="38" s="1"/>
  <c r="L80" i="39"/>
  <c r="G25" i="67"/>
  <c r="G21" i="49"/>
  <c r="H21" i="49" s="1"/>
  <c r="G22" i="49"/>
  <c r="N683" i="69"/>
  <c r="N651" i="69"/>
  <c r="N619" i="69"/>
  <c r="N587" i="69"/>
  <c r="N555" i="69"/>
  <c r="N523" i="69"/>
  <c r="N491" i="69"/>
  <c r="N459" i="69"/>
  <c r="N427" i="69"/>
  <c r="N395" i="69"/>
  <c r="N363" i="69"/>
  <c r="N331" i="69"/>
  <c r="N299" i="69"/>
  <c r="N267" i="69"/>
  <c r="N235" i="69"/>
  <c r="N203" i="69"/>
  <c r="N171" i="69"/>
  <c r="N139" i="69"/>
  <c r="N107" i="69"/>
  <c r="N75" i="69"/>
  <c r="N43" i="69"/>
  <c r="N682" i="69"/>
  <c r="N650" i="69"/>
  <c r="N681" i="69"/>
  <c r="N649" i="69"/>
  <c r="N617" i="69"/>
  <c r="N585" i="69"/>
  <c r="N553" i="69"/>
  <c r="N521" i="69"/>
  <c r="N489" i="69"/>
  <c r="N457" i="69"/>
  <c r="N425" i="69"/>
  <c r="N393" i="69"/>
  <c r="N361" i="69"/>
  <c r="N329" i="69"/>
  <c r="N297" i="69"/>
  <c r="N265" i="69"/>
  <c r="N233" i="69"/>
  <c r="N201" i="69"/>
  <c r="N169" i="69"/>
  <c r="N137" i="69"/>
  <c r="N105" i="69"/>
  <c r="N73" i="69"/>
  <c r="N41" i="69"/>
  <c r="N680" i="69"/>
  <c r="N648" i="69"/>
  <c r="N616" i="69"/>
  <c r="N584" i="69"/>
  <c r="N552" i="69"/>
  <c r="N520" i="69"/>
  <c r="N488" i="69"/>
  <c r="N456" i="69"/>
  <c r="N424" i="69"/>
  <c r="N392" i="69"/>
  <c r="N360" i="69"/>
  <c r="N328" i="69"/>
  <c r="N296" i="69"/>
  <c r="N264" i="69"/>
  <c r="N232" i="69"/>
  <c r="N200" i="69"/>
  <c r="N168" i="69"/>
  <c r="N136" i="69"/>
  <c r="N104" i="69"/>
  <c r="N72" i="69"/>
  <c r="N40" i="69"/>
  <c r="N692" i="69"/>
  <c r="N660" i="69"/>
  <c r="N628" i="69"/>
  <c r="N596" i="69"/>
  <c r="N564" i="69"/>
  <c r="N532" i="69"/>
  <c r="N500" i="69"/>
  <c r="N468" i="69"/>
  <c r="N436" i="69"/>
  <c r="N404" i="69"/>
  <c r="N372" i="69"/>
  <c r="N340" i="69"/>
  <c r="N308" i="69"/>
  <c r="N276" i="69"/>
  <c r="N244" i="69"/>
  <c r="N212" i="69"/>
  <c r="N180" i="69"/>
  <c r="N148" i="69"/>
  <c r="N116" i="69"/>
  <c r="N84" i="69"/>
  <c r="N52" i="69"/>
  <c r="N20" i="69"/>
  <c r="N689" i="69"/>
  <c r="N657" i="69"/>
  <c r="N625" i="69"/>
  <c r="N593" i="69"/>
  <c r="N561" i="69"/>
  <c r="N529" i="69"/>
  <c r="N497" i="69"/>
  <c r="N465" i="69"/>
  <c r="N433" i="69"/>
  <c r="N401" i="69"/>
  <c r="N369" i="69"/>
  <c r="N337" i="69"/>
  <c r="N305" i="69"/>
  <c r="N273" i="69"/>
  <c r="N241" i="69"/>
  <c r="N209" i="69"/>
  <c r="N177" i="69"/>
  <c r="N145" i="69"/>
  <c r="N113" i="69"/>
  <c r="N81" i="69"/>
  <c r="N49" i="69"/>
  <c r="N688" i="69"/>
  <c r="N656" i="69"/>
  <c r="N624" i="69"/>
  <c r="N592" i="69"/>
  <c r="N560" i="69"/>
  <c r="N528" i="69"/>
  <c r="N496" i="69"/>
  <c r="N464" i="69"/>
  <c r="N432" i="69"/>
  <c r="N400" i="69"/>
  <c r="N368" i="69"/>
  <c r="N336" i="69"/>
  <c r="N304" i="69"/>
  <c r="N272" i="69"/>
  <c r="N240" i="69"/>
  <c r="N208" i="69"/>
  <c r="N176" i="69"/>
  <c r="N144" i="69"/>
  <c r="N112" i="69"/>
  <c r="N80" i="69"/>
  <c r="N48" i="69"/>
  <c r="N687" i="69"/>
  <c r="N655" i="69"/>
  <c r="N623" i="69"/>
  <c r="N591" i="69"/>
  <c r="N559" i="69"/>
  <c r="N527" i="69"/>
  <c r="N495" i="69"/>
  <c r="N463" i="69"/>
  <c r="N431" i="69"/>
  <c r="N399" i="69"/>
  <c r="N367" i="69"/>
  <c r="N335" i="69"/>
  <c r="N303" i="69"/>
  <c r="N271" i="69"/>
  <c r="N239" i="69"/>
  <c r="N207" i="69"/>
  <c r="N175" i="69"/>
  <c r="N143" i="69"/>
  <c r="N111" i="69"/>
  <c r="N79" i="69"/>
  <c r="N47" i="69"/>
  <c r="N686" i="69"/>
  <c r="N654" i="69"/>
  <c r="N622" i="69"/>
  <c r="N590" i="69"/>
  <c r="N558" i="69"/>
  <c r="N526" i="69"/>
  <c r="N494" i="69"/>
  <c r="N462" i="69"/>
  <c r="N430" i="69"/>
  <c r="N398" i="69"/>
  <c r="N366" i="69"/>
  <c r="N334" i="69"/>
  <c r="N302" i="69"/>
  <c r="N270" i="69"/>
  <c r="N238" i="69"/>
  <c r="N206" i="69"/>
  <c r="N174" i="69"/>
  <c r="N142" i="69"/>
  <c r="N110" i="69"/>
  <c r="N78" i="69"/>
  <c r="N46" i="69"/>
  <c r="N685" i="69"/>
  <c r="N653" i="69"/>
  <c r="N621" i="69"/>
  <c r="N589" i="69"/>
  <c r="N557" i="69"/>
  <c r="N525" i="69"/>
  <c r="N493" i="69"/>
  <c r="N461" i="69"/>
  <c r="N429" i="69"/>
  <c r="N397" i="69"/>
  <c r="N365" i="69"/>
  <c r="N333" i="69"/>
  <c r="N301" i="69"/>
  <c r="N269" i="69"/>
  <c r="N237" i="69"/>
  <c r="N205" i="69"/>
  <c r="N173" i="69"/>
  <c r="N141" i="69"/>
  <c r="N109" i="69"/>
  <c r="N77" i="69"/>
  <c r="N45" i="69"/>
  <c r="N684" i="69"/>
  <c r="N652" i="69"/>
  <c r="N620" i="69"/>
  <c r="N588" i="69"/>
  <c r="N556" i="69"/>
  <c r="N524" i="69"/>
  <c r="N492" i="69"/>
  <c r="N460" i="69"/>
  <c r="N428" i="69"/>
  <c r="N396" i="69"/>
  <c r="N364" i="69"/>
  <c r="N332" i="69"/>
  <c r="N300" i="69"/>
  <c r="N268" i="69"/>
  <c r="N236" i="69"/>
  <c r="N204" i="69"/>
  <c r="N172" i="69"/>
  <c r="N140" i="69"/>
  <c r="N108" i="69"/>
  <c r="N76" i="69"/>
  <c r="N44" i="69"/>
  <c r="M80" i="39" l="1"/>
  <c r="C9" i="71"/>
  <c r="C8" i="71"/>
  <c r="C7" i="71"/>
  <c r="C6" i="71"/>
  <c r="C5" i="71"/>
  <c r="C4" i="71"/>
  <c r="A22" i="38" s="1"/>
  <c r="C3" i="71"/>
  <c r="H16" i="71"/>
  <c r="I16" i="71"/>
  <c r="J16" i="71" s="1"/>
  <c r="H17" i="71"/>
  <c r="I17" i="71"/>
  <c r="J17" i="71" s="1"/>
  <c r="H18" i="71"/>
  <c r="I18" i="71"/>
  <c r="J18" i="71"/>
  <c r="H19" i="71"/>
  <c r="I19" i="71"/>
  <c r="H20" i="71"/>
  <c r="I20" i="71"/>
  <c r="H21" i="71"/>
  <c r="I21" i="71"/>
  <c r="H22" i="71"/>
  <c r="I22" i="71"/>
  <c r="H23" i="71"/>
  <c r="I23" i="71"/>
  <c r="J23" i="71" s="1"/>
  <c r="H24" i="71"/>
  <c r="I24" i="71"/>
  <c r="H25" i="71"/>
  <c r="I25" i="71"/>
  <c r="H26" i="71"/>
  <c r="I26" i="71"/>
  <c r="J26" i="71"/>
  <c r="H27" i="71"/>
  <c r="I27" i="71"/>
  <c r="J27" i="71" s="1"/>
  <c r="H28" i="71"/>
  <c r="I28" i="71"/>
  <c r="J28" i="71" s="1"/>
  <c r="H29" i="71"/>
  <c r="I29" i="71"/>
  <c r="H30" i="71"/>
  <c r="I30" i="71"/>
  <c r="J30" i="71" s="1"/>
  <c r="H31" i="71"/>
  <c r="I31" i="71"/>
  <c r="J31" i="71"/>
  <c r="H32" i="71"/>
  <c r="I32" i="71"/>
  <c r="J32" i="71"/>
  <c r="H33" i="71"/>
  <c r="I33" i="71"/>
  <c r="H34" i="71"/>
  <c r="I34" i="71"/>
  <c r="J34" i="71" s="1"/>
  <c r="H35" i="71"/>
  <c r="I35" i="71"/>
  <c r="J35" i="71" s="1"/>
  <c r="H36" i="71"/>
  <c r="I36" i="71"/>
  <c r="H37" i="71"/>
  <c r="I37" i="71"/>
  <c r="J37" i="71"/>
  <c r="H38" i="71"/>
  <c r="I38" i="71"/>
  <c r="J38" i="71" s="1"/>
  <c r="H39" i="71"/>
  <c r="I39" i="71"/>
  <c r="H40" i="71"/>
  <c r="I40" i="71"/>
  <c r="J40" i="71"/>
  <c r="H41" i="71"/>
  <c r="I41" i="71"/>
  <c r="J41" i="71" s="1"/>
  <c r="H42" i="71"/>
  <c r="I42" i="71"/>
  <c r="J42" i="71" s="1"/>
  <c r="H43" i="71"/>
  <c r="I43" i="71"/>
  <c r="J43" i="71" s="1"/>
  <c r="H44" i="71"/>
  <c r="I44" i="71"/>
  <c r="H45" i="71"/>
  <c r="I45" i="71"/>
  <c r="J45" i="71" s="1"/>
  <c r="H46" i="71"/>
  <c r="I46" i="71"/>
  <c r="H47" i="71"/>
  <c r="I47" i="71"/>
  <c r="J47" i="71" s="1"/>
  <c r="H48" i="71"/>
  <c r="I48" i="71"/>
  <c r="J48" i="71" s="1"/>
  <c r="H49" i="71"/>
  <c r="I49" i="71"/>
  <c r="J49" i="71"/>
  <c r="H50" i="71"/>
  <c r="I50" i="71"/>
  <c r="J50" i="71" s="1"/>
  <c r="H51" i="71"/>
  <c r="I51" i="71"/>
  <c r="J51" i="71" s="1"/>
  <c r="H52" i="71"/>
  <c r="I52" i="71"/>
  <c r="J52" i="71"/>
  <c r="H53" i="71"/>
  <c r="I53" i="71"/>
  <c r="H54" i="71"/>
  <c r="I54" i="71"/>
  <c r="J54" i="71" s="1"/>
  <c r="H55" i="71"/>
  <c r="J55" i="71" s="1"/>
  <c r="I55" i="71"/>
  <c r="E56" i="71"/>
  <c r="J53" i="71" l="1"/>
  <c r="J21" i="71"/>
  <c r="J19" i="71"/>
  <c r="J44" i="71"/>
  <c r="J33" i="71"/>
  <c r="J39" i="71"/>
  <c r="J20" i="71"/>
  <c r="J29" i="71"/>
  <c r="J36" i="71"/>
  <c r="J24" i="71"/>
  <c r="J22" i="71"/>
  <c r="J46" i="71"/>
  <c r="J25" i="71"/>
  <c r="J56" i="71"/>
  <c r="H22" i="38" s="1"/>
  <c r="A2" i="2" l="1"/>
  <c r="A3" i="2" s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I698" i="69" l="1"/>
  <c r="I697" i="69"/>
  <c r="I696" i="69"/>
  <c r="I695" i="69"/>
  <c r="I694" i="69"/>
  <c r="I693" i="69"/>
  <c r="I692" i="69"/>
  <c r="I691" i="69"/>
  <c r="I690" i="69"/>
  <c r="I689" i="69"/>
  <c r="I688" i="69"/>
  <c r="I687" i="69"/>
  <c r="I686" i="69"/>
  <c r="I685" i="69"/>
  <c r="I684" i="69"/>
  <c r="I683" i="69"/>
  <c r="I682" i="69"/>
  <c r="I681" i="69"/>
  <c r="I680" i="69"/>
  <c r="I679" i="69"/>
  <c r="I678" i="69"/>
  <c r="I677" i="69"/>
  <c r="I676" i="69"/>
  <c r="I675" i="69"/>
  <c r="I674" i="69"/>
  <c r="I673" i="69"/>
  <c r="I672" i="69"/>
  <c r="I671" i="69"/>
  <c r="I670" i="69"/>
  <c r="I669" i="69"/>
  <c r="I668" i="69"/>
  <c r="I667" i="69"/>
  <c r="I666" i="69"/>
  <c r="I665" i="69"/>
  <c r="I664" i="69"/>
  <c r="I662" i="69"/>
  <c r="I661" i="69"/>
  <c r="I660" i="69"/>
  <c r="I659" i="69"/>
  <c r="I658" i="69"/>
  <c r="I657" i="69"/>
  <c r="I656" i="69"/>
  <c r="I655" i="69"/>
  <c r="I654" i="69"/>
  <c r="I653" i="69"/>
  <c r="I652" i="69"/>
  <c r="I651" i="69"/>
  <c r="I650" i="69"/>
  <c r="I649" i="69"/>
  <c r="I648" i="69"/>
  <c r="I647" i="69"/>
  <c r="I646" i="69"/>
  <c r="I645" i="69"/>
  <c r="I643" i="69"/>
  <c r="I642" i="69"/>
  <c r="I641" i="69"/>
  <c r="I640" i="69"/>
  <c r="I639" i="69"/>
  <c r="I638" i="69"/>
  <c r="I637" i="69"/>
  <c r="I636" i="69"/>
  <c r="I635" i="69"/>
  <c r="I634" i="69"/>
  <c r="I633" i="69"/>
  <c r="I631" i="69"/>
  <c r="I630" i="69"/>
  <c r="I629" i="69"/>
  <c r="I628" i="69"/>
  <c r="I627" i="69"/>
  <c r="I626" i="69"/>
  <c r="I625" i="69"/>
  <c r="I624" i="69"/>
  <c r="I623" i="69"/>
  <c r="I622" i="69"/>
  <c r="I621" i="69"/>
  <c r="I620" i="69"/>
  <c r="I619" i="69"/>
  <c r="I618" i="69"/>
  <c r="I617" i="69"/>
  <c r="I615" i="69"/>
  <c r="I614" i="69"/>
  <c r="I613" i="69"/>
  <c r="I612" i="69"/>
  <c r="I611" i="69"/>
  <c r="I610" i="69"/>
  <c r="I609" i="69"/>
  <c r="I608" i="69"/>
  <c r="I607" i="69"/>
  <c r="I606" i="69"/>
  <c r="I605" i="69"/>
  <c r="I604" i="69"/>
  <c r="I603" i="69"/>
  <c r="I602" i="69"/>
  <c r="I601" i="69"/>
  <c r="I600" i="69"/>
  <c r="I599" i="69"/>
  <c r="I597" i="69"/>
  <c r="I596" i="69"/>
  <c r="I595" i="69"/>
  <c r="I594" i="69"/>
  <c r="I593" i="69"/>
  <c r="I592" i="69"/>
  <c r="I591" i="69"/>
  <c r="I590" i="69"/>
  <c r="I589" i="69"/>
  <c r="I588" i="69"/>
  <c r="I587" i="69"/>
  <c r="I586" i="69"/>
  <c r="I585" i="69"/>
  <c r="I584" i="69"/>
  <c r="I583" i="69"/>
  <c r="I582" i="69"/>
  <c r="I581" i="69"/>
  <c r="I579" i="69"/>
  <c r="I578" i="69"/>
  <c r="I577" i="69"/>
  <c r="I576" i="69"/>
  <c r="I575" i="69"/>
  <c r="I574" i="69"/>
  <c r="I573" i="69"/>
  <c r="I572" i="69"/>
  <c r="I571" i="69"/>
  <c r="I570" i="69"/>
  <c r="I569" i="69"/>
  <c r="I568" i="69"/>
  <c r="I567" i="69"/>
  <c r="I566" i="69"/>
  <c r="I565" i="69"/>
  <c r="I564" i="69"/>
  <c r="I563" i="69"/>
  <c r="I562" i="69"/>
  <c r="I561" i="69"/>
  <c r="I559" i="69"/>
  <c r="I558" i="69"/>
  <c r="I557" i="69"/>
  <c r="I556" i="69"/>
  <c r="I555" i="69"/>
  <c r="I554" i="69"/>
  <c r="I553" i="69"/>
  <c r="I552" i="69"/>
  <c r="I551" i="69"/>
  <c r="I550" i="69"/>
  <c r="I549" i="69"/>
  <c r="I548" i="69"/>
  <c r="I547" i="69"/>
  <c r="I546" i="69"/>
  <c r="I545" i="69"/>
  <c r="I544" i="69"/>
  <c r="I543" i="69"/>
  <c r="I541" i="69"/>
  <c r="I540" i="69"/>
  <c r="I539" i="69"/>
  <c r="I538" i="69"/>
  <c r="I537" i="69"/>
  <c r="I536" i="69"/>
  <c r="I535" i="69"/>
  <c r="I534" i="69"/>
  <c r="I533" i="69"/>
  <c r="I532" i="69"/>
  <c r="I531" i="69"/>
  <c r="I530" i="69"/>
  <c r="I529" i="69"/>
  <c r="I528" i="69"/>
  <c r="I527" i="69"/>
  <c r="I526" i="69"/>
  <c r="I525" i="69"/>
  <c r="I524" i="69"/>
  <c r="I522" i="69"/>
  <c r="I521" i="69"/>
  <c r="I520" i="69"/>
  <c r="I519" i="69"/>
  <c r="I518" i="69"/>
  <c r="I517" i="69"/>
  <c r="I516" i="69"/>
  <c r="I515" i="69"/>
  <c r="I514" i="69"/>
  <c r="I513" i="69"/>
  <c r="I512" i="69"/>
  <c r="I511" i="69"/>
  <c r="I510" i="69"/>
  <c r="I509" i="69"/>
  <c r="I508" i="69"/>
  <c r="I506" i="69"/>
  <c r="I505" i="69"/>
  <c r="I504" i="69"/>
  <c r="I503" i="69"/>
  <c r="I502" i="69"/>
  <c r="I501" i="69"/>
  <c r="I500" i="69"/>
  <c r="I499" i="69"/>
  <c r="I498" i="69"/>
  <c r="I497" i="69"/>
  <c r="I496" i="69"/>
  <c r="I495" i="69"/>
  <c r="I494" i="69"/>
  <c r="I493" i="69"/>
  <c r="I492" i="69"/>
  <c r="I491" i="69"/>
  <c r="I490" i="69"/>
  <c r="I489" i="69"/>
  <c r="I488" i="69"/>
  <c r="I487" i="69"/>
  <c r="I486" i="69"/>
  <c r="I482" i="69"/>
  <c r="I481" i="69"/>
  <c r="I480" i="69"/>
  <c r="I479" i="69"/>
  <c r="I478" i="69"/>
  <c r="I476" i="69"/>
  <c r="I475" i="69"/>
  <c r="I474" i="69"/>
  <c r="I473" i="69"/>
  <c r="A450" i="69"/>
  <c r="A449" i="69"/>
  <c r="A448" i="69"/>
  <c r="A447" i="69"/>
  <c r="A446" i="69"/>
  <c r="I445" i="69"/>
  <c r="A445" i="69"/>
  <c r="I444" i="69"/>
  <c r="A444" i="69"/>
  <c r="I443" i="69"/>
  <c r="A443" i="69"/>
  <c r="I442" i="69"/>
  <c r="A442" i="69"/>
  <c r="I441" i="69"/>
  <c r="A441" i="69"/>
  <c r="I440" i="69"/>
  <c r="A440" i="69"/>
  <c r="I439" i="69"/>
  <c r="A439" i="69"/>
  <c r="I438" i="69"/>
  <c r="A438" i="69"/>
  <c r="I437" i="69"/>
  <c r="A437" i="69"/>
  <c r="I436" i="69"/>
  <c r="A436" i="69"/>
  <c r="I435" i="69"/>
  <c r="A435" i="69"/>
  <c r="I434" i="69"/>
  <c r="A434" i="69"/>
  <c r="I433" i="69"/>
  <c r="A433" i="69"/>
  <c r="I432" i="69"/>
  <c r="A432" i="69"/>
  <c r="I431" i="69"/>
  <c r="A431" i="69"/>
  <c r="A430" i="69"/>
  <c r="I429" i="69"/>
  <c r="A429" i="69"/>
  <c r="I428" i="69"/>
  <c r="A428" i="69"/>
  <c r="I427" i="69"/>
  <c r="A427" i="69"/>
  <c r="I426" i="69"/>
  <c r="A426" i="69"/>
  <c r="I425" i="69"/>
  <c r="A425" i="69"/>
  <c r="I424" i="69"/>
  <c r="A424" i="69"/>
  <c r="A423" i="69"/>
  <c r="I422" i="69"/>
  <c r="A422" i="69"/>
  <c r="I421" i="69"/>
  <c r="A421" i="69"/>
  <c r="I420" i="69"/>
  <c r="A420" i="69"/>
  <c r="I419" i="69"/>
  <c r="A419" i="69"/>
  <c r="I418" i="69"/>
  <c r="A418" i="69"/>
  <c r="I417" i="69"/>
  <c r="A417" i="69"/>
  <c r="I416" i="69"/>
  <c r="A416" i="69"/>
  <c r="I415" i="69"/>
  <c r="A415" i="69"/>
  <c r="I414" i="69"/>
  <c r="A414" i="69"/>
  <c r="I413" i="69"/>
  <c r="A413" i="69"/>
  <c r="I412" i="69"/>
  <c r="A412" i="69"/>
  <c r="I411" i="69"/>
  <c r="A411" i="69"/>
  <c r="I410" i="69"/>
  <c r="A410" i="69"/>
  <c r="I409" i="69"/>
  <c r="A409" i="69"/>
  <c r="I408" i="69"/>
  <c r="A408" i="69"/>
  <c r="I407" i="69"/>
  <c r="A407" i="69"/>
  <c r="I406" i="69"/>
  <c r="A406" i="69"/>
  <c r="I405" i="69"/>
  <c r="A405" i="69"/>
  <c r="A404" i="69"/>
  <c r="I403" i="69"/>
  <c r="A403" i="69"/>
  <c r="A402" i="69"/>
  <c r="A401" i="69"/>
  <c r="A400" i="69"/>
  <c r="A399" i="69"/>
  <c r="I398" i="69"/>
  <c r="A398" i="69"/>
  <c r="I397" i="69"/>
  <c r="A397" i="69"/>
  <c r="I396" i="69"/>
  <c r="A396" i="69"/>
  <c r="I395" i="69"/>
  <c r="A395" i="69"/>
  <c r="I394" i="69"/>
  <c r="A394" i="69"/>
  <c r="I393" i="69"/>
  <c r="A393" i="69"/>
  <c r="I392" i="69"/>
  <c r="A392" i="69"/>
  <c r="I391" i="69"/>
  <c r="A391" i="69"/>
  <c r="I390" i="69"/>
  <c r="A390" i="69"/>
  <c r="I389" i="69"/>
  <c r="A389" i="69"/>
  <c r="I388" i="69"/>
  <c r="A388" i="69"/>
  <c r="I387" i="69"/>
  <c r="A387" i="69"/>
  <c r="A386" i="69"/>
  <c r="A385" i="69"/>
  <c r="A384" i="69"/>
  <c r="I381" i="69"/>
  <c r="A381" i="69"/>
  <c r="I380" i="69"/>
  <c r="A380" i="69"/>
  <c r="A378" i="69"/>
  <c r="A377" i="69"/>
  <c r="A376" i="69"/>
  <c r="A375" i="69"/>
  <c r="A374" i="69"/>
  <c r="I373" i="69"/>
  <c r="A373" i="69"/>
  <c r="I372" i="69"/>
  <c r="A372" i="69"/>
  <c r="I371" i="69"/>
  <c r="A371" i="69"/>
  <c r="A370" i="69"/>
  <c r="A369" i="69"/>
  <c r="I368" i="69"/>
  <c r="A368" i="69"/>
  <c r="I367" i="69"/>
  <c r="A367" i="69"/>
  <c r="A366" i="69"/>
  <c r="A365" i="69"/>
  <c r="A364" i="69"/>
  <c r="A363" i="69"/>
  <c r="I362" i="69"/>
  <c r="A362" i="69"/>
  <c r="I361" i="69"/>
  <c r="A361" i="69"/>
  <c r="I360" i="69"/>
  <c r="A360" i="69"/>
  <c r="I359" i="69"/>
  <c r="A359" i="69"/>
  <c r="I358" i="69"/>
  <c r="A358" i="69"/>
  <c r="I357" i="69"/>
  <c r="A357" i="69"/>
  <c r="I356" i="69"/>
  <c r="A356" i="69"/>
  <c r="A355" i="69"/>
  <c r="A354" i="69"/>
  <c r="A353" i="69"/>
  <c r="A352" i="69"/>
  <c r="A351" i="69"/>
  <c r="I348" i="69"/>
  <c r="A348" i="69"/>
  <c r="I347" i="69"/>
  <c r="A347" i="69"/>
  <c r="I346" i="69"/>
  <c r="A346" i="69"/>
  <c r="I345" i="69"/>
  <c r="A345" i="69"/>
  <c r="I344" i="69"/>
  <c r="A344" i="69"/>
  <c r="I343" i="69"/>
  <c r="A343" i="69"/>
  <c r="A342" i="69"/>
  <c r="I341" i="69"/>
  <c r="A341" i="69"/>
  <c r="I340" i="69"/>
  <c r="A340" i="69"/>
  <c r="A339" i="69"/>
  <c r="I338" i="69"/>
  <c r="A338" i="69"/>
  <c r="I337" i="69"/>
  <c r="A337" i="69"/>
  <c r="A336" i="69"/>
  <c r="A335" i="69"/>
  <c r="A334" i="69"/>
  <c r="A333" i="69"/>
  <c r="I332" i="69"/>
  <c r="A332" i="69"/>
  <c r="I331" i="69"/>
  <c r="A331" i="69"/>
  <c r="A330" i="69"/>
  <c r="A329" i="69"/>
  <c r="A328" i="69"/>
  <c r="A327" i="69"/>
  <c r="I326" i="69"/>
  <c r="A326" i="69"/>
  <c r="I325" i="69"/>
  <c r="A325" i="69"/>
  <c r="I324" i="69"/>
  <c r="A324" i="69"/>
  <c r="I323" i="69"/>
  <c r="A323" i="69"/>
  <c r="I322" i="69"/>
  <c r="A322" i="69"/>
  <c r="I321" i="69"/>
  <c r="A321" i="69"/>
  <c r="I320" i="69"/>
  <c r="A320" i="69"/>
  <c r="I319" i="69"/>
  <c r="A319" i="69"/>
  <c r="A318" i="69"/>
  <c r="I317" i="69"/>
  <c r="A317" i="69"/>
  <c r="I316" i="69"/>
  <c r="A316" i="69"/>
  <c r="I315" i="69"/>
  <c r="A315" i="69"/>
  <c r="I314" i="69"/>
  <c r="A314" i="69"/>
  <c r="I313" i="69"/>
  <c r="A313" i="69"/>
  <c r="I312" i="69"/>
  <c r="A312" i="69"/>
  <c r="I311" i="69"/>
  <c r="A311" i="69"/>
  <c r="I310" i="69"/>
  <c r="A310" i="69"/>
  <c r="I309" i="69"/>
  <c r="A309" i="69"/>
  <c r="I308" i="69"/>
  <c r="A308" i="69"/>
  <c r="I307" i="69"/>
  <c r="A307" i="69"/>
  <c r="I306" i="69"/>
  <c r="A306" i="69"/>
  <c r="I305" i="69"/>
  <c r="A305" i="69"/>
  <c r="I304" i="69"/>
  <c r="A304" i="69"/>
  <c r="I303" i="69"/>
  <c r="A303" i="69"/>
  <c r="I302" i="69"/>
  <c r="A302" i="69"/>
  <c r="I301" i="69"/>
  <c r="A301" i="69"/>
  <c r="I300" i="69"/>
  <c r="A300" i="69"/>
  <c r="A299" i="69"/>
  <c r="A298" i="69"/>
  <c r="A297" i="69"/>
  <c r="A296" i="69"/>
  <c r="I295" i="69"/>
  <c r="A295" i="69"/>
  <c r="I294" i="69"/>
  <c r="A294" i="69"/>
  <c r="I293" i="69"/>
  <c r="A293" i="69"/>
  <c r="I292" i="69"/>
  <c r="A292" i="69"/>
  <c r="I291" i="69"/>
  <c r="A291" i="69"/>
  <c r="I290" i="69"/>
  <c r="A290" i="69"/>
  <c r="I289" i="69"/>
  <c r="A289" i="69"/>
  <c r="I288" i="69"/>
  <c r="A288" i="69"/>
  <c r="I287" i="69"/>
  <c r="A287" i="69"/>
  <c r="I286" i="69"/>
  <c r="A286" i="69"/>
  <c r="I285" i="69"/>
  <c r="A285" i="69"/>
  <c r="A284" i="69"/>
  <c r="A283" i="69"/>
  <c r="A282" i="69"/>
  <c r="A281" i="69"/>
  <c r="A280" i="69"/>
  <c r="A279" i="69"/>
  <c r="I278" i="69"/>
  <c r="A278" i="69"/>
  <c r="I277" i="69"/>
  <c r="A277" i="69"/>
  <c r="I276" i="69"/>
  <c r="A276" i="69"/>
  <c r="I275" i="69"/>
  <c r="A275" i="69"/>
  <c r="I274" i="69"/>
  <c r="A274" i="69"/>
  <c r="I273" i="69"/>
  <c r="A273" i="69"/>
  <c r="I272" i="69"/>
  <c r="A272" i="69"/>
  <c r="I271" i="69"/>
  <c r="A271" i="69"/>
  <c r="I270" i="69"/>
  <c r="A270" i="69"/>
  <c r="I269" i="69"/>
  <c r="A269" i="69"/>
  <c r="I268" i="69"/>
  <c r="A268" i="69"/>
  <c r="I267" i="69"/>
  <c r="A267" i="69"/>
  <c r="A266" i="69"/>
  <c r="A265" i="69"/>
  <c r="A264" i="69"/>
  <c r="A263" i="69"/>
  <c r="A262" i="69"/>
  <c r="A261" i="69"/>
  <c r="I260" i="69"/>
  <c r="A260" i="69"/>
  <c r="I259" i="69"/>
  <c r="A259" i="69"/>
  <c r="I258" i="69"/>
  <c r="A258" i="69"/>
  <c r="I257" i="69"/>
  <c r="A257" i="69"/>
  <c r="I256" i="69"/>
  <c r="A256" i="69"/>
  <c r="I255" i="69"/>
  <c r="A255" i="69"/>
  <c r="I254" i="69"/>
  <c r="A254" i="69"/>
  <c r="I253" i="69"/>
  <c r="A253" i="69"/>
  <c r="I252" i="69"/>
  <c r="A252" i="69"/>
  <c r="I251" i="69"/>
  <c r="A251" i="69"/>
  <c r="I250" i="69"/>
  <c r="A250" i="69"/>
  <c r="I249" i="69"/>
  <c r="A249" i="69"/>
  <c r="A248" i="69"/>
  <c r="A247" i="69"/>
  <c r="A246" i="69"/>
  <c r="A245" i="69"/>
  <c r="A244" i="69"/>
  <c r="I243" i="69"/>
  <c r="A243" i="69"/>
  <c r="I242" i="69"/>
  <c r="A242" i="69"/>
  <c r="I241" i="69"/>
  <c r="A241" i="69"/>
  <c r="I240" i="69"/>
  <c r="A240" i="69"/>
  <c r="I239" i="69"/>
  <c r="A239" i="69"/>
  <c r="I238" i="69"/>
  <c r="A238" i="69"/>
  <c r="I237" i="69"/>
  <c r="A237" i="69"/>
  <c r="I236" i="69"/>
  <c r="A236" i="69"/>
  <c r="I235" i="69"/>
  <c r="A235" i="69"/>
  <c r="I234" i="69"/>
  <c r="A234" i="69"/>
  <c r="I233" i="69"/>
  <c r="A233" i="69"/>
  <c r="I232" i="69"/>
  <c r="A232" i="69"/>
  <c r="A231" i="69"/>
  <c r="A230" i="69"/>
  <c r="A229" i="69"/>
  <c r="A228" i="69"/>
  <c r="I227" i="69"/>
  <c r="A227" i="69"/>
  <c r="I226" i="69"/>
  <c r="A226" i="69"/>
  <c r="I225" i="69"/>
  <c r="A225" i="69"/>
  <c r="I224" i="69"/>
  <c r="A224" i="69"/>
  <c r="I223" i="69"/>
  <c r="A223" i="69"/>
  <c r="I222" i="69"/>
  <c r="A222" i="69"/>
  <c r="I221" i="69"/>
  <c r="A221" i="69"/>
  <c r="I220" i="69"/>
  <c r="A220" i="69"/>
  <c r="I219" i="69"/>
  <c r="A219" i="69"/>
  <c r="I218" i="69"/>
  <c r="A218" i="69"/>
  <c r="I217" i="69"/>
  <c r="A217" i="69"/>
  <c r="I216" i="69"/>
  <c r="A216" i="69"/>
  <c r="A215" i="69"/>
  <c r="I214" i="69"/>
  <c r="A214" i="69"/>
  <c r="I213" i="69"/>
  <c r="A213" i="69"/>
  <c r="I212" i="69"/>
  <c r="A212" i="69"/>
  <c r="I211" i="69"/>
  <c r="A211" i="69"/>
  <c r="I210" i="69"/>
  <c r="A210" i="69"/>
  <c r="I209" i="69"/>
  <c r="A209" i="69"/>
  <c r="I208" i="69"/>
  <c r="A208" i="69"/>
  <c r="A207" i="69"/>
  <c r="I206" i="69"/>
  <c r="A206" i="69"/>
  <c r="A205" i="69"/>
  <c r="A204" i="69"/>
  <c r="A203" i="69"/>
  <c r="A202" i="69"/>
  <c r="A201" i="69"/>
  <c r="A200" i="69"/>
  <c r="I199" i="69"/>
  <c r="A199" i="69"/>
  <c r="I198" i="69"/>
  <c r="A198" i="69"/>
  <c r="I197" i="69"/>
  <c r="A197" i="69"/>
  <c r="I196" i="69"/>
  <c r="A196" i="69"/>
  <c r="I195" i="69"/>
  <c r="A195" i="69"/>
  <c r="I194" i="69"/>
  <c r="A194" i="69"/>
  <c r="I193" i="69"/>
  <c r="A193" i="69"/>
  <c r="I192" i="69"/>
  <c r="A192" i="69"/>
  <c r="I191" i="69"/>
  <c r="A191" i="69"/>
  <c r="I190" i="69"/>
  <c r="A190" i="69"/>
  <c r="A189" i="69"/>
  <c r="A188" i="69"/>
  <c r="A187" i="69"/>
  <c r="A186" i="69"/>
  <c r="I185" i="69"/>
  <c r="A185" i="69"/>
  <c r="I184" i="69"/>
  <c r="A184" i="69"/>
  <c r="I183" i="69"/>
  <c r="A183" i="69"/>
  <c r="I182" i="69"/>
  <c r="A182" i="69"/>
  <c r="I181" i="69"/>
  <c r="A181" i="69"/>
  <c r="I180" i="69"/>
  <c r="A180" i="69"/>
  <c r="I179" i="69"/>
  <c r="A179" i="69"/>
  <c r="I178" i="69"/>
  <c r="A178" i="69"/>
  <c r="I177" i="69"/>
  <c r="A177" i="69"/>
  <c r="I176" i="69"/>
  <c r="A176" i="69"/>
  <c r="I175" i="69"/>
  <c r="A175" i="69"/>
  <c r="A174" i="69"/>
  <c r="I163" i="69"/>
  <c r="A138" i="69"/>
  <c r="A137" i="69"/>
  <c r="A132" i="69"/>
  <c r="A131" i="69"/>
  <c r="A130" i="69"/>
  <c r="A129" i="69"/>
  <c r="A128" i="69"/>
  <c r="A127" i="69"/>
  <c r="A126" i="69"/>
  <c r="A125" i="69"/>
  <c r="I124" i="69"/>
  <c r="A124" i="69"/>
  <c r="I123" i="69"/>
  <c r="A123" i="69"/>
  <c r="I122" i="69"/>
  <c r="A122" i="69"/>
  <c r="I121" i="69"/>
  <c r="A121" i="69"/>
  <c r="I120" i="69"/>
  <c r="A120" i="69"/>
  <c r="I119" i="69"/>
  <c r="A119" i="69"/>
  <c r="I118" i="69"/>
  <c r="A118" i="69"/>
  <c r="A115" i="69"/>
  <c r="A114" i="69"/>
  <c r="A112" i="69"/>
  <c r="A111" i="69"/>
  <c r="A110" i="69"/>
  <c r="A109" i="69"/>
  <c r="A108" i="69"/>
  <c r="A107" i="69"/>
  <c r="A106" i="69"/>
  <c r="A105" i="69"/>
  <c r="A102" i="69"/>
  <c r="A101" i="69"/>
  <c r="A100" i="69"/>
  <c r="A99" i="69"/>
  <c r="A98" i="69"/>
  <c r="A97" i="69"/>
  <c r="A96" i="69"/>
  <c r="A95" i="69"/>
  <c r="A94" i="69"/>
  <c r="A91" i="69"/>
  <c r="A90" i="69"/>
  <c r="A79" i="69"/>
  <c r="A78" i="69"/>
  <c r="A77" i="69"/>
  <c r="A76" i="69"/>
  <c r="A75" i="69"/>
  <c r="A74" i="69"/>
  <c r="A73" i="69"/>
  <c r="A72" i="69"/>
  <c r="A71" i="69"/>
  <c r="A70" i="69"/>
  <c r="A69" i="69"/>
  <c r="I64" i="69"/>
  <c r="A64" i="69"/>
  <c r="I63" i="69"/>
  <c r="A63" i="69"/>
  <c r="I62" i="69"/>
  <c r="A62" i="69"/>
  <c r="I61" i="69"/>
  <c r="A61" i="69"/>
  <c r="A60" i="69"/>
  <c r="A59" i="69"/>
  <c r="A58" i="69"/>
  <c r="A57" i="69"/>
  <c r="A56" i="69"/>
  <c r="A55" i="69"/>
  <c r="A54" i="69"/>
  <c r="A51" i="69"/>
  <c r="A50" i="69"/>
  <c r="I49" i="69"/>
  <c r="A49" i="69"/>
  <c r="A48" i="69"/>
  <c r="I47" i="69"/>
  <c r="A47" i="69"/>
  <c r="A46" i="69"/>
  <c r="A45" i="69"/>
  <c r="A44" i="69"/>
  <c r="A43" i="69"/>
  <c r="A42" i="69"/>
  <c r="A41" i="69"/>
  <c r="I40" i="69"/>
  <c r="A40" i="69"/>
  <c r="I39" i="69"/>
  <c r="A39" i="69"/>
  <c r="A38" i="69"/>
  <c r="A37" i="69"/>
  <c r="A36" i="69"/>
  <c r="A35" i="69"/>
  <c r="A34" i="69"/>
  <c r="A33" i="69"/>
  <c r="A32" i="69"/>
  <c r="A31" i="69"/>
  <c r="A30" i="69"/>
  <c r="A29" i="69"/>
  <c r="A26" i="69"/>
  <c r="A25" i="69"/>
  <c r="A24" i="69"/>
  <c r="A23" i="69"/>
  <c r="I22" i="69"/>
  <c r="A22" i="69"/>
  <c r="I21" i="69"/>
  <c r="A21" i="69"/>
  <c r="A18" i="69"/>
  <c r="A17" i="69"/>
  <c r="C4" i="69"/>
  <c r="I339" i="69" l="1"/>
  <c r="I207" i="69"/>
  <c r="N700" i="69" l="1"/>
  <c r="I36" i="39"/>
  <c r="I35" i="39"/>
  <c r="I19" i="39"/>
  <c r="F45" i="64"/>
  <c r="F44" i="64"/>
  <c r="F43" i="64"/>
  <c r="F42" i="64"/>
  <c r="F41" i="64"/>
  <c r="F40" i="64"/>
  <c r="F39" i="64"/>
  <c r="F38" i="64"/>
  <c r="F37" i="64"/>
  <c r="F36" i="64"/>
  <c r="F35" i="64"/>
  <c r="F34" i="64"/>
  <c r="F33" i="64"/>
  <c r="F32" i="64"/>
  <c r="F31" i="64"/>
  <c r="F30" i="64"/>
  <c r="F29" i="64"/>
  <c r="F28" i="64"/>
  <c r="F27" i="64"/>
  <c r="F26" i="64"/>
  <c r="F25" i="64"/>
  <c r="F24" i="64"/>
  <c r="F23" i="64"/>
  <c r="F22" i="64"/>
  <c r="F21" i="64"/>
  <c r="F20" i="64"/>
  <c r="F19" i="64"/>
  <c r="F18" i="64"/>
  <c r="F17" i="64"/>
  <c r="I17" i="64" s="1"/>
  <c r="F78" i="39"/>
  <c r="F77" i="39"/>
  <c r="F76" i="39"/>
  <c r="F75" i="39"/>
  <c r="F74" i="39"/>
  <c r="F73" i="39"/>
  <c r="F72" i="39"/>
  <c r="F71" i="39"/>
  <c r="F70" i="39"/>
  <c r="F69" i="39"/>
  <c r="F68" i="39"/>
  <c r="F67" i="39"/>
  <c r="F66" i="39"/>
  <c r="F65" i="39"/>
  <c r="F64" i="39"/>
  <c r="F63" i="39"/>
  <c r="F54" i="39"/>
  <c r="F52" i="39"/>
  <c r="F51" i="39"/>
  <c r="F50" i="39"/>
  <c r="F49" i="39"/>
  <c r="F48" i="39"/>
  <c r="F47" i="39"/>
  <c r="F46" i="39"/>
  <c r="F45" i="39"/>
  <c r="F44" i="39"/>
  <c r="F43" i="39"/>
  <c r="F42" i="39"/>
  <c r="F41" i="39"/>
  <c r="F40" i="39"/>
  <c r="F39" i="39"/>
  <c r="F38" i="39"/>
  <c r="F37" i="39"/>
  <c r="F35" i="39"/>
  <c r="F24" i="39"/>
  <c r="F22" i="39"/>
  <c r="F19" i="39"/>
  <c r="F18" i="39"/>
  <c r="F17" i="39"/>
  <c r="F16" i="39"/>
  <c r="F15" i="39"/>
  <c r="F14" i="39"/>
  <c r="G78" i="39"/>
  <c r="G77" i="39"/>
  <c r="G76" i="39"/>
  <c r="G75" i="39"/>
  <c r="G74" i="39"/>
  <c r="G73" i="39"/>
  <c r="G72" i="39"/>
  <c r="G71" i="39"/>
  <c r="G70" i="39"/>
  <c r="G69" i="39"/>
  <c r="G68" i="39"/>
  <c r="G67" i="39"/>
  <c r="G66" i="39"/>
  <c r="G65" i="39"/>
  <c r="G64" i="39"/>
  <c r="G36" i="39"/>
  <c r="G35" i="39"/>
  <c r="B4" i="43" l="1"/>
  <c r="A16" i="38" s="1"/>
  <c r="H65" i="50"/>
  <c r="G65" i="50"/>
  <c r="H64" i="50"/>
  <c r="G64" i="50"/>
  <c r="H63" i="50"/>
  <c r="G63" i="50"/>
  <c r="H62" i="50"/>
  <c r="G62" i="50"/>
  <c r="H61" i="50"/>
  <c r="G61" i="50"/>
  <c r="H60" i="50"/>
  <c r="G60" i="50"/>
  <c r="H59" i="50"/>
  <c r="G59" i="50"/>
  <c r="H58" i="50"/>
  <c r="G58" i="50"/>
  <c r="H57" i="50"/>
  <c r="G57" i="50"/>
  <c r="H56" i="50"/>
  <c r="G56" i="50"/>
  <c r="H55" i="50"/>
  <c r="G55" i="50"/>
  <c r="H54" i="50"/>
  <c r="G54" i="50"/>
  <c r="H53" i="50"/>
  <c r="G53" i="50"/>
  <c r="H52" i="50"/>
  <c r="G52" i="50"/>
  <c r="L52" i="50" s="1"/>
  <c r="N52" i="50" s="1"/>
  <c r="H51" i="50"/>
  <c r="G51" i="50"/>
  <c r="H50" i="50"/>
  <c r="G50" i="50"/>
  <c r="L50" i="50" s="1"/>
  <c r="N50" i="50" s="1"/>
  <c r="H49" i="50"/>
  <c r="G49" i="50"/>
  <c r="H48" i="50"/>
  <c r="G48" i="50"/>
  <c r="L48" i="50" s="1"/>
  <c r="N48" i="50" s="1"/>
  <c r="H47" i="50"/>
  <c r="G47" i="50"/>
  <c r="H46" i="50"/>
  <c r="G46" i="50"/>
  <c r="L46" i="50" s="1"/>
  <c r="N46" i="50" s="1"/>
  <c r="H45" i="50"/>
  <c r="G45" i="50"/>
  <c r="H44" i="50"/>
  <c r="G44" i="50"/>
  <c r="L44" i="50" s="1"/>
  <c r="N44" i="50" s="1"/>
  <c r="H43" i="50"/>
  <c r="G43" i="50"/>
  <c r="H42" i="50"/>
  <c r="G42" i="50"/>
  <c r="L42" i="50" s="1"/>
  <c r="N42" i="50" s="1"/>
  <c r="H41" i="50"/>
  <c r="G41" i="50"/>
  <c r="H40" i="50"/>
  <c r="G40" i="50"/>
  <c r="L40" i="50" s="1"/>
  <c r="N40" i="50" s="1"/>
  <c r="H39" i="50"/>
  <c r="G39" i="50"/>
  <c r="H38" i="50"/>
  <c r="G38" i="50"/>
  <c r="H37" i="50"/>
  <c r="G37" i="50"/>
  <c r="H36" i="50"/>
  <c r="G36" i="50"/>
  <c r="L36" i="50" s="1"/>
  <c r="N36" i="50" s="1"/>
  <c r="H35" i="50"/>
  <c r="G35" i="50"/>
  <c r="H34" i="50"/>
  <c r="G34" i="50"/>
  <c r="L34" i="50" s="1"/>
  <c r="N34" i="50" s="1"/>
  <c r="H33" i="50"/>
  <c r="G33" i="50"/>
  <c r="H32" i="50"/>
  <c r="G32" i="50"/>
  <c r="L32" i="50" s="1"/>
  <c r="N32" i="50" s="1"/>
  <c r="H31" i="50"/>
  <c r="G31" i="50"/>
  <c r="H30" i="50"/>
  <c r="G30" i="50"/>
  <c r="L30" i="50" s="1"/>
  <c r="N30" i="50" s="1"/>
  <c r="H29" i="50"/>
  <c r="G29" i="50"/>
  <c r="H28" i="50"/>
  <c r="G28" i="50"/>
  <c r="L28" i="50" s="1"/>
  <c r="N28" i="50" s="1"/>
  <c r="H27" i="50"/>
  <c r="G27" i="50"/>
  <c r="H26" i="50"/>
  <c r="G26" i="50"/>
  <c r="L26" i="50" s="1"/>
  <c r="N26" i="50" s="1"/>
  <c r="H25" i="50"/>
  <c r="G25" i="50"/>
  <c r="H24" i="50"/>
  <c r="G24" i="50"/>
  <c r="L24" i="50" s="1"/>
  <c r="N24" i="50" s="1"/>
  <c r="H23" i="50"/>
  <c r="G23" i="50"/>
  <c r="J21" i="50"/>
  <c r="I22" i="50"/>
  <c r="J20" i="50" l="1"/>
  <c r="J22" i="50"/>
  <c r="L22" i="50" s="1"/>
  <c r="N22" i="50" s="1"/>
  <c r="L27" i="50"/>
  <c r="N27" i="50" s="1"/>
  <c r="L31" i="50"/>
  <c r="N31" i="50" s="1"/>
  <c r="L35" i="50"/>
  <c r="N35" i="50" s="1"/>
  <c r="L39" i="50"/>
  <c r="N39" i="50" s="1"/>
  <c r="L43" i="50"/>
  <c r="N43" i="50" s="1"/>
  <c r="L47" i="50"/>
  <c r="N47" i="50" s="1"/>
  <c r="L51" i="50"/>
  <c r="N51" i="50" s="1"/>
  <c r="L38" i="50"/>
  <c r="N38" i="50" s="1"/>
  <c r="L23" i="50"/>
  <c r="N23" i="50" s="1"/>
  <c r="L25" i="50"/>
  <c r="N25" i="50" s="1"/>
  <c r="L29" i="50"/>
  <c r="N29" i="50" s="1"/>
  <c r="L33" i="50"/>
  <c r="N33" i="50" s="1"/>
  <c r="L37" i="50"/>
  <c r="N37" i="50" s="1"/>
  <c r="L41" i="50"/>
  <c r="N41" i="50" s="1"/>
  <c r="L45" i="50"/>
  <c r="N45" i="50" s="1"/>
  <c r="L49" i="50"/>
  <c r="N49" i="50" s="1"/>
  <c r="L53" i="50"/>
  <c r="N53" i="50" s="1"/>
  <c r="I19" i="50"/>
  <c r="I21" i="50"/>
  <c r="L21" i="50" s="1"/>
  <c r="N21" i="50" s="1"/>
  <c r="J19" i="50"/>
  <c r="I20" i="50"/>
  <c r="K14" i="39"/>
  <c r="H14" i="39"/>
  <c r="D14" i="39"/>
  <c r="L20" i="50" l="1"/>
  <c r="N20" i="50" s="1"/>
  <c r="L19" i="50"/>
  <c r="N19" i="50" s="1"/>
  <c r="L46" i="68" l="1"/>
  <c r="J46" i="68"/>
  <c r="L45" i="68"/>
  <c r="J45" i="68"/>
  <c r="L44" i="68"/>
  <c r="J44" i="68"/>
  <c r="L43" i="68"/>
  <c r="J43" i="68"/>
  <c r="L42" i="68"/>
  <c r="J42" i="68"/>
  <c r="L41" i="68"/>
  <c r="J41" i="68"/>
  <c r="L40" i="68"/>
  <c r="J40" i="68"/>
  <c r="L39" i="68"/>
  <c r="J39" i="68"/>
  <c r="L38" i="68"/>
  <c r="J38" i="68"/>
  <c r="L37" i="68"/>
  <c r="J37" i="68"/>
  <c r="L36" i="68"/>
  <c r="J36" i="68"/>
  <c r="L35" i="68"/>
  <c r="J35" i="68"/>
  <c r="L34" i="68"/>
  <c r="J34" i="68"/>
  <c r="L33" i="68"/>
  <c r="J33" i="68"/>
  <c r="F153" i="32"/>
  <c r="H153" i="32" s="1"/>
  <c r="F152" i="32"/>
  <c r="H152" i="32" s="1"/>
  <c r="G152" i="32" s="1"/>
  <c r="F151" i="32"/>
  <c r="H151" i="32" s="1"/>
  <c r="G151" i="32" s="1"/>
  <c r="F150" i="32"/>
  <c r="H150" i="32" s="1"/>
  <c r="F149" i="32"/>
  <c r="H149" i="32" s="1"/>
  <c r="F148" i="32"/>
  <c r="H148" i="32" s="1"/>
  <c r="G148" i="32" s="1"/>
  <c r="F147" i="32"/>
  <c r="H147" i="32" s="1"/>
  <c r="F146" i="32"/>
  <c r="H146" i="32" s="1"/>
  <c r="F145" i="32"/>
  <c r="H145" i="32" s="1"/>
  <c r="F144" i="32"/>
  <c r="H144" i="32" s="1"/>
  <c r="G144" i="32" s="1"/>
  <c r="F143" i="32"/>
  <c r="H143" i="32" s="1"/>
  <c r="F142" i="32"/>
  <c r="H142" i="32" s="1"/>
  <c r="F141" i="32"/>
  <c r="H141" i="32" s="1"/>
  <c r="F140" i="32"/>
  <c r="H140" i="32" s="1"/>
  <c r="G140" i="32" s="1"/>
  <c r="F139" i="32"/>
  <c r="H139" i="32" s="1"/>
  <c r="G139" i="32" s="1"/>
  <c r="F138" i="32"/>
  <c r="H138" i="32" s="1"/>
  <c r="F62" i="32"/>
  <c r="H62" i="32" s="1"/>
  <c r="F61" i="32"/>
  <c r="H61" i="32" s="1"/>
  <c r="G61" i="32" s="1"/>
  <c r="F60" i="32"/>
  <c r="H60" i="32" s="1"/>
  <c r="F59" i="32"/>
  <c r="H59" i="32" s="1"/>
  <c r="F58" i="32"/>
  <c r="H58" i="32" s="1"/>
  <c r="F57" i="32"/>
  <c r="H57" i="32" s="1"/>
  <c r="G57" i="32" s="1"/>
  <c r="F56" i="32"/>
  <c r="H56" i="32" s="1"/>
  <c r="F55" i="32"/>
  <c r="H55" i="32" s="1"/>
  <c r="F54" i="32"/>
  <c r="H54" i="32" s="1"/>
  <c r="F53" i="32"/>
  <c r="H53" i="32" s="1"/>
  <c r="G53" i="32" s="1"/>
  <c r="F52" i="32"/>
  <c r="H52" i="32" s="1"/>
  <c r="F51" i="32"/>
  <c r="H51" i="32" s="1"/>
  <c r="F50" i="32"/>
  <c r="H50" i="32" s="1"/>
  <c r="F49" i="32"/>
  <c r="H49" i="32" s="1"/>
  <c r="G49" i="32" s="1"/>
  <c r="F48" i="32"/>
  <c r="H48" i="32" s="1"/>
  <c r="F47" i="32"/>
  <c r="H47" i="32" s="1"/>
  <c r="K51" i="39"/>
  <c r="H51" i="39"/>
  <c r="D51" i="39"/>
  <c r="K50" i="39"/>
  <c r="H50" i="39"/>
  <c r="D50" i="39"/>
  <c r="K49" i="39"/>
  <c r="H49" i="39"/>
  <c r="D49" i="39"/>
  <c r="K48" i="39"/>
  <c r="H48" i="39"/>
  <c r="D48" i="39"/>
  <c r="K47" i="39"/>
  <c r="H47" i="39"/>
  <c r="D47" i="39"/>
  <c r="K46" i="39"/>
  <c r="H46" i="39"/>
  <c r="D46" i="39"/>
  <c r="K45" i="39"/>
  <c r="H45" i="39"/>
  <c r="D45" i="39"/>
  <c r="H44" i="39"/>
  <c r="D44" i="39"/>
  <c r="G143" i="32" l="1"/>
  <c r="G147" i="32"/>
  <c r="G141" i="32"/>
  <c r="G150" i="32"/>
  <c r="G138" i="32"/>
  <c r="G146" i="32"/>
  <c r="G153" i="32"/>
  <c r="G145" i="32"/>
  <c r="G142" i="32"/>
  <c r="G149" i="32"/>
  <c r="J48" i="32"/>
  <c r="G48" i="32"/>
  <c r="G51" i="32"/>
  <c r="J51" i="32"/>
  <c r="J56" i="32"/>
  <c r="G56" i="32"/>
  <c r="J59" i="32"/>
  <c r="G59" i="32"/>
  <c r="G47" i="32"/>
  <c r="J47" i="32"/>
  <c r="J52" i="32"/>
  <c r="G52" i="32"/>
  <c r="J55" i="32"/>
  <c r="G55" i="32"/>
  <c r="J60" i="32"/>
  <c r="G60" i="32"/>
  <c r="J50" i="32"/>
  <c r="J54" i="32"/>
  <c r="J58" i="32"/>
  <c r="J62" i="32"/>
  <c r="J49" i="32"/>
  <c r="G50" i="32"/>
  <c r="J53" i="32"/>
  <c r="G54" i="32"/>
  <c r="J57" i="32"/>
  <c r="G58" i="32"/>
  <c r="J61" i="32"/>
  <c r="G62" i="32"/>
  <c r="C38" i="44"/>
  <c r="C37" i="44"/>
  <c r="C36" i="44"/>
  <c r="C35" i="44"/>
  <c r="C34" i="44"/>
  <c r="C33" i="44"/>
  <c r="C32" i="44"/>
  <c r="C31" i="44"/>
  <c r="C30" i="44"/>
  <c r="C29" i="44"/>
  <c r="C28" i="44"/>
  <c r="C27" i="44"/>
  <c r="C26" i="44"/>
  <c r="C25" i="44"/>
  <c r="C24" i="44"/>
  <c r="C23" i="44"/>
  <c r="C22" i="44"/>
  <c r="C21" i="44"/>
  <c r="C20" i="44"/>
  <c r="C19" i="44"/>
  <c r="C18" i="44"/>
  <c r="C17" i="44"/>
  <c r="C16" i="44"/>
  <c r="C40" i="43"/>
  <c r="C39" i="43"/>
  <c r="C38" i="43"/>
  <c r="C37" i="43"/>
  <c r="C36" i="43"/>
  <c r="C35" i="43"/>
  <c r="C34" i="43"/>
  <c r="C33" i="43"/>
  <c r="C32" i="43"/>
  <c r="C31" i="43"/>
  <c r="C30" i="43"/>
  <c r="C29" i="43"/>
  <c r="C28" i="43"/>
  <c r="C27" i="43"/>
  <c r="C26" i="43"/>
  <c r="C25" i="43"/>
  <c r="C24" i="43"/>
  <c r="C23" i="43"/>
  <c r="C22" i="43"/>
  <c r="C21" i="43"/>
  <c r="C20" i="43"/>
  <c r="C19" i="43"/>
  <c r="D4" i="2"/>
  <c r="K78" i="39" l="1"/>
  <c r="H78" i="39"/>
  <c r="D78" i="39"/>
  <c r="K77" i="39"/>
  <c r="H77" i="39"/>
  <c r="D77" i="39"/>
  <c r="K76" i="39"/>
  <c r="H76" i="39"/>
  <c r="D76" i="39"/>
  <c r="K75" i="39"/>
  <c r="H75" i="39"/>
  <c r="D75" i="39"/>
  <c r="K74" i="39"/>
  <c r="H74" i="39"/>
  <c r="D74" i="39"/>
  <c r="K73" i="39"/>
  <c r="H73" i="39"/>
  <c r="D73" i="39"/>
  <c r="K72" i="39"/>
  <c r="H72" i="39"/>
  <c r="D72" i="39"/>
  <c r="K71" i="39"/>
  <c r="H71" i="39"/>
  <c r="D71" i="39"/>
  <c r="K70" i="39"/>
  <c r="H70" i="39"/>
  <c r="D70" i="39"/>
  <c r="K69" i="39"/>
  <c r="H69" i="39"/>
  <c r="D69" i="39"/>
  <c r="K68" i="39"/>
  <c r="H68" i="39"/>
  <c r="D68" i="39"/>
  <c r="K67" i="39"/>
  <c r="H67" i="39"/>
  <c r="D67" i="39"/>
  <c r="K66" i="39"/>
  <c r="H66" i="39"/>
  <c r="D66" i="39"/>
  <c r="K65" i="39"/>
  <c r="H65" i="39"/>
  <c r="D65" i="39"/>
  <c r="K64" i="39"/>
  <c r="H64" i="39"/>
  <c r="D64" i="39"/>
  <c r="D63" i="39"/>
  <c r="H62" i="39"/>
  <c r="D62" i="39"/>
  <c r="D61" i="39"/>
  <c r="D60" i="39"/>
  <c r="D59" i="39"/>
  <c r="D58" i="39"/>
  <c r="D57" i="39"/>
  <c r="D56" i="39"/>
  <c r="D55" i="39"/>
  <c r="H54" i="39"/>
  <c r="D54" i="39"/>
  <c r="H53" i="39"/>
  <c r="D53" i="39"/>
  <c r="D52" i="39"/>
  <c r="H43" i="39"/>
  <c r="H42" i="39"/>
  <c r="H41" i="39"/>
  <c r="H40" i="39"/>
  <c r="H39" i="39"/>
  <c r="H38" i="39"/>
  <c r="D38" i="39"/>
  <c r="H37" i="39"/>
  <c r="D37" i="39"/>
  <c r="D43" i="39"/>
  <c r="D42" i="39"/>
  <c r="D41" i="39"/>
  <c r="D40" i="39"/>
  <c r="D39" i="39"/>
  <c r="L56" i="50" l="1"/>
  <c r="N56" i="50" s="1"/>
  <c r="K44" i="39"/>
  <c r="K43" i="39"/>
  <c r="K42" i="39"/>
  <c r="K41" i="39"/>
  <c r="K40" i="39"/>
  <c r="K39" i="39"/>
  <c r="K37" i="39"/>
  <c r="L59" i="50" l="1"/>
  <c r="N59" i="50" s="1"/>
  <c r="L54" i="50"/>
  <c r="N54" i="50" s="1"/>
  <c r="L61" i="50"/>
  <c r="N61" i="50" s="1"/>
  <c r="L55" i="50"/>
  <c r="L57" i="50"/>
  <c r="N57" i="50" s="1"/>
  <c r="K57" i="39"/>
  <c r="L60" i="50"/>
  <c r="N60" i="50" s="1"/>
  <c r="K38" i="39"/>
  <c r="K54" i="39"/>
  <c r="L73" i="68"/>
  <c r="J73" i="68"/>
  <c r="L72" i="68"/>
  <c r="J72" i="68"/>
  <c r="L71" i="68"/>
  <c r="J71" i="68"/>
  <c r="L70" i="68"/>
  <c r="J70" i="68"/>
  <c r="L69" i="68"/>
  <c r="J69" i="68"/>
  <c r="L68" i="68"/>
  <c r="J68" i="68"/>
  <c r="L67" i="68"/>
  <c r="J67" i="68"/>
  <c r="L66" i="68"/>
  <c r="J66" i="68"/>
  <c r="L65" i="68"/>
  <c r="J65" i="68"/>
  <c r="L64" i="68"/>
  <c r="J64" i="68"/>
  <c r="L63" i="68"/>
  <c r="J63" i="68"/>
  <c r="L62" i="68"/>
  <c r="J62" i="68"/>
  <c r="L61" i="68"/>
  <c r="J61" i="68"/>
  <c r="L60" i="68"/>
  <c r="J60" i="68"/>
  <c r="L59" i="68"/>
  <c r="J59" i="68"/>
  <c r="L58" i="68"/>
  <c r="J58" i="68"/>
  <c r="L57" i="68"/>
  <c r="J57" i="68"/>
  <c r="L56" i="68"/>
  <c r="J56" i="68"/>
  <c r="L55" i="68"/>
  <c r="J55" i="68"/>
  <c r="L54" i="68"/>
  <c r="J54" i="68"/>
  <c r="L53" i="68"/>
  <c r="J53" i="68"/>
  <c r="L52" i="68"/>
  <c r="J52" i="68"/>
  <c r="L51" i="68"/>
  <c r="J51" i="68"/>
  <c r="L50" i="68"/>
  <c r="J50" i="68"/>
  <c r="L49" i="68"/>
  <c r="J49" i="68"/>
  <c r="L48" i="68"/>
  <c r="J48" i="68"/>
  <c r="L47" i="68"/>
  <c r="J47" i="68"/>
  <c r="L32" i="68"/>
  <c r="J32" i="68"/>
  <c r="A73" i="68"/>
  <c r="A72" i="68"/>
  <c r="A71" i="68"/>
  <c r="A70" i="68"/>
  <c r="A69" i="68"/>
  <c r="A68" i="68"/>
  <c r="A67" i="68"/>
  <c r="A66" i="68"/>
  <c r="A65" i="68"/>
  <c r="A64" i="68"/>
  <c r="A63" i="68"/>
  <c r="A62" i="68"/>
  <c r="A61" i="68"/>
  <c r="A60" i="68"/>
  <c r="A59" i="68"/>
  <c r="A58" i="68"/>
  <c r="A57" i="68"/>
  <c r="A56" i="68"/>
  <c r="A55" i="68"/>
  <c r="A54" i="68"/>
  <c r="A53" i="68"/>
  <c r="A52" i="68"/>
  <c r="A51" i="68"/>
  <c r="A50" i="68"/>
  <c r="A49" i="68"/>
  <c r="A48" i="68"/>
  <c r="A47" i="68"/>
  <c r="A39" i="68"/>
  <c r="A38" i="68"/>
  <c r="A37" i="68"/>
  <c r="A36" i="68"/>
  <c r="A35" i="68"/>
  <c r="A34" i="68"/>
  <c r="A33" i="68"/>
  <c r="A32" i="68"/>
  <c r="I45" i="64"/>
  <c r="H63" i="39" s="1"/>
  <c r="I44" i="64"/>
  <c r="H61" i="39" s="1"/>
  <c r="I43" i="64"/>
  <c r="H60" i="39" s="1"/>
  <c r="I42" i="64"/>
  <c r="H59" i="39" s="1"/>
  <c r="I41" i="64"/>
  <c r="H58" i="39" s="1"/>
  <c r="I40" i="64"/>
  <c r="H57" i="39" s="1"/>
  <c r="I39" i="64"/>
  <c r="H56" i="39" s="1"/>
  <c r="I38" i="64"/>
  <c r="H55" i="39" s="1"/>
  <c r="I37" i="64"/>
  <c r="H52" i="39" s="1"/>
  <c r="K59" i="39" l="1"/>
  <c r="L62" i="50"/>
  <c r="N62" i="50" s="1"/>
  <c r="K52" i="39"/>
  <c r="K53" i="39"/>
  <c r="N55" i="50"/>
  <c r="K55" i="39"/>
  <c r="L58" i="50"/>
  <c r="N58" i="50" s="1"/>
  <c r="L64" i="50"/>
  <c r="K60" i="39"/>
  <c r="K58" i="39"/>
  <c r="F190" i="32"/>
  <c r="H190" i="32" s="1"/>
  <c r="F189" i="32"/>
  <c r="H189" i="32" s="1"/>
  <c r="G189" i="32" s="1"/>
  <c r="F188" i="32"/>
  <c r="H188" i="32" s="1"/>
  <c r="F187" i="32"/>
  <c r="H187" i="32" s="1"/>
  <c r="F186" i="32"/>
  <c r="H186" i="32" s="1"/>
  <c r="F185" i="32"/>
  <c r="H185" i="32" s="1"/>
  <c r="G185" i="32" s="1"/>
  <c r="F184" i="32"/>
  <c r="H184" i="32" s="1"/>
  <c r="F183" i="32"/>
  <c r="H183" i="32" s="1"/>
  <c r="F182" i="32"/>
  <c r="H182" i="32" s="1"/>
  <c r="F181" i="32"/>
  <c r="H181" i="32" s="1"/>
  <c r="G181" i="32" s="1"/>
  <c r="F164" i="32"/>
  <c r="H164" i="32" s="1"/>
  <c r="F163" i="32"/>
  <c r="H163" i="32" s="1"/>
  <c r="G163" i="32" s="1"/>
  <c r="F162" i="32"/>
  <c r="H162" i="32" s="1"/>
  <c r="F161" i="32"/>
  <c r="H161" i="32" s="1"/>
  <c r="F160" i="32"/>
  <c r="H160" i="32" s="1"/>
  <c r="F159" i="32"/>
  <c r="H159" i="32" s="1"/>
  <c r="G159" i="32" s="1"/>
  <c r="F158" i="32"/>
  <c r="H158" i="32" s="1"/>
  <c r="F157" i="32"/>
  <c r="H157" i="32" s="1"/>
  <c r="F156" i="32"/>
  <c r="H156" i="32" s="1"/>
  <c r="F155" i="32"/>
  <c r="H155" i="32" s="1"/>
  <c r="G155" i="32" s="1"/>
  <c r="F154" i="32"/>
  <c r="H154" i="32" s="1"/>
  <c r="F111" i="32"/>
  <c r="H111" i="32" s="1"/>
  <c r="F110" i="32"/>
  <c r="H110" i="32" s="1"/>
  <c r="G110" i="32" s="1"/>
  <c r="F109" i="32"/>
  <c r="H109" i="32" s="1"/>
  <c r="F108" i="32"/>
  <c r="H108" i="32" s="1"/>
  <c r="F107" i="32"/>
  <c r="H107" i="32" s="1"/>
  <c r="G107" i="32" s="1"/>
  <c r="F106" i="32"/>
  <c r="H106" i="32" s="1"/>
  <c r="G106" i="32" s="1"/>
  <c r="F105" i="32"/>
  <c r="H105" i="32" s="1"/>
  <c r="F104" i="32"/>
  <c r="H104" i="32" s="1"/>
  <c r="F103" i="32"/>
  <c r="H103" i="32" s="1"/>
  <c r="G103" i="32" s="1"/>
  <c r="F102" i="32"/>
  <c r="H102" i="32" s="1"/>
  <c r="G102" i="32" s="1"/>
  <c r="F101" i="32"/>
  <c r="H101" i="32" s="1"/>
  <c r="F100" i="32"/>
  <c r="H100" i="32" s="1"/>
  <c r="F73" i="32"/>
  <c r="H73" i="32" s="1"/>
  <c r="F72" i="32"/>
  <c r="H72" i="32" s="1"/>
  <c r="G72" i="32" s="1"/>
  <c r="F71" i="32"/>
  <c r="H71" i="32" s="1"/>
  <c r="F70" i="32"/>
  <c r="H70" i="32" s="1"/>
  <c r="F69" i="32"/>
  <c r="H69" i="32" s="1"/>
  <c r="F68" i="32"/>
  <c r="H68" i="32" s="1"/>
  <c r="G68" i="32" s="1"/>
  <c r="F67" i="32"/>
  <c r="H67" i="32" s="1"/>
  <c r="F66" i="32"/>
  <c r="H66" i="32" s="1"/>
  <c r="F65" i="32"/>
  <c r="H65" i="32" s="1"/>
  <c r="F64" i="32"/>
  <c r="H64" i="32" s="1"/>
  <c r="G64" i="32" s="1"/>
  <c r="F63" i="32"/>
  <c r="H63" i="32" s="1"/>
  <c r="I38" i="44"/>
  <c r="J38" i="44" s="1"/>
  <c r="F62" i="39" s="1"/>
  <c r="I37" i="44"/>
  <c r="J37" i="44" s="1"/>
  <c r="F61" i="39" s="1"/>
  <c r="I36" i="44"/>
  <c r="J36" i="44" s="1"/>
  <c r="F60" i="39" s="1"/>
  <c r="I35" i="44"/>
  <c r="I34" i="44"/>
  <c r="J34" i="44" s="1"/>
  <c r="F58" i="39" s="1"/>
  <c r="I33" i="44"/>
  <c r="J33" i="44" s="1"/>
  <c r="F57" i="39" s="1"/>
  <c r="I32" i="44"/>
  <c r="J32" i="44" s="1"/>
  <c r="F56" i="39" s="1"/>
  <c r="I31" i="44"/>
  <c r="I30" i="44"/>
  <c r="J30" i="44" s="1"/>
  <c r="F53" i="39" s="1"/>
  <c r="I40" i="43"/>
  <c r="I39" i="43"/>
  <c r="J39" i="43" s="1"/>
  <c r="I38" i="43"/>
  <c r="J38" i="43" s="1"/>
  <c r="I37" i="43"/>
  <c r="J37" i="43" s="1"/>
  <c r="L63" i="50" l="1"/>
  <c r="N63" i="50" s="1"/>
  <c r="K56" i="39"/>
  <c r="K62" i="39"/>
  <c r="N64" i="50"/>
  <c r="J31" i="44"/>
  <c r="F55" i="39" s="1"/>
  <c r="J35" i="44"/>
  <c r="F59" i="39" s="1"/>
  <c r="G154" i="32"/>
  <c r="G158" i="32"/>
  <c r="G162" i="32"/>
  <c r="J184" i="32"/>
  <c r="G184" i="32"/>
  <c r="J188" i="32"/>
  <c r="G188" i="32"/>
  <c r="K61" i="39"/>
  <c r="L65" i="50"/>
  <c r="N65" i="50" s="1"/>
  <c r="G183" i="32"/>
  <c r="J183" i="32"/>
  <c r="G190" i="32"/>
  <c r="J190" i="32"/>
  <c r="G186" i="32"/>
  <c r="J186" i="32"/>
  <c r="G182" i="32"/>
  <c r="J182" i="32"/>
  <c r="J187" i="32"/>
  <c r="G187" i="32"/>
  <c r="J181" i="32"/>
  <c r="J185" i="32"/>
  <c r="J189" i="32"/>
  <c r="G160" i="32"/>
  <c r="G161" i="32"/>
  <c r="G156" i="32"/>
  <c r="G157" i="32"/>
  <c r="G164" i="32"/>
  <c r="J101" i="32"/>
  <c r="G101" i="32"/>
  <c r="G108" i="32"/>
  <c r="J108" i="32"/>
  <c r="G104" i="32"/>
  <c r="J104" i="32"/>
  <c r="G100" i="32"/>
  <c r="J100" i="32"/>
  <c r="J109" i="32"/>
  <c r="G109" i="32"/>
  <c r="J105" i="32"/>
  <c r="G105" i="32"/>
  <c r="J103" i="32"/>
  <c r="J107" i="32"/>
  <c r="J111" i="32"/>
  <c r="J102" i="32"/>
  <c r="J106" i="32"/>
  <c r="J110" i="32"/>
  <c r="G111" i="32"/>
  <c r="J71" i="32"/>
  <c r="G71" i="32"/>
  <c r="J63" i="32"/>
  <c r="G63" i="32"/>
  <c r="J67" i="32"/>
  <c r="G67" i="32"/>
  <c r="J69" i="32"/>
  <c r="G69" i="32"/>
  <c r="G65" i="32"/>
  <c r="J65" i="32"/>
  <c r="G70" i="32"/>
  <c r="J70" i="32"/>
  <c r="G66" i="32"/>
  <c r="J66" i="32"/>
  <c r="J73" i="32"/>
  <c r="G73" i="32"/>
  <c r="J68" i="32"/>
  <c r="J72" i="32"/>
  <c r="J64" i="32"/>
  <c r="J40" i="43"/>
  <c r="K63" i="39" l="1"/>
  <c r="I152" i="32" l="1"/>
  <c r="I145" i="32"/>
  <c r="I139" i="32"/>
  <c r="I138" i="32"/>
  <c r="I149" i="32"/>
  <c r="I143" i="32"/>
  <c r="I142" i="32"/>
  <c r="I140" i="32"/>
  <c r="I153" i="32"/>
  <c r="I147" i="32"/>
  <c r="I146" i="32"/>
  <c r="I144" i="32"/>
  <c r="I151" i="32"/>
  <c r="I150" i="32"/>
  <c r="I148" i="32"/>
  <c r="I141" i="32"/>
  <c r="I62" i="32"/>
  <c r="I59" i="32"/>
  <c r="I56" i="32"/>
  <c r="I54" i="32"/>
  <c r="I51" i="32"/>
  <c r="I48" i="32"/>
  <c r="I52" i="32"/>
  <c r="I50" i="32"/>
  <c r="I47" i="32"/>
  <c r="I61" i="32"/>
  <c r="I57" i="32"/>
  <c r="I49" i="32"/>
  <c r="I60" i="32"/>
  <c r="I58" i="32"/>
  <c r="I55" i="32"/>
  <c r="I53" i="32"/>
  <c r="K52" i="32"/>
  <c r="K60" i="32"/>
  <c r="K57" i="32"/>
  <c r="K50" i="32"/>
  <c r="K49" i="32"/>
  <c r="K56" i="32"/>
  <c r="K58" i="32"/>
  <c r="K51" i="32"/>
  <c r="K47" i="32"/>
  <c r="K55" i="32"/>
  <c r="K61" i="32"/>
  <c r="K48" i="32"/>
  <c r="K62" i="32"/>
  <c r="K54" i="32"/>
  <c r="K59" i="32"/>
  <c r="K53" i="32"/>
  <c r="I186" i="32"/>
  <c r="I160" i="32"/>
  <c r="I190" i="32"/>
  <c r="I184" i="32"/>
  <c r="I183" i="32"/>
  <c r="I181" i="32"/>
  <c r="I164" i="32"/>
  <c r="I158" i="32"/>
  <c r="I157" i="32"/>
  <c r="I155" i="32"/>
  <c r="I188" i="32"/>
  <c r="I187" i="32"/>
  <c r="I185" i="32"/>
  <c r="I162" i="32"/>
  <c r="I161" i="32"/>
  <c r="I159" i="32"/>
  <c r="I189" i="32"/>
  <c r="I182" i="32"/>
  <c r="I163" i="32"/>
  <c r="I156" i="32"/>
  <c r="I154" i="32"/>
  <c r="K184" i="32"/>
  <c r="K189" i="32"/>
  <c r="K190" i="32"/>
  <c r="K182" i="32"/>
  <c r="K186" i="32"/>
  <c r="K188" i="32"/>
  <c r="K181" i="32"/>
  <c r="K183" i="32"/>
  <c r="K185" i="32"/>
  <c r="K187" i="32"/>
  <c r="I111" i="32"/>
  <c r="I108" i="32"/>
  <c r="I101" i="32"/>
  <c r="I73" i="32"/>
  <c r="I105" i="32"/>
  <c r="I103" i="32"/>
  <c r="I102" i="32"/>
  <c r="I71" i="32"/>
  <c r="I69" i="32"/>
  <c r="I67" i="32"/>
  <c r="I65" i="32"/>
  <c r="I63" i="32"/>
  <c r="I109" i="32"/>
  <c r="I107" i="32"/>
  <c r="I106" i="32"/>
  <c r="I100" i="32"/>
  <c r="I72" i="32"/>
  <c r="I110" i="32"/>
  <c r="I104" i="32"/>
  <c r="I70" i="32"/>
  <c r="I68" i="32"/>
  <c r="I66" i="32"/>
  <c r="I64" i="32"/>
  <c r="K65" i="32"/>
  <c r="K63" i="32"/>
  <c r="K105" i="32"/>
  <c r="K70" i="32"/>
  <c r="K111" i="32"/>
  <c r="K104" i="32"/>
  <c r="K108" i="32"/>
  <c r="K106" i="32"/>
  <c r="K71" i="32"/>
  <c r="K109" i="32"/>
  <c r="K100" i="32"/>
  <c r="K67" i="32"/>
  <c r="K72" i="32"/>
  <c r="K68" i="32"/>
  <c r="L68" i="32" s="1"/>
  <c r="K102" i="32"/>
  <c r="K64" i="32"/>
  <c r="K101" i="32"/>
  <c r="K73" i="32"/>
  <c r="K103" i="32"/>
  <c r="K66" i="32"/>
  <c r="K110" i="32"/>
  <c r="K107" i="32"/>
  <c r="K69" i="32"/>
  <c r="K40" i="43"/>
  <c r="M40" i="43" s="1"/>
  <c r="N40" i="43" s="1"/>
  <c r="K37" i="43"/>
  <c r="M37" i="43" s="1"/>
  <c r="N37" i="43" s="1"/>
  <c r="K38" i="43"/>
  <c r="M38" i="43" s="1"/>
  <c r="N38" i="43" s="1"/>
  <c r="K39" i="43"/>
  <c r="M39" i="43" s="1"/>
  <c r="N39" i="43" s="1"/>
  <c r="F171" i="32"/>
  <c r="F172" i="32"/>
  <c r="F173" i="32"/>
  <c r="F174" i="32"/>
  <c r="F175" i="32"/>
  <c r="F176" i="32"/>
  <c r="F177" i="32"/>
  <c r="F178" i="32"/>
  <c r="F179" i="32"/>
  <c r="F180" i="32"/>
  <c r="F170" i="32"/>
  <c r="F137" i="32"/>
  <c r="F136" i="32"/>
  <c r="F135" i="32"/>
  <c r="F134" i="32"/>
  <c r="F133" i="32"/>
  <c r="F132" i="32"/>
  <c r="F131" i="32"/>
  <c r="F130" i="32"/>
  <c r="F129" i="32"/>
  <c r="F128" i="32"/>
  <c r="F127" i="32"/>
  <c r="F126" i="32"/>
  <c r="F125" i="32"/>
  <c r="F124" i="32"/>
  <c r="F123" i="32"/>
  <c r="F122" i="32"/>
  <c r="F121" i="32"/>
  <c r="F120" i="32"/>
  <c r="F119" i="32"/>
  <c r="F118" i="32"/>
  <c r="F117" i="32"/>
  <c r="F46" i="32"/>
  <c r="F45" i="32"/>
  <c r="F44" i="32"/>
  <c r="F43" i="32"/>
  <c r="F42" i="32"/>
  <c r="F41" i="32"/>
  <c r="F40" i="32"/>
  <c r="F39" i="32"/>
  <c r="F38" i="32"/>
  <c r="F37" i="32"/>
  <c r="F36" i="32"/>
  <c r="F35" i="32"/>
  <c r="F34" i="32"/>
  <c r="F33" i="32"/>
  <c r="F32" i="32"/>
  <c r="F31" i="32"/>
  <c r="F30" i="32"/>
  <c r="F29" i="32"/>
  <c r="F28" i="32"/>
  <c r="F27" i="32"/>
  <c r="F26" i="32"/>
  <c r="F99" i="32"/>
  <c r="F98" i="32"/>
  <c r="F97" i="32"/>
  <c r="F96" i="32"/>
  <c r="F95" i="32"/>
  <c r="F94" i="32"/>
  <c r="F93" i="32"/>
  <c r="F92" i="32"/>
  <c r="F91" i="32"/>
  <c r="F90" i="32"/>
  <c r="F89" i="32"/>
  <c r="F88" i="32"/>
  <c r="F87" i="32"/>
  <c r="F86" i="32"/>
  <c r="F85" i="32"/>
  <c r="F84" i="32"/>
  <c r="F83" i="32"/>
  <c r="F82" i="32"/>
  <c r="F81" i="32"/>
  <c r="F80" i="32"/>
  <c r="F79" i="32"/>
  <c r="L103" i="32" l="1"/>
  <c r="L109" i="32"/>
  <c r="L108" i="32"/>
  <c r="L47" i="32"/>
  <c r="L62" i="32"/>
  <c r="L50" i="32"/>
  <c r="L57" i="32"/>
  <c r="L107" i="32"/>
  <c r="L59" i="32"/>
  <c r="L58" i="32"/>
  <c r="L181" i="32"/>
  <c r="L48" i="32"/>
  <c r="L66" i="32"/>
  <c r="L185" i="32"/>
  <c r="L186" i="32"/>
  <c r="L55" i="32"/>
  <c r="L72" i="32"/>
  <c r="L111" i="32"/>
  <c r="L187" i="32"/>
  <c r="L52" i="32"/>
  <c r="L69" i="32"/>
  <c r="L54" i="32"/>
  <c r="L73" i="32"/>
  <c r="L101" i="32"/>
  <c r="L53" i="32"/>
  <c r="L56" i="32"/>
  <c r="L61" i="32"/>
  <c r="L49" i="32"/>
  <c r="L60" i="32"/>
  <c r="L51" i="32"/>
  <c r="L100" i="32"/>
  <c r="L190" i="32"/>
  <c r="L184" i="32"/>
  <c r="L63" i="32"/>
  <c r="L182" i="32"/>
  <c r="L65" i="32"/>
  <c r="L189" i="32"/>
  <c r="L188" i="32"/>
  <c r="L183" i="32"/>
  <c r="L67" i="32"/>
  <c r="L106" i="32"/>
  <c r="L110" i="32"/>
  <c r="L64" i="32"/>
  <c r="L71" i="32"/>
  <c r="L105" i="32"/>
  <c r="L102" i="32"/>
  <c r="L70" i="32"/>
  <c r="L104" i="32"/>
  <c r="H36" i="39"/>
  <c r="H35" i="39"/>
  <c r="H29" i="39"/>
  <c r="H26" i="39"/>
  <c r="H25" i="39"/>
  <c r="H24" i="39"/>
  <c r="H23" i="39"/>
  <c r="K22" i="39"/>
  <c r="H22" i="39"/>
  <c r="H20" i="39"/>
  <c r="K19" i="39"/>
  <c r="H19" i="39"/>
  <c r="H117" i="32" l="1"/>
  <c r="H79" i="32"/>
  <c r="H26" i="32"/>
  <c r="G117" i="32" l="1"/>
  <c r="J79" i="32"/>
  <c r="G79" i="32"/>
  <c r="J26" i="32"/>
  <c r="G26" i="32"/>
  <c r="B9" i="70" l="1"/>
  <c r="B8" i="70"/>
  <c r="B7" i="70"/>
  <c r="B6" i="70"/>
  <c r="B3" i="70"/>
  <c r="B4" i="70"/>
  <c r="I36" i="64" l="1"/>
  <c r="H33" i="39" s="1"/>
  <c r="I35" i="64"/>
  <c r="I33" i="64"/>
  <c r="I32" i="64"/>
  <c r="I31" i="64"/>
  <c r="I28" i="64"/>
  <c r="H31" i="39" s="1"/>
  <c r="I25" i="64"/>
  <c r="I23" i="64"/>
  <c r="I21" i="64"/>
  <c r="I20" i="64"/>
  <c r="H30" i="39"/>
  <c r="H15" i="39" l="1"/>
  <c r="H18" i="39"/>
  <c r="I24" i="64"/>
  <c r="I18" i="64"/>
  <c r="H34" i="39" s="1"/>
  <c r="I22" i="64"/>
  <c r="I19" i="64"/>
  <c r="I30" i="64"/>
  <c r="I27" i="64"/>
  <c r="H21" i="39" s="1"/>
  <c r="I34" i="64"/>
  <c r="H28" i="39" s="1"/>
  <c r="I29" i="64"/>
  <c r="H17" i="39"/>
  <c r="I26" i="64"/>
  <c r="H27" i="39" l="1"/>
  <c r="H16" i="39"/>
  <c r="H32" i="39"/>
  <c r="I47" i="64"/>
  <c r="H24" i="38" s="1"/>
  <c r="H80" i="39" l="1"/>
  <c r="C9" i="69" l="1"/>
  <c r="C8" i="69"/>
  <c r="C7" i="69"/>
  <c r="C6" i="69"/>
  <c r="C5" i="69"/>
  <c r="C3" i="69"/>
  <c r="D9" i="68"/>
  <c r="D8" i="68"/>
  <c r="D7" i="68"/>
  <c r="D6" i="68"/>
  <c r="D5" i="68"/>
  <c r="D3" i="68"/>
  <c r="L31" i="68"/>
  <c r="J31" i="68"/>
  <c r="A31" i="68"/>
  <c r="L30" i="68"/>
  <c r="J30" i="68"/>
  <c r="A30" i="68"/>
  <c r="L29" i="68"/>
  <c r="J29" i="68"/>
  <c r="A29" i="68"/>
  <c r="L28" i="68"/>
  <c r="J28" i="68"/>
  <c r="A28" i="68"/>
  <c r="L27" i="68"/>
  <c r="J27" i="68"/>
  <c r="A27" i="68"/>
  <c r="L26" i="68"/>
  <c r="J26" i="68"/>
  <c r="A26" i="68"/>
  <c r="L25" i="68"/>
  <c r="J25" i="68"/>
  <c r="A25" i="68"/>
  <c r="L24" i="68"/>
  <c r="J24" i="68"/>
  <c r="A24" i="68"/>
  <c r="L23" i="68"/>
  <c r="J23" i="68"/>
  <c r="A23" i="68"/>
  <c r="L22" i="68"/>
  <c r="J22" i="68"/>
  <c r="A22" i="68"/>
  <c r="L21" i="68"/>
  <c r="J21" i="68"/>
  <c r="A21" i="68"/>
  <c r="L20" i="68"/>
  <c r="J20" i="68"/>
  <c r="A20" i="68"/>
  <c r="L19" i="68"/>
  <c r="J19" i="68"/>
  <c r="A19" i="68"/>
  <c r="L18" i="68"/>
  <c r="J18" i="68"/>
  <c r="A18" i="68"/>
  <c r="L17" i="68"/>
  <c r="J17" i="68"/>
  <c r="A17" i="68"/>
  <c r="L16" i="68"/>
  <c r="J16" i="68"/>
  <c r="A16" i="68"/>
  <c r="A15" i="68"/>
  <c r="A14" i="68"/>
  <c r="A13" i="68"/>
  <c r="D4" i="68"/>
  <c r="A26" i="38" s="1"/>
  <c r="I14" i="39" l="1"/>
  <c r="F46" i="68"/>
  <c r="F44" i="68"/>
  <c r="F42" i="68"/>
  <c r="F40" i="68"/>
  <c r="F38" i="68"/>
  <c r="F36" i="68"/>
  <c r="F34" i="68"/>
  <c r="E43" i="68"/>
  <c r="G36" i="68"/>
  <c r="M36" i="68" s="1"/>
  <c r="I41" i="39" s="1"/>
  <c r="E46" i="68"/>
  <c r="G45" i="68"/>
  <c r="M45" i="68" s="1"/>
  <c r="I50" i="39" s="1"/>
  <c r="E44" i="68"/>
  <c r="G43" i="68"/>
  <c r="M43" i="68" s="1"/>
  <c r="I48" i="39" s="1"/>
  <c r="E42" i="68"/>
  <c r="G41" i="68"/>
  <c r="M41" i="68" s="1"/>
  <c r="I46" i="39" s="1"/>
  <c r="E40" i="68"/>
  <c r="G39" i="68"/>
  <c r="M39" i="68" s="1"/>
  <c r="I44" i="39" s="1"/>
  <c r="E38" i="68"/>
  <c r="G37" i="68"/>
  <c r="M37" i="68" s="1"/>
  <c r="I42" i="39" s="1"/>
  <c r="E36" i="68"/>
  <c r="G35" i="68"/>
  <c r="M35" i="68" s="1"/>
  <c r="I40" i="39" s="1"/>
  <c r="E34" i="68"/>
  <c r="G33" i="68"/>
  <c r="M33" i="68" s="1"/>
  <c r="I38" i="39" s="1"/>
  <c r="G42" i="68"/>
  <c r="M42" i="68" s="1"/>
  <c r="I47" i="39" s="1"/>
  <c r="E39" i="68"/>
  <c r="E37" i="68"/>
  <c r="G34" i="68"/>
  <c r="M34" i="68" s="1"/>
  <c r="I39" i="39" s="1"/>
  <c r="F45" i="68"/>
  <c r="F43" i="68"/>
  <c r="F41" i="68"/>
  <c r="F39" i="68"/>
  <c r="F37" i="68"/>
  <c r="F35" i="68"/>
  <c r="F33" i="68"/>
  <c r="G46" i="68"/>
  <c r="M46" i="68" s="1"/>
  <c r="I51" i="39" s="1"/>
  <c r="E45" i="68"/>
  <c r="G44" i="68"/>
  <c r="M44" i="68" s="1"/>
  <c r="I49" i="39" s="1"/>
  <c r="E41" i="68"/>
  <c r="G40" i="68"/>
  <c r="M40" i="68" s="1"/>
  <c r="I45" i="39" s="1"/>
  <c r="G38" i="68"/>
  <c r="M38" i="68" s="1"/>
  <c r="I43" i="39" s="1"/>
  <c r="E35" i="68"/>
  <c r="E33" i="68"/>
  <c r="F73" i="68"/>
  <c r="F71" i="68"/>
  <c r="F69" i="68"/>
  <c r="F67" i="68"/>
  <c r="F65" i="68"/>
  <c r="F63" i="68"/>
  <c r="F61" i="68"/>
  <c r="F59" i="68"/>
  <c r="F57" i="68"/>
  <c r="F55" i="68"/>
  <c r="F53" i="68"/>
  <c r="F51" i="68"/>
  <c r="F49" i="68"/>
  <c r="F47" i="68"/>
  <c r="F32" i="68"/>
  <c r="F68" i="68"/>
  <c r="F66" i="68"/>
  <c r="F64" i="68"/>
  <c r="F62" i="68"/>
  <c r="F60" i="68"/>
  <c r="F58" i="68"/>
  <c r="F56" i="68"/>
  <c r="F54" i="68"/>
  <c r="F52" i="68"/>
  <c r="F50" i="68"/>
  <c r="G61" i="68"/>
  <c r="M61" i="68" s="1"/>
  <c r="I66" i="39" s="1"/>
  <c r="E58" i="68"/>
  <c r="G55" i="68"/>
  <c r="M55" i="68" s="1"/>
  <c r="I60" i="39" s="1"/>
  <c r="G53" i="68"/>
  <c r="M53" i="68" s="1"/>
  <c r="I58" i="39" s="1"/>
  <c r="E52" i="68"/>
  <c r="E50" i="68"/>
  <c r="G47" i="68"/>
  <c r="M47" i="68" s="1"/>
  <c r="I52" i="39" s="1"/>
  <c r="G32" i="68"/>
  <c r="M32" i="68" s="1"/>
  <c r="I37" i="39" s="1"/>
  <c r="E73" i="68"/>
  <c r="G72" i="68"/>
  <c r="M72" i="68" s="1"/>
  <c r="I77" i="39" s="1"/>
  <c r="E71" i="68"/>
  <c r="G70" i="68"/>
  <c r="M70" i="68" s="1"/>
  <c r="I75" i="39" s="1"/>
  <c r="E69" i="68"/>
  <c r="G68" i="68"/>
  <c r="M68" i="68" s="1"/>
  <c r="I73" i="39" s="1"/>
  <c r="E67" i="68"/>
  <c r="G66" i="68"/>
  <c r="M66" i="68" s="1"/>
  <c r="I71" i="39" s="1"/>
  <c r="E65" i="68"/>
  <c r="G64" i="68"/>
  <c r="M64" i="68" s="1"/>
  <c r="I69" i="39" s="1"/>
  <c r="E63" i="68"/>
  <c r="G62" i="68"/>
  <c r="M62" i="68" s="1"/>
  <c r="I67" i="39" s="1"/>
  <c r="E61" i="68"/>
  <c r="G60" i="68"/>
  <c r="M60" i="68" s="1"/>
  <c r="I65" i="39" s="1"/>
  <c r="E59" i="68"/>
  <c r="G58" i="68"/>
  <c r="M58" i="68" s="1"/>
  <c r="I63" i="39" s="1"/>
  <c r="E57" i="68"/>
  <c r="G56" i="68"/>
  <c r="M56" i="68" s="1"/>
  <c r="I61" i="39" s="1"/>
  <c r="E55" i="68"/>
  <c r="G54" i="68"/>
  <c r="M54" i="68" s="1"/>
  <c r="I59" i="39" s="1"/>
  <c r="E53" i="68"/>
  <c r="G52" i="68"/>
  <c r="M52" i="68" s="1"/>
  <c r="I57" i="39" s="1"/>
  <c r="E51" i="68"/>
  <c r="G50" i="68"/>
  <c r="M50" i="68" s="1"/>
  <c r="I55" i="39" s="1"/>
  <c r="E49" i="68"/>
  <c r="G48" i="68"/>
  <c r="M48" i="68" s="1"/>
  <c r="I53" i="39" s="1"/>
  <c r="E47" i="68"/>
  <c r="E32" i="68"/>
  <c r="F72" i="68"/>
  <c r="F70" i="68"/>
  <c r="F48" i="68"/>
  <c r="G73" i="68"/>
  <c r="M73" i="68" s="1"/>
  <c r="I78" i="39" s="1"/>
  <c r="E72" i="68"/>
  <c r="E70" i="68"/>
  <c r="E68" i="68"/>
  <c r="E66" i="68"/>
  <c r="E64" i="68"/>
  <c r="E62" i="68"/>
  <c r="E60" i="68"/>
  <c r="G59" i="68"/>
  <c r="M59" i="68" s="1"/>
  <c r="I64" i="39" s="1"/>
  <c r="G57" i="68"/>
  <c r="M57" i="68" s="1"/>
  <c r="I62" i="39" s="1"/>
  <c r="E56" i="68"/>
  <c r="E54" i="68"/>
  <c r="G51" i="68"/>
  <c r="M51" i="68" s="1"/>
  <c r="I56" i="39" s="1"/>
  <c r="G49" i="68"/>
  <c r="M49" i="68" s="1"/>
  <c r="I54" i="39" s="1"/>
  <c r="E48" i="68"/>
  <c r="G71" i="68"/>
  <c r="M71" i="68" s="1"/>
  <c r="I76" i="39" s="1"/>
  <c r="G69" i="68"/>
  <c r="M69" i="68" s="1"/>
  <c r="I74" i="39" s="1"/>
  <c r="G67" i="68"/>
  <c r="M67" i="68" s="1"/>
  <c r="I72" i="39" s="1"/>
  <c r="G65" i="68"/>
  <c r="M65" i="68" s="1"/>
  <c r="I70" i="39" s="1"/>
  <c r="G63" i="68"/>
  <c r="M63" i="68" s="1"/>
  <c r="I68" i="39" s="1"/>
  <c r="F30" i="68"/>
  <c r="E29" i="68"/>
  <c r="F26" i="68"/>
  <c r="F18" i="68"/>
  <c r="E17" i="68"/>
  <c r="E22" i="68"/>
  <c r="E18" i="68"/>
  <c r="F15" i="68"/>
  <c r="E14" i="68"/>
  <c r="E31" i="68"/>
  <c r="G18" i="68"/>
  <c r="F17" i="68"/>
  <c r="E16" i="68"/>
  <c r="E30" i="68"/>
  <c r="E26" i="68"/>
  <c r="F28" i="68"/>
  <c r="E27" i="68"/>
  <c r="E23" i="68"/>
  <c r="E19" i="68"/>
  <c r="F16" i="68"/>
  <c r="E15" i="68"/>
  <c r="E28" i="68"/>
  <c r="E24" i="68"/>
  <c r="E20" i="68"/>
  <c r="E13" i="68"/>
  <c r="G19" i="68"/>
  <c r="E21" i="68"/>
  <c r="E25" i="68"/>
  <c r="G30" i="68" l="1"/>
  <c r="G14" i="68"/>
  <c r="G27" i="68"/>
  <c r="G24" i="68"/>
  <c r="G28" i="68"/>
  <c r="G13" i="68"/>
  <c r="G15" i="68"/>
  <c r="G17" i="68"/>
  <c r="G20" i="68"/>
  <c r="G26" i="68"/>
  <c r="G23" i="68"/>
  <c r="G22" i="68"/>
  <c r="G16" i="68"/>
  <c r="F13" i="68"/>
  <c r="G29" i="68"/>
  <c r="G31" i="68"/>
  <c r="F14" i="68"/>
  <c r="F27" i="68"/>
  <c r="F20" i="68"/>
  <c r="F23" i="68"/>
  <c r="F19" i="68"/>
  <c r="F22" i="68"/>
  <c r="F24" i="68"/>
  <c r="F29" i="68"/>
  <c r="F31" i="68"/>
  <c r="M18" i="68"/>
  <c r="I21" i="39" s="1"/>
  <c r="M19" i="68"/>
  <c r="I22" i="39" s="1"/>
  <c r="M13" i="68" l="1"/>
  <c r="G25" i="68"/>
  <c r="M25" i="68" s="1"/>
  <c r="I28" i="39" s="1"/>
  <c r="F25" i="68"/>
  <c r="G21" i="68"/>
  <c r="M21" i="68" s="1"/>
  <c r="I24" i="39" s="1"/>
  <c r="F21" i="68"/>
  <c r="M27" i="68"/>
  <c r="I30" i="39" s="1"/>
  <c r="M28" i="68"/>
  <c r="I31" i="39" s="1"/>
  <c r="M22" i="68"/>
  <c r="I25" i="39" s="1"/>
  <c r="M31" i="68"/>
  <c r="I34" i="39" s="1"/>
  <c r="M29" i="68"/>
  <c r="I32" i="39" s="1"/>
  <c r="M23" i="68"/>
  <c r="I26" i="39" s="1"/>
  <c r="M24" i="68"/>
  <c r="I27" i="39" s="1"/>
  <c r="M14" i="68"/>
  <c r="I16" i="39" s="1"/>
  <c r="M15" i="68"/>
  <c r="I17" i="39" s="1"/>
  <c r="M26" i="68"/>
  <c r="I29" i="39" s="1"/>
  <c r="M30" i="68"/>
  <c r="I33" i="39" s="1"/>
  <c r="M16" i="68"/>
  <c r="I18" i="39" s="1"/>
  <c r="M17" i="68"/>
  <c r="I20" i="39" s="1"/>
  <c r="M20" i="68"/>
  <c r="I23" i="39" s="1"/>
  <c r="I15" i="39" l="1"/>
  <c r="M74" i="68"/>
  <c r="H26" i="38" s="1"/>
  <c r="G74" i="68"/>
  <c r="B7" i="64"/>
  <c r="I80" i="39" l="1"/>
  <c r="I117" i="32"/>
  <c r="I79" i="32"/>
  <c r="I26" i="32"/>
  <c r="K79" i="32"/>
  <c r="K26" i="32"/>
  <c r="L79" i="32" l="1"/>
  <c r="L26" i="32"/>
  <c r="F24" i="67" l="1"/>
  <c r="H24" i="67" s="1"/>
  <c r="F23" i="67"/>
  <c r="H23" i="67" s="1"/>
  <c r="F22" i="67"/>
  <c r="H22" i="67" s="1"/>
  <c r="F21" i="67"/>
  <c r="H21" i="67" s="1"/>
  <c r="F28" i="49"/>
  <c r="H28" i="49" s="1"/>
  <c r="F27" i="49"/>
  <c r="H27" i="49" s="1"/>
  <c r="F26" i="49"/>
  <c r="H26" i="49" s="1"/>
  <c r="F25" i="49"/>
  <c r="H25" i="49" s="1"/>
  <c r="F23" i="49"/>
  <c r="H23" i="49" s="1"/>
  <c r="F22" i="49"/>
  <c r="H22" i="49" s="1"/>
  <c r="F25" i="67" l="1"/>
  <c r="H25" i="67" s="1"/>
  <c r="J143" i="32" l="1"/>
  <c r="K143" i="32" s="1"/>
  <c r="L143" i="32" s="1"/>
  <c r="G42" i="39" s="1"/>
  <c r="J139" i="32"/>
  <c r="K139" i="32" s="1"/>
  <c r="L139" i="32" s="1"/>
  <c r="G38" i="39" s="1"/>
  <c r="J145" i="32"/>
  <c r="K145" i="32" s="1"/>
  <c r="L145" i="32" s="1"/>
  <c r="G44" i="39" s="1"/>
  <c r="J148" i="32"/>
  <c r="K148" i="32" s="1"/>
  <c r="L148" i="32" s="1"/>
  <c r="G47" i="39" s="1"/>
  <c r="J151" i="32"/>
  <c r="K151" i="32" s="1"/>
  <c r="L151" i="32" s="1"/>
  <c r="G50" i="39" s="1"/>
  <c r="J153" i="32"/>
  <c r="K153" i="32" s="1"/>
  <c r="L153" i="32" s="1"/>
  <c r="G52" i="39" s="1"/>
  <c r="J142" i="32"/>
  <c r="K142" i="32" s="1"/>
  <c r="L142" i="32" s="1"/>
  <c r="G41" i="39" s="1"/>
  <c r="J149" i="32"/>
  <c r="K149" i="32" s="1"/>
  <c r="L149" i="32" s="1"/>
  <c r="G48" i="39" s="1"/>
  <c r="J152" i="32"/>
  <c r="K152" i="32" s="1"/>
  <c r="L152" i="32" s="1"/>
  <c r="G51" i="39" s="1"/>
  <c r="J147" i="32"/>
  <c r="K147" i="32" s="1"/>
  <c r="L147" i="32" s="1"/>
  <c r="G46" i="39" s="1"/>
  <c r="J150" i="32"/>
  <c r="K150" i="32" s="1"/>
  <c r="L150" i="32" s="1"/>
  <c r="G49" i="39" s="1"/>
  <c r="J140" i="32"/>
  <c r="K140" i="32" s="1"/>
  <c r="L140" i="32" s="1"/>
  <c r="G39" i="39" s="1"/>
  <c r="J141" i="32"/>
  <c r="K141" i="32" s="1"/>
  <c r="L141" i="32" s="1"/>
  <c r="G40" i="39" s="1"/>
  <c r="J138" i="32"/>
  <c r="K138" i="32" s="1"/>
  <c r="L138" i="32" s="1"/>
  <c r="G37" i="39" s="1"/>
  <c r="J146" i="32"/>
  <c r="K146" i="32" s="1"/>
  <c r="L146" i="32" s="1"/>
  <c r="G45" i="39" s="1"/>
  <c r="J144" i="32"/>
  <c r="K144" i="32" s="1"/>
  <c r="L144" i="32" s="1"/>
  <c r="G43" i="39" s="1"/>
  <c r="J117" i="32"/>
  <c r="K117" i="32" s="1"/>
  <c r="L117" i="32" s="1"/>
  <c r="G14" i="39" s="1"/>
  <c r="J161" i="32"/>
  <c r="K161" i="32" s="1"/>
  <c r="L161" i="32" s="1"/>
  <c r="G60" i="39" s="1"/>
  <c r="J159" i="32"/>
  <c r="K159" i="32" s="1"/>
  <c r="L159" i="32" s="1"/>
  <c r="G58" i="39" s="1"/>
  <c r="J154" i="32"/>
  <c r="K154" i="32" s="1"/>
  <c r="L154" i="32" s="1"/>
  <c r="G53" i="39" s="1"/>
  <c r="J162" i="32"/>
  <c r="K162" i="32" s="1"/>
  <c r="L162" i="32" s="1"/>
  <c r="G61" i="39" s="1"/>
  <c r="J163" i="32"/>
  <c r="K163" i="32" s="1"/>
  <c r="L163" i="32" s="1"/>
  <c r="G62" i="39" s="1"/>
  <c r="J157" i="32"/>
  <c r="K157" i="32" s="1"/>
  <c r="L157" i="32" s="1"/>
  <c r="G56" i="39" s="1"/>
  <c r="J164" i="32"/>
  <c r="K164" i="32" s="1"/>
  <c r="L164" i="32" s="1"/>
  <c r="G63" i="39" s="1"/>
  <c r="J158" i="32"/>
  <c r="K158" i="32" s="1"/>
  <c r="L158" i="32" s="1"/>
  <c r="G57" i="39" s="1"/>
  <c r="J160" i="32"/>
  <c r="K160" i="32" s="1"/>
  <c r="L160" i="32" s="1"/>
  <c r="G59" i="39" s="1"/>
  <c r="J156" i="32"/>
  <c r="K156" i="32" s="1"/>
  <c r="L156" i="32" s="1"/>
  <c r="G55" i="39" s="1"/>
  <c r="J155" i="32"/>
  <c r="K155" i="32" s="1"/>
  <c r="L155" i="32" s="1"/>
  <c r="G54" i="39" s="1"/>
  <c r="A4" i="43" l="1"/>
  <c r="A5" i="43"/>
  <c r="A6" i="43"/>
  <c r="A7" i="43"/>
  <c r="A8" i="43"/>
  <c r="A9" i="43"/>
  <c r="A3" i="43"/>
  <c r="E14" i="39" l="1"/>
  <c r="E51" i="39"/>
  <c r="E47" i="39"/>
  <c r="E50" i="39"/>
  <c r="E46" i="39"/>
  <c r="E49" i="39"/>
  <c r="E45" i="39"/>
  <c r="E44" i="39"/>
  <c r="E48" i="39"/>
  <c r="E76" i="39"/>
  <c r="E75" i="39"/>
  <c r="E73" i="39"/>
  <c r="E71" i="39"/>
  <c r="E67" i="39"/>
  <c r="E66" i="39"/>
  <c r="E65" i="39"/>
  <c r="E60" i="39"/>
  <c r="E37" i="39"/>
  <c r="E78" i="39"/>
  <c r="E70" i="39"/>
  <c r="E64" i="39"/>
  <c r="E54" i="39"/>
  <c r="E53" i="39"/>
  <c r="E52" i="39"/>
  <c r="E74" i="39"/>
  <c r="E72" i="39"/>
  <c r="E63" i="39"/>
  <c r="E62" i="39"/>
  <c r="E61" i="39"/>
  <c r="E59" i="39"/>
  <c r="E58" i="39"/>
  <c r="E57" i="39"/>
  <c r="E41" i="39"/>
  <c r="E77" i="39"/>
  <c r="E69" i="39"/>
  <c r="E68" i="39"/>
  <c r="E56" i="39"/>
  <c r="E55" i="39"/>
  <c r="E43" i="39"/>
  <c r="E42" i="39"/>
  <c r="E40" i="39"/>
  <c r="E39" i="39"/>
  <c r="E38" i="39"/>
  <c r="E19" i="39"/>
  <c r="E36" i="39"/>
  <c r="E35" i="39"/>
  <c r="E22" i="39"/>
  <c r="H41" i="49" l="1"/>
  <c r="H40" i="49"/>
  <c r="H39" i="49"/>
  <c r="H38" i="49"/>
  <c r="H37" i="49"/>
  <c r="H36" i="49"/>
  <c r="H32" i="49"/>
  <c r="H33" i="49"/>
  <c r="H31" i="49"/>
  <c r="H29" i="67"/>
  <c r="H30" i="67"/>
  <c r="H31" i="67"/>
  <c r="H32" i="67"/>
  <c r="H33" i="67"/>
  <c r="H28" i="67"/>
  <c r="H38" i="67" s="1"/>
  <c r="H46" i="49" l="1"/>
  <c r="B9" i="67"/>
  <c r="B8" i="67"/>
  <c r="B7" i="67"/>
  <c r="B6" i="67"/>
  <c r="B5" i="67"/>
  <c r="B4" i="67"/>
  <c r="A4" i="67"/>
  <c r="B3" i="67"/>
  <c r="A3" i="67"/>
  <c r="I22" i="43" l="1"/>
  <c r="I21" i="43"/>
  <c r="I20" i="43"/>
  <c r="I19" i="43"/>
  <c r="J22" i="43" l="1"/>
  <c r="J19" i="43"/>
  <c r="J21" i="43"/>
  <c r="J20" i="43"/>
  <c r="I29" i="43" l="1"/>
  <c r="I30" i="43"/>
  <c r="I31" i="43"/>
  <c r="I32" i="43"/>
  <c r="I33" i="43"/>
  <c r="I34" i="43"/>
  <c r="I35" i="43"/>
  <c r="I36" i="43"/>
  <c r="C3" i="39" l="1"/>
  <c r="C4" i="39"/>
  <c r="C5" i="39"/>
  <c r="C6" i="39"/>
  <c r="C7" i="39"/>
  <c r="C8" i="39"/>
  <c r="C9" i="39"/>
  <c r="D19" i="39"/>
  <c r="D20" i="39"/>
  <c r="D21" i="39"/>
  <c r="D22" i="39"/>
  <c r="D23" i="39"/>
  <c r="D26" i="39"/>
  <c r="D27" i="39"/>
  <c r="D29" i="39"/>
  <c r="D30" i="39"/>
  <c r="D31" i="39"/>
  <c r="D32" i="39"/>
  <c r="D33" i="39"/>
  <c r="D34" i="39"/>
  <c r="D35" i="39"/>
  <c r="C6" i="50"/>
  <c r="B6" i="49"/>
  <c r="B6" i="48"/>
  <c r="B6" i="46"/>
  <c r="B6" i="32"/>
  <c r="D6" i="2"/>
  <c r="C7" i="44"/>
  <c r="C7" i="50"/>
  <c r="B9" i="64" l="1"/>
  <c r="B8" i="64"/>
  <c r="B6" i="64"/>
  <c r="B5" i="64"/>
  <c r="B4" i="64"/>
  <c r="A24" i="38" s="1"/>
  <c r="B3" i="64"/>
  <c r="C4" i="44" l="1"/>
  <c r="D9" i="2" l="1"/>
  <c r="D8" i="2"/>
  <c r="D7" i="2"/>
  <c r="D3" i="2"/>
  <c r="D5" i="2"/>
  <c r="B9" i="43"/>
  <c r="B8" i="43"/>
  <c r="B7" i="43"/>
  <c r="B5" i="43"/>
  <c r="B9" i="32" l="1"/>
  <c r="C6" i="44"/>
  <c r="C5" i="44"/>
  <c r="C9" i="44"/>
  <c r="C8" i="44"/>
  <c r="C3" i="44"/>
  <c r="I1228" i="2" l="1"/>
  <c r="Q1218" i="2"/>
  <c r="Q1217" i="2"/>
  <c r="Q1215" i="2"/>
  <c r="Q1214" i="2"/>
  <c r="Q1213" i="2"/>
  <c r="Q1212" i="2"/>
  <c r="Q1211" i="2"/>
  <c r="R1210" i="2"/>
  <c r="Q1209" i="2"/>
  <c r="R1208" i="2"/>
  <c r="R1207" i="2"/>
  <c r="Q1206" i="2"/>
  <c r="P1205" i="2"/>
  <c r="Q1204" i="2"/>
  <c r="P1203" i="2"/>
  <c r="P1202" i="2"/>
  <c r="P1201" i="2"/>
  <c r="P1200" i="2"/>
  <c r="P1199" i="2"/>
  <c r="Q1198" i="2"/>
  <c r="Q1197" i="2"/>
  <c r="Q1196" i="2"/>
  <c r="Q1195" i="2"/>
  <c r="Q1194" i="2"/>
  <c r="Q1193" i="2"/>
  <c r="P1192" i="2"/>
  <c r="Q1191" i="2"/>
  <c r="Q1184" i="2"/>
  <c r="Q1183" i="2"/>
  <c r="P1182" i="2"/>
  <c r="Q1181" i="2"/>
  <c r="P1180" i="2"/>
  <c r="P1179" i="2"/>
  <c r="P1178" i="2"/>
  <c r="R1177" i="2"/>
  <c r="P1176" i="2"/>
  <c r="P1175" i="2"/>
  <c r="P1174" i="2"/>
  <c r="P1173" i="2"/>
  <c r="P1172" i="2"/>
  <c r="P1171" i="2"/>
  <c r="P1170" i="2"/>
  <c r="P1169" i="2"/>
  <c r="Q1168" i="2"/>
  <c r="P1167" i="2"/>
  <c r="Q1166" i="2"/>
  <c r="P1165" i="2"/>
  <c r="P1163" i="2"/>
  <c r="R1162" i="2"/>
  <c r="R1161" i="2"/>
  <c r="Q1160" i="2"/>
  <c r="Q1159" i="2"/>
  <c r="R1158" i="2"/>
  <c r="R1157" i="2"/>
  <c r="R1156" i="2"/>
  <c r="R1155" i="2"/>
  <c r="R1154" i="2"/>
  <c r="R1153" i="2"/>
  <c r="Q1152" i="2"/>
  <c r="P1151" i="2"/>
  <c r="P1150" i="2"/>
  <c r="Q1149" i="2"/>
  <c r="P1148" i="2"/>
  <c r="R1147" i="2"/>
  <c r="R1146" i="2"/>
  <c r="Q1146" i="2"/>
  <c r="R1145" i="2"/>
  <c r="Q1144" i="2"/>
  <c r="Q1143" i="2"/>
  <c r="Q1142" i="2"/>
  <c r="P1140" i="2"/>
  <c r="Q1139" i="2"/>
  <c r="R1138" i="2"/>
  <c r="Q1137" i="2"/>
  <c r="R1136" i="2"/>
  <c r="R1135" i="2"/>
  <c r="P1134" i="2"/>
  <c r="P1133" i="2"/>
  <c r="P1132" i="2"/>
  <c r="Q1131" i="2"/>
  <c r="Q1130" i="2"/>
  <c r="Q1129" i="2"/>
  <c r="P1128" i="2"/>
  <c r="P1127" i="2"/>
  <c r="P1126" i="2"/>
  <c r="P1125" i="2"/>
  <c r="P1124" i="2"/>
  <c r="Q1123" i="2"/>
  <c r="Q1122" i="2"/>
  <c r="Q1121" i="2"/>
  <c r="Q1120" i="2"/>
  <c r="Q1119" i="2"/>
  <c r="Q1118" i="2"/>
  <c r="R1117" i="2"/>
  <c r="R1116" i="2"/>
  <c r="P1114" i="2"/>
  <c r="P1113" i="2"/>
  <c r="P1112" i="2"/>
  <c r="Q1111" i="2"/>
  <c r="Q1110" i="2"/>
  <c r="Q1109" i="2"/>
  <c r="R1108" i="2"/>
  <c r="Q1107" i="2"/>
  <c r="Q1106" i="2"/>
  <c r="P1105" i="2"/>
  <c r="P1104" i="2"/>
  <c r="P1103" i="2"/>
  <c r="Q1102" i="2"/>
  <c r="P1101" i="2"/>
  <c r="Q1100" i="2"/>
  <c r="Q1099" i="2"/>
  <c r="R1098" i="2"/>
  <c r="R1097" i="2"/>
  <c r="Q1096" i="2"/>
  <c r="Q1095" i="2"/>
  <c r="P1094" i="2"/>
  <c r="Q1093" i="2"/>
  <c r="P1092" i="2"/>
  <c r="Q1091" i="2"/>
  <c r="Q1090" i="2"/>
  <c r="Q1089" i="2"/>
  <c r="P1088" i="2"/>
  <c r="P1087" i="2"/>
  <c r="P1086" i="2"/>
  <c r="P1085" i="2"/>
  <c r="Q1084" i="2"/>
  <c r="Q1083" i="2"/>
  <c r="Q1082" i="2"/>
  <c r="Q1081" i="2"/>
  <c r="P1080" i="2"/>
  <c r="P1079" i="2"/>
  <c r="P1078" i="2"/>
  <c r="Q1077" i="2"/>
  <c r="Q1076" i="2"/>
  <c r="Q1075" i="2"/>
  <c r="P1074" i="2"/>
  <c r="Q1073" i="2"/>
  <c r="P1071" i="2"/>
  <c r="P1070" i="2"/>
  <c r="P1069" i="2"/>
  <c r="Q1068" i="2"/>
  <c r="Q1067" i="2"/>
  <c r="Q1066" i="2"/>
  <c r="P1065" i="2"/>
  <c r="Q1064" i="2"/>
  <c r="Q1063" i="2"/>
  <c r="P1062" i="2"/>
  <c r="R1061" i="2"/>
  <c r="Q1060" i="2"/>
  <c r="R1059" i="2"/>
  <c r="R1058" i="2"/>
  <c r="Q1057" i="2"/>
  <c r="Q1056" i="2"/>
  <c r="P1055" i="2"/>
  <c r="P1054" i="2"/>
  <c r="Q1053" i="2"/>
  <c r="P1052" i="2"/>
  <c r="Q1051" i="2"/>
  <c r="Q1050" i="2"/>
  <c r="P1049" i="2"/>
  <c r="P1048" i="2"/>
  <c r="P1047" i="2"/>
  <c r="P1046" i="2"/>
  <c r="P1045" i="2"/>
  <c r="P1044" i="2"/>
  <c r="Q1043" i="2"/>
  <c r="Q1042" i="2"/>
  <c r="R1041" i="2"/>
  <c r="R1040" i="2"/>
  <c r="Q1039" i="2"/>
  <c r="Q1036" i="2"/>
  <c r="Q1034" i="2"/>
  <c r="I1032" i="2"/>
  <c r="Q1031" i="2"/>
  <c r="P1030" i="2"/>
  <c r="P1029" i="2"/>
  <c r="P1028" i="2"/>
  <c r="P1027" i="2"/>
  <c r="P1026" i="2"/>
  <c r="P1025" i="2"/>
  <c r="P1024" i="2"/>
  <c r="Q1023" i="2"/>
  <c r="Q1022" i="2"/>
  <c r="R1021" i="2"/>
  <c r="R1020" i="2"/>
  <c r="Q1019" i="2"/>
  <c r="P1018" i="2"/>
  <c r="P1017" i="2"/>
  <c r="P1016" i="2"/>
  <c r="P1015" i="2"/>
  <c r="P1014" i="2"/>
  <c r="P1013" i="2"/>
  <c r="Q1012" i="2"/>
  <c r="P1011" i="2"/>
  <c r="P1010" i="2"/>
  <c r="P1009" i="2"/>
  <c r="Q1008" i="2"/>
  <c r="Q1007" i="2"/>
  <c r="Q1006" i="2"/>
  <c r="Q1005" i="2"/>
  <c r="Q1004" i="2"/>
  <c r="O1003" i="2"/>
  <c r="P1001" i="2"/>
  <c r="Q996" i="2"/>
  <c r="Q995" i="2"/>
  <c r="O994" i="2"/>
  <c r="P993" i="2"/>
  <c r="Q992" i="2"/>
  <c r="R991" i="2"/>
  <c r="Q990" i="2"/>
  <c r="Q989" i="2"/>
  <c r="P988" i="2"/>
  <c r="Q987" i="2"/>
  <c r="R986" i="2"/>
  <c r="P985" i="2"/>
  <c r="P984" i="2"/>
  <c r="R983" i="2"/>
  <c r="P982" i="2"/>
  <c r="P981" i="2"/>
  <c r="R980" i="2"/>
  <c r="R979" i="2"/>
  <c r="P978" i="2"/>
  <c r="P977" i="2"/>
  <c r="P976" i="2"/>
  <c r="Q975" i="2"/>
  <c r="P974" i="2"/>
  <c r="Q973" i="2"/>
  <c r="P970" i="2"/>
  <c r="P969" i="2"/>
  <c r="P968" i="2"/>
  <c r="P967" i="2"/>
  <c r="R966" i="2"/>
  <c r="P965" i="2"/>
  <c r="R964" i="2"/>
  <c r="J964" i="2"/>
  <c r="Q961" i="2"/>
  <c r="Q960" i="2"/>
  <c r="P958" i="2"/>
  <c r="P957" i="2"/>
  <c r="P956" i="2"/>
  <c r="P954" i="2"/>
  <c r="R953" i="2"/>
  <c r="Q952" i="2"/>
  <c r="R949" i="2"/>
  <c r="R948" i="2"/>
  <c r="P944" i="2"/>
  <c r="P943" i="2"/>
  <c r="P942" i="2"/>
  <c r="P938" i="2"/>
  <c r="Q936" i="2"/>
  <c r="Q935" i="2"/>
  <c r="O930" i="2"/>
  <c r="I929" i="2"/>
  <c r="I928" i="2"/>
  <c r="O925" i="2"/>
  <c r="P924" i="2"/>
  <c r="P923" i="2"/>
  <c r="N923" i="2"/>
  <c r="P922" i="2"/>
  <c r="P921" i="2"/>
  <c r="N921" i="2"/>
  <c r="O920" i="2"/>
  <c r="N920" i="2"/>
  <c r="P919" i="2"/>
  <c r="N919" i="2"/>
  <c r="P918" i="2"/>
  <c r="P917" i="2"/>
  <c r="N917" i="2"/>
  <c r="O916" i="2"/>
  <c r="O915" i="2"/>
  <c r="L915" i="2"/>
  <c r="O913" i="2"/>
  <c r="Q912" i="2"/>
  <c r="P911" i="2"/>
  <c r="P910" i="2"/>
  <c r="P909" i="2"/>
  <c r="Q908" i="2"/>
  <c r="J908" i="2"/>
  <c r="Q907" i="2"/>
  <c r="J907" i="2"/>
  <c r="O906" i="2"/>
  <c r="L906" i="2"/>
  <c r="P905" i="2"/>
  <c r="N905" i="2"/>
  <c r="O904" i="2"/>
  <c r="O903" i="2"/>
  <c r="L903" i="2"/>
  <c r="O902" i="2"/>
  <c r="L902" i="2"/>
  <c r="O901" i="2"/>
  <c r="L901" i="2"/>
  <c r="P900" i="2"/>
  <c r="L900" i="2"/>
  <c r="P899" i="2"/>
  <c r="N899" i="2"/>
  <c r="O898" i="2"/>
  <c r="N898" i="2"/>
  <c r="P897" i="2"/>
  <c r="N897" i="2"/>
  <c r="O896" i="2"/>
  <c r="N896" i="2"/>
  <c r="O895" i="2"/>
  <c r="L895" i="2"/>
  <c r="P894" i="2"/>
  <c r="N894" i="2"/>
  <c r="N889" i="2"/>
  <c r="I889" i="2"/>
  <c r="M888" i="2"/>
  <c r="I888" i="2"/>
  <c r="I887" i="2"/>
  <c r="I886" i="2"/>
  <c r="I885" i="2"/>
  <c r="P883" i="2"/>
  <c r="N883" i="2"/>
  <c r="P882" i="2"/>
  <c r="P879" i="2"/>
  <c r="P878" i="2"/>
  <c r="P877" i="2"/>
  <c r="N877" i="2"/>
  <c r="P876" i="2"/>
  <c r="N876" i="2"/>
  <c r="P875" i="2"/>
  <c r="N875" i="2"/>
  <c r="P874" i="2"/>
  <c r="N874" i="2"/>
  <c r="P873" i="2"/>
  <c r="N873" i="2"/>
  <c r="P872" i="2"/>
  <c r="N871" i="2"/>
  <c r="I871" i="2"/>
  <c r="N870" i="2"/>
  <c r="Q866" i="2"/>
  <c r="Q865" i="2"/>
  <c r="P863" i="2"/>
  <c r="P862" i="2"/>
  <c r="P861" i="2"/>
  <c r="P859" i="2"/>
  <c r="R858" i="2"/>
  <c r="Q857" i="2"/>
  <c r="R854" i="2"/>
  <c r="R853" i="2"/>
  <c r="P849" i="2"/>
  <c r="P848" i="2"/>
  <c r="P847" i="2"/>
  <c r="P843" i="2"/>
  <c r="Q841" i="2"/>
  <c r="Q840" i="2"/>
  <c r="O835" i="2"/>
  <c r="P828" i="2"/>
  <c r="P827" i="2"/>
  <c r="Q826" i="2"/>
  <c r="R825" i="2"/>
  <c r="R824" i="2"/>
  <c r="R823" i="2"/>
  <c r="Q822" i="2"/>
  <c r="Q821" i="2"/>
  <c r="Q820" i="2"/>
  <c r="Q819" i="2"/>
  <c r="P818" i="2"/>
  <c r="P817" i="2"/>
  <c r="P816" i="2"/>
  <c r="Q815" i="2"/>
  <c r="Q814" i="2"/>
  <c r="Q813" i="2"/>
  <c r="Q812" i="2"/>
  <c r="R810" i="2"/>
  <c r="R809" i="2"/>
  <c r="Q808" i="2"/>
  <c r="Q807" i="2"/>
  <c r="Q806" i="2"/>
  <c r="Q805" i="2"/>
  <c r="Q804" i="2"/>
  <c r="O799" i="2"/>
  <c r="O798" i="2"/>
  <c r="P797" i="2"/>
  <c r="P796" i="2"/>
  <c r="Q795" i="2"/>
  <c r="P794" i="2"/>
  <c r="P793" i="2"/>
  <c r="P792" i="2"/>
  <c r="Q791" i="2"/>
  <c r="R790" i="2"/>
  <c r="R789" i="2"/>
  <c r="Q788" i="2"/>
  <c r="P787" i="2"/>
  <c r="P786" i="2"/>
  <c r="Q785" i="2"/>
  <c r="P784" i="2"/>
  <c r="P783" i="2"/>
  <c r="Q782" i="2"/>
  <c r="O774" i="2"/>
  <c r="O773" i="2"/>
  <c r="N764" i="2"/>
  <c r="I764" i="2"/>
  <c r="N762" i="2"/>
  <c r="I762" i="2"/>
  <c r="L761" i="2"/>
  <c r="L760" i="2"/>
  <c r="P757" i="2"/>
  <c r="L757" i="2"/>
  <c r="L756" i="2"/>
  <c r="I756" i="2"/>
  <c r="P752" i="2"/>
  <c r="L751" i="2"/>
  <c r="I751" i="2"/>
  <c r="L748" i="2"/>
  <c r="I748" i="2"/>
  <c r="N747" i="2"/>
  <c r="I747" i="2"/>
  <c r="N746" i="2"/>
  <c r="I746" i="2"/>
  <c r="L745" i="2"/>
  <c r="I745" i="2"/>
  <c r="N744" i="2"/>
  <c r="I744" i="2"/>
  <c r="L743" i="2"/>
  <c r="I743" i="2"/>
  <c r="L741" i="2"/>
  <c r="I741" i="2"/>
  <c r="L740" i="2"/>
  <c r="I740" i="2"/>
  <c r="N739" i="2"/>
  <c r="I739" i="2"/>
  <c r="N738" i="2"/>
  <c r="I738" i="2"/>
  <c r="L737" i="2"/>
  <c r="I737" i="2"/>
  <c r="L736" i="2"/>
  <c r="I736" i="2"/>
  <c r="N735" i="2"/>
  <c r="I735" i="2"/>
  <c r="N734" i="2"/>
  <c r="I734" i="2"/>
  <c r="N733" i="2"/>
  <c r="I733" i="2"/>
  <c r="N732" i="2"/>
  <c r="I732" i="2"/>
  <c r="L731" i="2"/>
  <c r="I731" i="2"/>
  <c r="L730" i="2"/>
  <c r="I730" i="2"/>
  <c r="N729" i="2"/>
  <c r="I729" i="2"/>
  <c r="N728" i="2"/>
  <c r="I728" i="2"/>
  <c r="L727" i="2"/>
  <c r="I727" i="2"/>
  <c r="L725" i="2"/>
  <c r="I725" i="2"/>
  <c r="L724" i="2"/>
  <c r="I724" i="2"/>
  <c r="M723" i="2"/>
  <c r="L723" i="2"/>
  <c r="I723" i="2"/>
  <c r="L721" i="2"/>
  <c r="I721" i="2"/>
  <c r="L720" i="2"/>
  <c r="I720" i="2"/>
  <c r="I719" i="2"/>
  <c r="P718" i="2"/>
  <c r="L718" i="2"/>
  <c r="I718" i="2"/>
  <c r="L716" i="2"/>
  <c r="I716" i="2"/>
  <c r="Q713" i="2"/>
  <c r="N713" i="2"/>
  <c r="M713" i="2"/>
  <c r="I713" i="2"/>
  <c r="L709" i="2"/>
  <c r="I709" i="2"/>
  <c r="L708" i="2"/>
  <c r="I708" i="2"/>
  <c r="L705" i="2"/>
  <c r="I705" i="2"/>
  <c r="L698" i="2"/>
  <c r="I698" i="2"/>
  <c r="L697" i="2"/>
  <c r="L696" i="2"/>
  <c r="L695" i="2"/>
  <c r="L693" i="2"/>
  <c r="I693" i="2"/>
  <c r="L692" i="2"/>
  <c r="I692" i="2"/>
  <c r="P689" i="2"/>
  <c r="L689" i="2"/>
  <c r="L688" i="2"/>
  <c r="I688" i="2"/>
  <c r="L687" i="2"/>
  <c r="I687" i="2"/>
  <c r="L686" i="2"/>
  <c r="I686" i="2"/>
  <c r="N685" i="2"/>
  <c r="I685" i="2"/>
  <c r="L684" i="2"/>
  <c r="I684" i="2"/>
  <c r="L683" i="2"/>
  <c r="I683" i="2"/>
  <c r="L681" i="2"/>
  <c r="I681" i="2"/>
  <c r="L680" i="2"/>
  <c r="I680" i="2"/>
  <c r="L678" i="2"/>
  <c r="I678" i="2"/>
  <c r="L677" i="2"/>
  <c r="I677" i="2"/>
  <c r="L676" i="2"/>
  <c r="I676" i="2"/>
  <c r="L673" i="2"/>
  <c r="L671" i="2"/>
  <c r="I671" i="2"/>
  <c r="N670" i="2"/>
  <c r="I670" i="2"/>
  <c r="L669" i="2"/>
  <c r="I669" i="2"/>
  <c r="N668" i="2"/>
  <c r="I668" i="2"/>
  <c r="N667" i="2"/>
  <c r="I667" i="2"/>
  <c r="N666" i="2"/>
  <c r="I666" i="2"/>
  <c r="N665" i="2"/>
  <c r="I665" i="2"/>
  <c r="N664" i="2"/>
  <c r="I664" i="2"/>
  <c r="L663" i="2"/>
  <c r="I663" i="2"/>
  <c r="L662" i="2"/>
  <c r="I662" i="2"/>
  <c r="L661" i="2"/>
  <c r="I661" i="2"/>
  <c r="L660" i="2"/>
  <c r="I660" i="2"/>
  <c r="J659" i="2"/>
  <c r="I659" i="2"/>
  <c r="J658" i="2"/>
  <c r="I658" i="2"/>
  <c r="J657" i="2"/>
  <c r="I657" i="2"/>
  <c r="J656" i="2"/>
  <c r="I656" i="2"/>
  <c r="J655" i="2"/>
  <c r="I655" i="2"/>
  <c r="J654" i="2"/>
  <c r="I654" i="2"/>
  <c r="J653" i="2"/>
  <c r="I653" i="2"/>
  <c r="J652" i="2"/>
  <c r="I652" i="2"/>
  <c r="J651" i="2"/>
  <c r="I651" i="2"/>
  <c r="L650" i="2"/>
  <c r="I650" i="2"/>
  <c r="L649" i="2"/>
  <c r="I649" i="2"/>
  <c r="L648" i="2"/>
  <c r="I648" i="2"/>
  <c r="N647" i="2"/>
  <c r="I647" i="2"/>
  <c r="L646" i="2"/>
  <c r="I646" i="2"/>
  <c r="L645" i="2"/>
  <c r="I645" i="2"/>
  <c r="L644" i="2"/>
  <c r="I644" i="2"/>
  <c r="L643" i="2"/>
  <c r="I643" i="2"/>
  <c r="L642" i="2"/>
  <c r="I642" i="2"/>
  <c r="L640" i="2"/>
  <c r="I640" i="2"/>
  <c r="L639" i="2"/>
  <c r="I639" i="2"/>
  <c r="N635" i="2"/>
  <c r="M635" i="2"/>
  <c r="I635" i="2"/>
  <c r="N633" i="2"/>
  <c r="M633" i="2"/>
  <c r="I633" i="2"/>
  <c r="Q632" i="2"/>
  <c r="N632" i="2"/>
  <c r="M632" i="2"/>
  <c r="I630" i="2"/>
  <c r="I629" i="2"/>
  <c r="N627" i="2"/>
  <c r="M627" i="2"/>
  <c r="I627" i="2"/>
  <c r="P625" i="2"/>
  <c r="N625" i="2"/>
  <c r="M625" i="2"/>
  <c r="N624" i="2"/>
  <c r="M624" i="2"/>
  <c r="I624" i="2"/>
  <c r="I612" i="2"/>
  <c r="I605" i="2"/>
  <c r="I604" i="2"/>
  <c r="I603" i="2"/>
  <c r="I602" i="2"/>
  <c r="I601" i="2"/>
  <c r="I600" i="2"/>
  <c r="L593" i="2"/>
  <c r="I592" i="2"/>
  <c r="I587" i="2"/>
  <c r="I583" i="2"/>
  <c r="I579" i="2"/>
  <c r="I578" i="2"/>
  <c r="I545" i="2"/>
  <c r="I544" i="2"/>
  <c r="I543" i="2"/>
  <c r="I542" i="2"/>
  <c r="I541" i="2"/>
  <c r="I539" i="2"/>
  <c r="I538" i="2"/>
  <c r="L537" i="2"/>
  <c r="L536" i="2"/>
  <c r="L535" i="2"/>
  <c r="I534" i="2"/>
  <c r="I533" i="2"/>
  <c r="I532" i="2"/>
  <c r="I531" i="2"/>
  <c r="I530" i="2"/>
  <c r="I527" i="2"/>
  <c r="M525" i="2"/>
  <c r="L525" i="2"/>
  <c r="I525" i="2"/>
  <c r="L521" i="2"/>
  <c r="L520" i="2"/>
  <c r="I520" i="2"/>
  <c r="I515" i="2"/>
  <c r="L511" i="2"/>
  <c r="I505" i="2"/>
  <c r="I504" i="2"/>
  <c r="I500" i="2"/>
  <c r="I497" i="2"/>
  <c r="I493" i="2"/>
  <c r="I489" i="2"/>
  <c r="I488" i="2"/>
  <c r="I487" i="2"/>
  <c r="I486" i="2"/>
  <c r="I485" i="2"/>
  <c r="I483" i="2"/>
  <c r="I482" i="2"/>
  <c r="I481" i="2"/>
  <c r="I480" i="2"/>
  <c r="I479" i="2"/>
  <c r="I478" i="2"/>
  <c r="I477" i="2"/>
  <c r="I476" i="2"/>
  <c r="I475" i="2"/>
  <c r="I473" i="2"/>
  <c r="I472" i="2"/>
  <c r="I471" i="2"/>
  <c r="I470" i="2"/>
  <c r="I469" i="2"/>
  <c r="I468" i="2"/>
  <c r="I467" i="2"/>
  <c r="I466" i="2"/>
  <c r="I465" i="2"/>
  <c r="I464" i="2"/>
  <c r="I462" i="2"/>
  <c r="I460" i="2"/>
  <c r="I459" i="2"/>
  <c r="I458" i="2"/>
  <c r="I454" i="2"/>
  <c r="I451" i="2"/>
  <c r="I450" i="2"/>
  <c r="I449" i="2"/>
  <c r="I448" i="2"/>
  <c r="I447" i="2"/>
  <c r="L445" i="2"/>
  <c r="I444" i="2"/>
  <c r="I443" i="2"/>
  <c r="I442" i="2"/>
  <c r="I441" i="2"/>
  <c r="I440" i="2"/>
  <c r="I439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08" i="2"/>
  <c r="I407" i="2"/>
  <c r="I404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83" i="2"/>
  <c r="K380" i="2"/>
  <c r="I380" i="2"/>
  <c r="K378" i="2"/>
  <c r="K377" i="2"/>
  <c r="K375" i="2"/>
  <c r="Q374" i="2"/>
  <c r="K374" i="2"/>
  <c r="I374" i="2"/>
  <c r="K373" i="2"/>
  <c r="N346" i="2"/>
  <c r="I346" i="2"/>
  <c r="N344" i="2"/>
  <c r="I344" i="2"/>
  <c r="I332" i="2"/>
  <c r="N331" i="2"/>
  <c r="I331" i="2"/>
  <c r="L330" i="2"/>
  <c r="I330" i="2"/>
  <c r="N329" i="2"/>
  <c r="I329" i="2"/>
  <c r="N328" i="2"/>
  <c r="I328" i="2"/>
  <c r="N327" i="2"/>
  <c r="I327" i="2"/>
  <c r="N326" i="2"/>
  <c r="I326" i="2"/>
  <c r="L325" i="2"/>
  <c r="I325" i="2"/>
  <c r="N323" i="2"/>
  <c r="I323" i="2"/>
  <c r="L321" i="2"/>
  <c r="I321" i="2"/>
  <c r="L320" i="2"/>
  <c r="I320" i="2"/>
  <c r="L319" i="2"/>
  <c r="I319" i="2"/>
  <c r="L318" i="2"/>
  <c r="I318" i="2"/>
  <c r="N317" i="2"/>
  <c r="I317" i="2"/>
  <c r="I316" i="2"/>
  <c r="L315" i="2"/>
  <c r="I315" i="2"/>
  <c r="Q311" i="2"/>
  <c r="L311" i="2"/>
  <c r="I311" i="2"/>
  <c r="Q310" i="2"/>
  <c r="L310" i="2"/>
  <c r="I310" i="2"/>
  <c r="Q305" i="2"/>
  <c r="N305" i="2"/>
  <c r="M305" i="2"/>
  <c r="J305" i="2"/>
  <c r="I305" i="2"/>
  <c r="N301" i="2"/>
  <c r="Q301" i="2" s="1"/>
  <c r="I301" i="2"/>
  <c r="N299" i="2"/>
  <c r="L298" i="2"/>
  <c r="I298" i="2"/>
  <c r="L297" i="2"/>
  <c r="I297" i="2"/>
  <c r="L291" i="2"/>
  <c r="I291" i="2"/>
  <c r="L283" i="2"/>
  <c r="I283" i="2"/>
  <c r="N282" i="2"/>
  <c r="I282" i="2"/>
  <c r="N281" i="2"/>
  <c r="L280" i="2"/>
  <c r="I280" i="2"/>
  <c r="L278" i="2"/>
  <c r="I278" i="2"/>
  <c r="N275" i="2"/>
  <c r="I275" i="2"/>
  <c r="N274" i="2"/>
  <c r="I274" i="2"/>
  <c r="L273" i="2"/>
  <c r="I273" i="2"/>
  <c r="L255" i="2"/>
  <c r="I255" i="2"/>
  <c r="J254" i="2"/>
  <c r="I254" i="2"/>
  <c r="J253" i="2"/>
  <c r="I253" i="2"/>
  <c r="J252" i="2"/>
  <c r="I252" i="2"/>
  <c r="J251" i="2"/>
  <c r="I251" i="2"/>
  <c r="J250" i="2"/>
  <c r="I250" i="2"/>
  <c r="J249" i="2"/>
  <c r="I249" i="2"/>
  <c r="J248" i="2"/>
  <c r="I248" i="2"/>
  <c r="J247" i="2"/>
  <c r="I247" i="2"/>
  <c r="L231" i="2"/>
  <c r="I231" i="2"/>
  <c r="N230" i="2"/>
  <c r="I230" i="2"/>
  <c r="N229" i="2"/>
  <c r="I229" i="2"/>
  <c r="L224" i="2"/>
  <c r="I224" i="2"/>
  <c r="N221" i="2"/>
  <c r="N219" i="2"/>
  <c r="I219" i="2"/>
  <c r="N215" i="2"/>
  <c r="I215" i="2"/>
  <c r="N214" i="2"/>
  <c r="I214" i="2"/>
  <c r="N209" i="2"/>
  <c r="I209" i="2"/>
  <c r="I205" i="2"/>
  <c r="I203" i="2"/>
  <c r="N201" i="2"/>
  <c r="M201" i="2"/>
  <c r="M192" i="2"/>
  <c r="J192" i="2"/>
  <c r="K24" i="2"/>
  <c r="Q22" i="2"/>
  <c r="K22" i="2"/>
  <c r="I22" i="2"/>
  <c r="K21" i="2"/>
  <c r="I21" i="2"/>
  <c r="D15" i="39" l="1"/>
  <c r="J201" i="2"/>
  <c r="D25" i="39"/>
  <c r="D28" i="39"/>
  <c r="D18" i="39"/>
  <c r="P639" i="2"/>
  <c r="D24" i="39"/>
  <c r="D36" i="39"/>
  <c r="D17" i="39"/>
  <c r="D16" i="39"/>
  <c r="P654" i="2"/>
  <c r="P643" i="2"/>
  <c r="P676" i="2"/>
  <c r="P684" i="2"/>
  <c r="P692" i="2"/>
  <c r="P727" i="2"/>
  <c r="Q733" i="2"/>
  <c r="Q739" i="2"/>
  <c r="Q746" i="2"/>
  <c r="Q255" i="2"/>
  <c r="P661" i="2"/>
  <c r="Q667" i="2"/>
  <c r="Q660" i="2"/>
  <c r="P677" i="2"/>
  <c r="P685" i="2"/>
  <c r="P693" i="2"/>
  <c r="Q728" i="2"/>
  <c r="Q734" i="2"/>
  <c r="P740" i="2"/>
  <c r="Q747" i="2"/>
  <c r="R249" i="2"/>
  <c r="Q321" i="2"/>
  <c r="Q666" i="2"/>
  <c r="Q317" i="2"/>
  <c r="P650" i="2"/>
  <c r="P656" i="2"/>
  <c r="P662" i="2"/>
  <c r="P668" i="2"/>
  <c r="Q762" i="2"/>
  <c r="P315" i="2"/>
  <c r="P330" i="2"/>
  <c r="Q729" i="2"/>
  <c r="Q735" i="2"/>
  <c r="P741" i="2"/>
  <c r="P651" i="2"/>
  <c r="Q329" i="2"/>
  <c r="Q323" i="2"/>
  <c r="Q230" i="2"/>
  <c r="Q275" i="2"/>
  <c r="Q215" i="2"/>
  <c r="P297" i="2"/>
  <c r="P344" i="2"/>
  <c r="P680" i="2"/>
  <c r="P687" i="2"/>
  <c r="P730" i="2"/>
  <c r="Q736" i="2"/>
  <c r="P743" i="2"/>
  <c r="R250" i="2"/>
  <c r="Q331" i="2"/>
  <c r="Q644" i="2"/>
  <c r="Q764" i="2"/>
  <c r="R247" i="2"/>
  <c r="P278" i="2"/>
  <c r="P319" i="2"/>
  <c r="Q327" i="2"/>
  <c r="P646" i="2"/>
  <c r="P652" i="2"/>
  <c r="P658" i="2"/>
  <c r="Q664" i="2"/>
  <c r="P716" i="2"/>
  <c r="Q633" i="2"/>
  <c r="P273" i="2"/>
  <c r="P649" i="2"/>
  <c r="Q635" i="2"/>
  <c r="Q274" i="2"/>
  <c r="Q325" i="2"/>
  <c r="P291" i="2"/>
  <c r="P678" i="2"/>
  <c r="Q326" i="2"/>
  <c r="Q645" i="2"/>
  <c r="P298" i="2"/>
  <c r="P346" i="2"/>
  <c r="Q624" i="2"/>
  <c r="P640" i="2"/>
  <c r="P681" i="2"/>
  <c r="P724" i="2"/>
  <c r="P731" i="2"/>
  <c r="P737" i="2"/>
  <c r="Q744" i="2"/>
  <c r="P648" i="2"/>
  <c r="P686" i="2"/>
  <c r="Q231" i="2"/>
  <c r="Q318" i="2"/>
  <c r="Q627" i="2"/>
  <c r="P657" i="2"/>
  <c r="Q320" i="2"/>
  <c r="P647" i="2"/>
  <c r="P653" i="2"/>
  <c r="P659" i="2"/>
  <c r="Q665" i="2"/>
  <c r="P671" i="2"/>
  <c r="P756" i="2"/>
  <c r="Q229" i="2"/>
  <c r="P655" i="2"/>
  <c r="P663" i="2"/>
  <c r="R248" i="2"/>
  <c r="P280" i="2"/>
  <c r="P642" i="2"/>
  <c r="P683" i="2"/>
  <c r="P725" i="2"/>
  <c r="Q732" i="2"/>
  <c r="Q738" i="2"/>
  <c r="Q745" i="2"/>
  <c r="P889" i="2"/>
  <c r="D80" i="39" l="1"/>
  <c r="A18" i="38"/>
  <c r="O44" i="46"/>
  <c r="K40" i="46"/>
  <c r="J40" i="46"/>
  <c r="I40" i="46"/>
  <c r="H40" i="46"/>
  <c r="E40" i="46"/>
  <c r="K39" i="46"/>
  <c r="J39" i="46"/>
  <c r="I39" i="46"/>
  <c r="H39" i="46"/>
  <c r="E39" i="46"/>
  <c r="K38" i="46"/>
  <c r="J38" i="46"/>
  <c r="I38" i="46"/>
  <c r="H38" i="46"/>
  <c r="E38" i="46"/>
  <c r="K37" i="46"/>
  <c r="J37" i="46"/>
  <c r="I37" i="46"/>
  <c r="H37" i="46"/>
  <c r="E37" i="46"/>
  <c r="K36" i="46"/>
  <c r="J36" i="46"/>
  <c r="I36" i="46"/>
  <c r="H36" i="46"/>
  <c r="E36" i="46"/>
  <c r="K35" i="46"/>
  <c r="J35" i="46"/>
  <c r="I35" i="46"/>
  <c r="H35" i="46"/>
  <c r="E35" i="46"/>
  <c r="K34" i="46"/>
  <c r="J34" i="46"/>
  <c r="I34" i="46"/>
  <c r="H34" i="46"/>
  <c r="E34" i="46"/>
  <c r="K33" i="46"/>
  <c r="J33" i="46"/>
  <c r="I33" i="46"/>
  <c r="H33" i="46"/>
  <c r="E33" i="46"/>
  <c r="K32" i="46"/>
  <c r="J32" i="46"/>
  <c r="I32" i="46"/>
  <c r="H32" i="46"/>
  <c r="E32" i="46"/>
  <c r="K31" i="46"/>
  <c r="J31" i="46"/>
  <c r="I31" i="46"/>
  <c r="H31" i="46"/>
  <c r="E31" i="46"/>
  <c r="K30" i="46"/>
  <c r="J30" i="46"/>
  <c r="I30" i="46"/>
  <c r="H30" i="46"/>
  <c r="E30" i="46"/>
  <c r="K29" i="46"/>
  <c r="J29" i="46"/>
  <c r="I29" i="46"/>
  <c r="H29" i="46"/>
  <c r="E29" i="46"/>
  <c r="K28" i="46"/>
  <c r="J28" i="46"/>
  <c r="I28" i="46"/>
  <c r="H28" i="46"/>
  <c r="E28" i="46"/>
  <c r="K27" i="46"/>
  <c r="J27" i="46"/>
  <c r="I27" i="46"/>
  <c r="H27" i="46"/>
  <c r="E27" i="46"/>
  <c r="K26" i="46"/>
  <c r="J26" i="46"/>
  <c r="I26" i="46"/>
  <c r="H26" i="46"/>
  <c r="E26" i="46"/>
  <c r="K25" i="46"/>
  <c r="J25" i="46"/>
  <c r="I25" i="46"/>
  <c r="H25" i="46"/>
  <c r="E25" i="46"/>
  <c r="K24" i="46"/>
  <c r="J24" i="46"/>
  <c r="I24" i="46"/>
  <c r="H24" i="46"/>
  <c r="E24" i="46"/>
  <c r="K23" i="46"/>
  <c r="J23" i="46"/>
  <c r="I23" i="46"/>
  <c r="H23" i="46"/>
  <c r="E23" i="46"/>
  <c r="K22" i="46"/>
  <c r="J22" i="46"/>
  <c r="I22" i="46"/>
  <c r="H22" i="46"/>
  <c r="E22" i="46"/>
  <c r="K21" i="46"/>
  <c r="J21" i="46"/>
  <c r="I21" i="46"/>
  <c r="H21" i="46"/>
  <c r="E21" i="46"/>
  <c r="K20" i="46"/>
  <c r="J20" i="46"/>
  <c r="I20" i="46"/>
  <c r="E20" i="46"/>
  <c r="H20" i="46" s="1"/>
  <c r="K19" i="46"/>
  <c r="J19" i="46"/>
  <c r="I19" i="46"/>
  <c r="E19" i="46"/>
  <c r="H19" i="46" s="1"/>
  <c r="K18" i="46"/>
  <c r="J18" i="46"/>
  <c r="I18" i="46"/>
  <c r="E18" i="46"/>
  <c r="H18" i="46" s="1"/>
  <c r="K17" i="46"/>
  <c r="J17" i="46"/>
  <c r="I17" i="46"/>
  <c r="E17" i="46"/>
  <c r="H17" i="46" s="1"/>
  <c r="K16" i="46"/>
  <c r="J16" i="46"/>
  <c r="I16" i="46"/>
  <c r="E16" i="46"/>
  <c r="H16" i="46" s="1"/>
  <c r="M19" i="46" l="1"/>
  <c r="P19" i="46" s="1"/>
  <c r="M26" i="46"/>
  <c r="P26" i="46" s="1"/>
  <c r="M30" i="46"/>
  <c r="P30" i="46" s="1"/>
  <c r="M33" i="46"/>
  <c r="P33" i="46" s="1"/>
  <c r="M20" i="46"/>
  <c r="P20" i="46" s="1"/>
  <c r="M36" i="46"/>
  <c r="P36" i="46" s="1"/>
  <c r="M18" i="46"/>
  <c r="P18" i="46" s="1"/>
  <c r="M29" i="46"/>
  <c r="P29" i="46" s="1"/>
  <c r="M38" i="46"/>
  <c r="P38" i="46" s="1"/>
  <c r="M25" i="46"/>
  <c r="P25" i="46" s="1"/>
  <c r="M31" i="46"/>
  <c r="P31" i="46" s="1"/>
  <c r="M21" i="46"/>
  <c r="P21" i="46" s="1"/>
  <c r="M23" i="46"/>
  <c r="P23" i="46" s="1"/>
  <c r="M16" i="46"/>
  <c r="P16" i="46" s="1"/>
  <c r="M34" i="46"/>
  <c r="P34" i="46" s="1"/>
  <c r="M27" i="46"/>
  <c r="P27" i="46" s="1"/>
  <c r="M39" i="46"/>
  <c r="P39" i="46" s="1"/>
  <c r="M17" i="46"/>
  <c r="P17" i="46" s="1"/>
  <c r="M24" i="46"/>
  <c r="P24" i="46" s="1"/>
  <c r="M32" i="46"/>
  <c r="P32" i="46" s="1"/>
  <c r="M28" i="46"/>
  <c r="P28" i="46" s="1"/>
  <c r="M35" i="46"/>
  <c r="P35" i="46" s="1"/>
  <c r="M22" i="46"/>
  <c r="P22" i="46" s="1"/>
  <c r="M37" i="46"/>
  <c r="P37" i="46" s="1"/>
  <c r="M40" i="46"/>
  <c r="P40" i="46" s="1"/>
  <c r="B9" i="49" l="1"/>
  <c r="B8" i="49"/>
  <c r="B7" i="49"/>
  <c r="B5" i="49"/>
  <c r="A4" i="49"/>
  <c r="B3" i="49"/>
  <c r="A3" i="49"/>
  <c r="B9" i="46"/>
  <c r="B8" i="46"/>
  <c r="B7" i="46"/>
  <c r="C9" i="50"/>
  <c r="B9" i="48"/>
  <c r="B8" i="48"/>
  <c r="B7" i="48"/>
  <c r="C5" i="50" l="1"/>
  <c r="C8" i="50"/>
  <c r="C3" i="50"/>
  <c r="C4" i="50"/>
  <c r="A30" i="38" s="1"/>
  <c r="B8" i="32"/>
  <c r="B7" i="32"/>
  <c r="B5" i="32"/>
  <c r="B3" i="32"/>
  <c r="H170" i="32"/>
  <c r="H171" i="32"/>
  <c r="H172" i="32"/>
  <c r="H173" i="32"/>
  <c r="H174" i="32"/>
  <c r="H175" i="32"/>
  <c r="H176" i="32"/>
  <c r="H177" i="32"/>
  <c r="H178" i="32"/>
  <c r="H179" i="32"/>
  <c r="H180" i="32"/>
  <c r="H118" i="32"/>
  <c r="H119" i="32"/>
  <c r="H120" i="32"/>
  <c r="H121" i="32"/>
  <c r="H122" i="32"/>
  <c r="H123" i="32"/>
  <c r="H124" i="32"/>
  <c r="H125" i="32"/>
  <c r="H126" i="32"/>
  <c r="H127" i="32"/>
  <c r="H128" i="32"/>
  <c r="H129" i="32"/>
  <c r="H130" i="32"/>
  <c r="H131" i="32"/>
  <c r="H132" i="32"/>
  <c r="H133" i="32"/>
  <c r="H134" i="32"/>
  <c r="H135" i="32"/>
  <c r="H136" i="32"/>
  <c r="H137" i="32"/>
  <c r="H80" i="32"/>
  <c r="H81" i="32"/>
  <c r="H82" i="32"/>
  <c r="H83" i="32"/>
  <c r="H84" i="32"/>
  <c r="H85" i="32"/>
  <c r="H86" i="32"/>
  <c r="H87" i="32"/>
  <c r="H88" i="32"/>
  <c r="H89" i="32"/>
  <c r="H90" i="32"/>
  <c r="H91" i="32"/>
  <c r="H92" i="32"/>
  <c r="H93" i="32"/>
  <c r="H94" i="32"/>
  <c r="H95" i="32"/>
  <c r="H96" i="32"/>
  <c r="H97" i="32"/>
  <c r="H98" i="32"/>
  <c r="H99" i="32"/>
  <c r="I180" i="32"/>
  <c r="I179" i="32"/>
  <c r="I178" i="32"/>
  <c r="I177" i="32"/>
  <c r="I176" i="32"/>
  <c r="I175" i="32"/>
  <c r="I174" i="32"/>
  <c r="I173" i="32"/>
  <c r="I172" i="32"/>
  <c r="I171" i="32"/>
  <c r="I170" i="32"/>
  <c r="J171" i="32" l="1"/>
  <c r="K171" i="32" s="1"/>
  <c r="L171" i="32" s="1"/>
  <c r="J179" i="32"/>
  <c r="K179" i="32" s="1"/>
  <c r="L179" i="32" s="1"/>
  <c r="J175" i="32"/>
  <c r="K175" i="32" s="1"/>
  <c r="L175" i="32" s="1"/>
  <c r="J178" i="32"/>
  <c r="K178" i="32" s="1"/>
  <c r="L178" i="32" s="1"/>
  <c r="J174" i="32"/>
  <c r="K174" i="32" s="1"/>
  <c r="L174" i="32" s="1"/>
  <c r="J170" i="32"/>
  <c r="K170" i="32" s="1"/>
  <c r="L170" i="32" s="1"/>
  <c r="J177" i="32"/>
  <c r="K177" i="32" s="1"/>
  <c r="L177" i="32" s="1"/>
  <c r="J173" i="32"/>
  <c r="K173" i="32" s="1"/>
  <c r="L173" i="32" s="1"/>
  <c r="J180" i="32"/>
  <c r="K180" i="32" s="1"/>
  <c r="L180" i="32" s="1"/>
  <c r="J176" i="32"/>
  <c r="K176" i="32" s="1"/>
  <c r="L176" i="32" s="1"/>
  <c r="J172" i="32"/>
  <c r="K172" i="32" s="1"/>
  <c r="L172" i="32" s="1"/>
  <c r="G170" i="32"/>
  <c r="G178" i="32"/>
  <c r="G174" i="32"/>
  <c r="G176" i="32"/>
  <c r="G180" i="32"/>
  <c r="G175" i="32"/>
  <c r="G173" i="32"/>
  <c r="G172" i="32"/>
  <c r="G179" i="32"/>
  <c r="G171" i="32"/>
  <c r="G177" i="32"/>
  <c r="L191" i="32" l="1"/>
  <c r="B3" i="48"/>
  <c r="B3" i="46" s="1"/>
  <c r="B4" i="48"/>
  <c r="B4" i="46"/>
  <c r="A28" i="38" s="1"/>
  <c r="B4" i="32" l="1"/>
  <c r="A6" i="46"/>
  <c r="A6" i="48" s="1"/>
  <c r="A6" i="67" s="1"/>
  <c r="A7" i="46"/>
  <c r="A7" i="48" s="1"/>
  <c r="A7" i="67" s="1"/>
  <c r="A8" i="46"/>
  <c r="A8" i="48" s="1"/>
  <c r="A8" i="67" s="1"/>
  <c r="A9" i="46"/>
  <c r="A9" i="48" s="1"/>
  <c r="A9" i="67" s="1"/>
  <c r="A5" i="46"/>
  <c r="A5" i="48" s="1"/>
  <c r="A5" i="67" s="1"/>
  <c r="B5" i="46"/>
  <c r="B5" i="48" s="1"/>
  <c r="J82" i="32"/>
  <c r="J84" i="32"/>
  <c r="K84" i="32" s="1"/>
  <c r="J85" i="32"/>
  <c r="K85" i="32" s="1"/>
  <c r="J87" i="32"/>
  <c r="K87" i="32" s="1"/>
  <c r="J88" i="32"/>
  <c r="K88" i="32" s="1"/>
  <c r="J90" i="32"/>
  <c r="K90" i="32" s="1"/>
  <c r="J91" i="32"/>
  <c r="K91" i="32" s="1"/>
  <c r="J94" i="32"/>
  <c r="K94" i="32" s="1"/>
  <c r="J95" i="32"/>
  <c r="K95" i="32" s="1"/>
  <c r="J98" i="32"/>
  <c r="K98" i="32" s="1"/>
  <c r="J119" i="32"/>
  <c r="K119" i="32" s="1"/>
  <c r="J120" i="32"/>
  <c r="K120" i="32" s="1"/>
  <c r="J121" i="32"/>
  <c r="K121" i="32" s="1"/>
  <c r="J128" i="32"/>
  <c r="J137" i="32"/>
  <c r="I137" i="32"/>
  <c r="I136" i="32"/>
  <c r="I135" i="32"/>
  <c r="I134" i="32"/>
  <c r="I133" i="32"/>
  <c r="I132" i="32"/>
  <c r="I131" i="32"/>
  <c r="I130" i="32"/>
  <c r="I129" i="32"/>
  <c r="I128" i="32"/>
  <c r="I127" i="32"/>
  <c r="I126" i="32"/>
  <c r="I125" i="32"/>
  <c r="I124" i="32"/>
  <c r="I123" i="32"/>
  <c r="I122" i="32"/>
  <c r="I121" i="32"/>
  <c r="I120" i="32"/>
  <c r="I119" i="32"/>
  <c r="I118" i="32"/>
  <c r="J118" i="32"/>
  <c r="K118" i="32" s="1"/>
  <c r="I99" i="32"/>
  <c r="I98" i="32"/>
  <c r="I97" i="32"/>
  <c r="I96" i="32"/>
  <c r="J96" i="32"/>
  <c r="K96" i="32" s="1"/>
  <c r="I95" i="32"/>
  <c r="I94" i="32"/>
  <c r="I93" i="32"/>
  <c r="I92" i="32"/>
  <c r="I91" i="32"/>
  <c r="I90" i="32"/>
  <c r="I89" i="32"/>
  <c r="I88" i="32"/>
  <c r="I87" i="32"/>
  <c r="I86" i="32"/>
  <c r="I85" i="32"/>
  <c r="I84" i="32"/>
  <c r="I83" i="32"/>
  <c r="I82" i="32"/>
  <c r="I81" i="32"/>
  <c r="I80" i="32"/>
  <c r="I27" i="32"/>
  <c r="I28" i="32"/>
  <c r="I29" i="32"/>
  <c r="I30" i="32"/>
  <c r="I31" i="32"/>
  <c r="I32" i="32"/>
  <c r="I33" i="32"/>
  <c r="I34" i="32"/>
  <c r="I35" i="32"/>
  <c r="I36" i="32"/>
  <c r="I37" i="32"/>
  <c r="I38" i="32"/>
  <c r="I39" i="32"/>
  <c r="I40" i="32"/>
  <c r="I41" i="32"/>
  <c r="I42" i="32"/>
  <c r="I43" i="32"/>
  <c r="I44" i="32"/>
  <c r="I45" i="32"/>
  <c r="I46" i="32"/>
  <c r="B4" i="49"/>
  <c r="K42" i="46"/>
  <c r="J42" i="46"/>
  <c r="I42" i="46"/>
  <c r="E42" i="46"/>
  <c r="H42" i="46"/>
  <c r="K41" i="46"/>
  <c r="J41" i="46"/>
  <c r="I41" i="46"/>
  <c r="E41" i="46"/>
  <c r="H41" i="46"/>
  <c r="K15" i="46"/>
  <c r="J15" i="46"/>
  <c r="I15" i="46"/>
  <c r="E15" i="46"/>
  <c r="H15" i="46" s="1"/>
  <c r="K14" i="46"/>
  <c r="J14" i="46"/>
  <c r="I14" i="46"/>
  <c r="E14" i="46"/>
  <c r="H14" i="46" s="1"/>
  <c r="B4" i="38"/>
  <c r="I24" i="43"/>
  <c r="I25" i="43"/>
  <c r="J25" i="43" s="1"/>
  <c r="I26" i="43"/>
  <c r="I27" i="43"/>
  <c r="J27" i="43" s="1"/>
  <c r="I28" i="43"/>
  <c r="J28" i="43" s="1"/>
  <c r="J29" i="43"/>
  <c r="J30" i="43"/>
  <c r="J31" i="43"/>
  <c r="J32" i="43"/>
  <c r="J33" i="43"/>
  <c r="J34" i="43"/>
  <c r="J36" i="43"/>
  <c r="I23" i="43"/>
  <c r="J23" i="43" s="1"/>
  <c r="J136" i="32" l="1"/>
  <c r="K136" i="32" s="1"/>
  <c r="L136" i="32" s="1"/>
  <c r="J131" i="32"/>
  <c r="K131" i="32" s="1"/>
  <c r="L131" i="32" s="1"/>
  <c r="J127" i="32"/>
  <c r="K127" i="32" s="1"/>
  <c r="L127" i="32" s="1"/>
  <c r="J123" i="32"/>
  <c r="K123" i="32" s="1"/>
  <c r="L123" i="32" s="1"/>
  <c r="J92" i="32"/>
  <c r="K92" i="32" s="1"/>
  <c r="L92" i="32" s="1"/>
  <c r="J134" i="32"/>
  <c r="K134" i="32" s="1"/>
  <c r="L134" i="32" s="1"/>
  <c r="J129" i="32"/>
  <c r="K129" i="32" s="1"/>
  <c r="L129" i="32" s="1"/>
  <c r="J125" i="32"/>
  <c r="K125" i="32" s="1"/>
  <c r="L125" i="32" s="1"/>
  <c r="J132" i="32"/>
  <c r="K132" i="32" s="1"/>
  <c r="L132" i="32" s="1"/>
  <c r="J124" i="32"/>
  <c r="K124" i="32" s="1"/>
  <c r="L124" i="32" s="1"/>
  <c r="J133" i="32"/>
  <c r="K133" i="32" s="1"/>
  <c r="L133" i="32" s="1"/>
  <c r="J135" i="32"/>
  <c r="K135" i="32" s="1"/>
  <c r="L135" i="32" s="1"/>
  <c r="J130" i="32"/>
  <c r="K130" i="32" s="1"/>
  <c r="L130" i="32" s="1"/>
  <c r="J126" i="32"/>
  <c r="K126" i="32" s="1"/>
  <c r="L126" i="32" s="1"/>
  <c r="M42" i="46"/>
  <c r="P42" i="46" s="1"/>
  <c r="M14" i="46"/>
  <c r="P14" i="46" s="1"/>
  <c r="J35" i="43"/>
  <c r="J24" i="43"/>
  <c r="J26" i="43"/>
  <c r="M15" i="46"/>
  <c r="P15" i="46" s="1"/>
  <c r="M41" i="46"/>
  <c r="P41" i="46" s="1"/>
  <c r="G137" i="32"/>
  <c r="K137" i="32"/>
  <c r="L137" i="32" s="1"/>
  <c r="G89" i="32"/>
  <c r="J89" i="32"/>
  <c r="K89" i="32" s="1"/>
  <c r="L89" i="32" s="1"/>
  <c r="G80" i="32"/>
  <c r="J80" i="32"/>
  <c r="K80" i="32" s="1"/>
  <c r="L80" i="32" s="1"/>
  <c r="G81" i="32"/>
  <c r="J81" i="32"/>
  <c r="K81" i="32" s="1"/>
  <c r="L81" i="32" s="1"/>
  <c r="G122" i="32"/>
  <c r="J122" i="32"/>
  <c r="K122" i="32" s="1"/>
  <c r="L122" i="32" s="1"/>
  <c r="G99" i="32"/>
  <c r="J99" i="32"/>
  <c r="K99" i="32" s="1"/>
  <c r="L99" i="32" s="1"/>
  <c r="G86" i="32"/>
  <c r="J86" i="32"/>
  <c r="K86" i="32" s="1"/>
  <c r="L86" i="32" s="1"/>
  <c r="G97" i="32"/>
  <c r="J97" i="32"/>
  <c r="K97" i="32" s="1"/>
  <c r="L97" i="32" s="1"/>
  <c r="G83" i="32"/>
  <c r="J83" i="32"/>
  <c r="K83" i="32" s="1"/>
  <c r="L83" i="32" s="1"/>
  <c r="G82" i="32"/>
  <c r="K82" i="32"/>
  <c r="L82" i="32" s="1"/>
  <c r="G92" i="32"/>
  <c r="G128" i="32"/>
  <c r="K128" i="32"/>
  <c r="L128" i="32" s="1"/>
  <c r="G93" i="32"/>
  <c r="J93" i="32"/>
  <c r="K93" i="32" s="1"/>
  <c r="L93" i="32" s="1"/>
  <c r="L90" i="32"/>
  <c r="L120" i="32"/>
  <c r="L118" i="32"/>
  <c r="G118" i="32"/>
  <c r="G90" i="32"/>
  <c r="L121" i="32"/>
  <c r="L98" i="32"/>
  <c r="L88" i="32"/>
  <c r="L96" i="32"/>
  <c r="L84" i="32"/>
  <c r="G135" i="32"/>
  <c r="G130" i="32"/>
  <c r="G88" i="32"/>
  <c r="G129" i="32"/>
  <c r="G136" i="32"/>
  <c r="G91" i="32"/>
  <c r="L91" i="32"/>
  <c r="G94" i="32"/>
  <c r="L94" i="32"/>
  <c r="G125" i="32"/>
  <c r="L87" i="32"/>
  <c r="G87" i="32"/>
  <c r="L119" i="32"/>
  <c r="G119" i="32"/>
  <c r="G95" i="32"/>
  <c r="L95" i="32"/>
  <c r="G131" i="32"/>
  <c r="G123" i="32"/>
  <c r="G85" i="32"/>
  <c r="L85" i="32"/>
  <c r="G120" i="32"/>
  <c r="G96" i="32"/>
  <c r="G133" i="32"/>
  <c r="G132" i="32"/>
  <c r="G134" i="32"/>
  <c r="G84" i="32"/>
  <c r="G98" i="32"/>
  <c r="G127" i="32"/>
  <c r="G121" i="32"/>
  <c r="G124" i="32"/>
  <c r="G126" i="32"/>
  <c r="A9" i="49"/>
  <c r="A8" i="49"/>
  <c r="A6" i="49"/>
  <c r="A5" i="49"/>
  <c r="A7" i="49"/>
  <c r="A20" i="38"/>
  <c r="L165" i="32" l="1"/>
  <c r="L112" i="32"/>
  <c r="P44" i="46"/>
  <c r="J14" i="39" l="1"/>
  <c r="J44" i="39"/>
  <c r="J45" i="39"/>
  <c r="J48" i="39"/>
  <c r="J46" i="39"/>
  <c r="J50" i="39"/>
  <c r="J51" i="39"/>
  <c r="J49" i="39"/>
  <c r="J47" i="39"/>
  <c r="J78" i="39"/>
  <c r="J77" i="39"/>
  <c r="J76" i="39"/>
  <c r="J75" i="39"/>
  <c r="J74" i="39"/>
  <c r="J73" i="39"/>
  <c r="J72" i="39"/>
  <c r="J71" i="39"/>
  <c r="J70" i="39"/>
  <c r="J69" i="39"/>
  <c r="J68" i="39"/>
  <c r="J64" i="39"/>
  <c r="J63" i="39"/>
  <c r="J62" i="39"/>
  <c r="J61" i="39"/>
  <c r="J60" i="39"/>
  <c r="J59" i="39"/>
  <c r="J58" i="39"/>
  <c r="J57" i="39"/>
  <c r="J56" i="39"/>
  <c r="J55" i="39"/>
  <c r="J54" i="39"/>
  <c r="J53" i="39"/>
  <c r="J52" i="39"/>
  <c r="J66" i="39"/>
  <c r="J65" i="39"/>
  <c r="J43" i="39"/>
  <c r="J42" i="39"/>
  <c r="J41" i="39"/>
  <c r="J40" i="39"/>
  <c r="J39" i="39"/>
  <c r="J38" i="39"/>
  <c r="J67" i="39"/>
  <c r="J37" i="39"/>
  <c r="H28" i="38"/>
  <c r="J33" i="39"/>
  <c r="J29" i="39"/>
  <c r="J25" i="39"/>
  <c r="J26" i="39"/>
  <c r="J21" i="39"/>
  <c r="J18" i="39"/>
  <c r="J22" i="39"/>
  <c r="J19" i="39"/>
  <c r="J15" i="39"/>
  <c r="J35" i="39"/>
  <c r="J32" i="39"/>
  <c r="J28" i="39"/>
  <c r="J24" i="39"/>
  <c r="J20" i="39"/>
  <c r="J17" i="39"/>
  <c r="J31" i="39"/>
  <c r="J27" i="39"/>
  <c r="J23" i="39"/>
  <c r="J34" i="39"/>
  <c r="J30" i="39"/>
  <c r="J16" i="39"/>
  <c r="J36" i="39"/>
  <c r="J80" i="39" l="1"/>
  <c r="N14" i="39" l="1"/>
  <c r="N46" i="39" l="1"/>
  <c r="N48" i="39"/>
  <c r="N44" i="39"/>
  <c r="N49" i="39"/>
  <c r="N51" i="39"/>
  <c r="N45" i="39"/>
  <c r="N50" i="39"/>
  <c r="N47" i="39"/>
  <c r="N63" i="39"/>
  <c r="N76" i="39"/>
  <c r="N59" i="39"/>
  <c r="N38" i="39"/>
  <c r="N64" i="39"/>
  <c r="N61" i="39"/>
  <c r="N60" i="39"/>
  <c r="N39" i="39"/>
  <c r="N53" i="39"/>
  <c r="N75" i="39"/>
  <c r="N69" i="39"/>
  <c r="N65" i="39"/>
  <c r="N40" i="39"/>
  <c r="N56" i="39"/>
  <c r="N62" i="39"/>
  <c r="N52" i="39"/>
  <c r="N66" i="39"/>
  <c r="N42" i="39"/>
  <c r="N43" i="39"/>
  <c r="N71" i="39"/>
  <c r="N68" i="39"/>
  <c r="N73" i="39"/>
  <c r="N41" i="39"/>
  <c r="N37" i="39"/>
  <c r="N74" i="39"/>
  <c r="N57" i="39"/>
  <c r="N58" i="39"/>
  <c r="N54" i="39"/>
  <c r="N55" i="39"/>
  <c r="N70" i="39"/>
  <c r="N78" i="39"/>
  <c r="N67" i="39"/>
  <c r="N72" i="39"/>
  <c r="N77" i="39"/>
  <c r="K24" i="43"/>
  <c r="M24" i="43" s="1"/>
  <c r="N24" i="43" s="1"/>
  <c r="E21" i="39" s="1"/>
  <c r="I29" i="44" l="1"/>
  <c r="J29" i="44" s="1"/>
  <c r="F36" i="39" s="1"/>
  <c r="K29" i="43"/>
  <c r="M29" i="43" s="1"/>
  <c r="N29" i="43" s="1"/>
  <c r="E27" i="39" s="1"/>
  <c r="K35" i="43"/>
  <c r="M35" i="43" s="1"/>
  <c r="N35" i="43" s="1"/>
  <c r="E33" i="39" s="1"/>
  <c r="K30" i="43"/>
  <c r="M30" i="43" s="1"/>
  <c r="N30" i="43" s="1"/>
  <c r="E28" i="39" s="1"/>
  <c r="K33" i="43"/>
  <c r="M33" i="43" s="1"/>
  <c r="N33" i="43" s="1"/>
  <c r="E31" i="39" s="1"/>
  <c r="K31" i="43"/>
  <c r="M31" i="43" s="1"/>
  <c r="N31" i="43" s="1"/>
  <c r="E29" i="39" s="1"/>
  <c r="K36" i="43"/>
  <c r="M36" i="43" s="1"/>
  <c r="N36" i="43" s="1"/>
  <c r="E34" i="39" s="1"/>
  <c r="K27" i="43"/>
  <c r="M27" i="43" s="1"/>
  <c r="N27" i="43" s="1"/>
  <c r="E25" i="39" s="1"/>
  <c r="K25" i="43"/>
  <c r="M25" i="43" s="1"/>
  <c r="N25" i="43" s="1"/>
  <c r="E23" i="39" s="1"/>
  <c r="K32" i="43"/>
  <c r="M32" i="43" s="1"/>
  <c r="N32" i="43" s="1"/>
  <c r="E30" i="39" s="1"/>
  <c r="K23" i="43"/>
  <c r="M23" i="43" s="1"/>
  <c r="N23" i="43" s="1"/>
  <c r="E20" i="39" s="1"/>
  <c r="K34" i="43"/>
  <c r="M34" i="43" s="1"/>
  <c r="N34" i="43" s="1"/>
  <c r="E32" i="39" s="1"/>
  <c r="K28" i="43"/>
  <c r="M28" i="43" s="1"/>
  <c r="N28" i="43" s="1"/>
  <c r="E26" i="39" s="1"/>
  <c r="K26" i="43"/>
  <c r="M26" i="43" s="1"/>
  <c r="N26" i="43" s="1"/>
  <c r="E24" i="39" s="1"/>
  <c r="K18" i="39" l="1"/>
  <c r="I25" i="44"/>
  <c r="J25" i="44" s="1"/>
  <c r="F31" i="39" s="1"/>
  <c r="I18" i="44"/>
  <c r="J18" i="44" s="1"/>
  <c r="F23" i="39" s="1"/>
  <c r="I17" i="44"/>
  <c r="J17" i="44" s="1"/>
  <c r="F21" i="39" s="1"/>
  <c r="I20" i="44"/>
  <c r="J20" i="44" s="1"/>
  <c r="F26" i="39" s="1"/>
  <c r="L22" i="43"/>
  <c r="M22" i="43" s="1"/>
  <c r="N22" i="43" s="1"/>
  <c r="E18" i="39" s="1"/>
  <c r="I28" i="44"/>
  <c r="J28" i="44" s="1"/>
  <c r="F34" i="39" s="1"/>
  <c r="I22" i="44"/>
  <c r="J22" i="44" s="1"/>
  <c r="F28" i="39" s="1"/>
  <c r="I23" i="44"/>
  <c r="J23" i="44" s="1"/>
  <c r="F29" i="39" s="1"/>
  <c r="I26" i="44"/>
  <c r="J26" i="44" s="1"/>
  <c r="F32" i="39" s="1"/>
  <c r="I16" i="44"/>
  <c r="J16" i="44" s="1"/>
  <c r="F20" i="39" s="1"/>
  <c r="I21" i="44"/>
  <c r="J21" i="44" s="1"/>
  <c r="F27" i="39" s="1"/>
  <c r="I24" i="44"/>
  <c r="J24" i="44" s="1"/>
  <c r="F30" i="39" s="1"/>
  <c r="I27" i="44"/>
  <c r="J27" i="44" s="1"/>
  <c r="F33" i="39" s="1"/>
  <c r="I19" i="44"/>
  <c r="J19" i="44" s="1"/>
  <c r="F25" i="39" s="1"/>
  <c r="L21" i="43" l="1"/>
  <c r="M21" i="43" s="1"/>
  <c r="N21" i="43" s="1"/>
  <c r="E17" i="39" s="1"/>
  <c r="K33" i="39"/>
  <c r="K25" i="39"/>
  <c r="K26" i="39"/>
  <c r="K35" i="39"/>
  <c r="K32" i="39"/>
  <c r="K27" i="39"/>
  <c r="K24" i="39"/>
  <c r="K34" i="39"/>
  <c r="K17" i="39"/>
  <c r="L20" i="43"/>
  <c r="M20" i="43" s="1"/>
  <c r="N20" i="43" s="1"/>
  <c r="E16" i="39" s="1"/>
  <c r="L19" i="43"/>
  <c r="K28" i="39"/>
  <c r="K29" i="39"/>
  <c r="K21" i="39"/>
  <c r="K16" i="39"/>
  <c r="K23" i="39"/>
  <c r="K36" i="39"/>
  <c r="K20" i="39"/>
  <c r="K30" i="39"/>
  <c r="K31" i="39"/>
  <c r="M19" i="43" l="1"/>
  <c r="N19" i="43" s="1"/>
  <c r="K15" i="39"/>
  <c r="L67" i="50"/>
  <c r="J39" i="44"/>
  <c r="H18" i="38" s="1"/>
  <c r="H28" i="32"/>
  <c r="H42" i="32"/>
  <c r="H27" i="32"/>
  <c r="H32" i="32"/>
  <c r="E15" i="39" l="1"/>
  <c r="E80" i="39" s="1"/>
  <c r="N41" i="43"/>
  <c r="H16" i="38" s="1"/>
  <c r="N36" i="39"/>
  <c r="F80" i="39"/>
  <c r="K80" i="39"/>
  <c r="N35" i="39"/>
  <c r="H30" i="38"/>
  <c r="J32" i="32"/>
  <c r="K32" i="32" s="1"/>
  <c r="L32" i="32" s="1"/>
  <c r="G20" i="39" s="1"/>
  <c r="G32" i="32"/>
  <c r="G27" i="32"/>
  <c r="J27" i="32"/>
  <c r="K27" i="32" s="1"/>
  <c r="L27" i="32" s="1"/>
  <c r="G15" i="39" s="1"/>
  <c r="G28" i="32"/>
  <c r="J28" i="32"/>
  <c r="K28" i="32" s="1"/>
  <c r="L28" i="32" s="1"/>
  <c r="G16" i="39" s="1"/>
  <c r="J42" i="32"/>
  <c r="K42" i="32" s="1"/>
  <c r="L42" i="32" s="1"/>
  <c r="G30" i="39" s="1"/>
  <c r="G42" i="32"/>
  <c r="H41" i="32"/>
  <c r="H43" i="32"/>
  <c r="H33" i="32"/>
  <c r="H45" i="32"/>
  <c r="H29" i="32"/>
  <c r="H31" i="32"/>
  <c r="H46" i="32"/>
  <c r="H44" i="32"/>
  <c r="H36" i="32"/>
  <c r="H30" i="32"/>
  <c r="N30" i="39" l="1"/>
  <c r="N20" i="39"/>
  <c r="N16" i="39"/>
  <c r="H38" i="32"/>
  <c r="H37" i="32"/>
  <c r="H35" i="32"/>
  <c r="H40" i="32"/>
  <c r="H39" i="32"/>
  <c r="H34" i="32"/>
  <c r="J29" i="32"/>
  <c r="K29" i="32" s="1"/>
  <c r="L29" i="32" s="1"/>
  <c r="G17" i="39" s="1"/>
  <c r="G29" i="32"/>
  <c r="J44" i="32"/>
  <c r="K44" i="32" s="1"/>
  <c r="L44" i="32" s="1"/>
  <c r="G32" i="39" s="1"/>
  <c r="G44" i="32"/>
  <c r="J33" i="32"/>
  <c r="K33" i="32" s="1"/>
  <c r="L33" i="32" s="1"/>
  <c r="G21" i="39" s="1"/>
  <c r="G33" i="32"/>
  <c r="G31" i="32"/>
  <c r="J31" i="32"/>
  <c r="K31" i="32" s="1"/>
  <c r="L31" i="32" s="1"/>
  <c r="G19" i="39" s="1"/>
  <c r="J36" i="32"/>
  <c r="K36" i="32" s="1"/>
  <c r="L36" i="32" s="1"/>
  <c r="G24" i="39" s="1"/>
  <c r="G36" i="32"/>
  <c r="G46" i="32"/>
  <c r="J46" i="32"/>
  <c r="K46" i="32" s="1"/>
  <c r="L46" i="32" s="1"/>
  <c r="G34" i="39" s="1"/>
  <c r="J45" i="32"/>
  <c r="K45" i="32" s="1"/>
  <c r="L45" i="32" s="1"/>
  <c r="G33" i="39" s="1"/>
  <c r="G45" i="32"/>
  <c r="G41" i="32"/>
  <c r="J41" i="32"/>
  <c r="K41" i="32" s="1"/>
  <c r="L41" i="32" s="1"/>
  <c r="G29" i="39" s="1"/>
  <c r="G43" i="32"/>
  <c r="J43" i="32"/>
  <c r="K43" i="32" s="1"/>
  <c r="L43" i="32" s="1"/>
  <c r="G31" i="39" s="1"/>
  <c r="G30" i="32"/>
  <c r="J30" i="32"/>
  <c r="K30" i="32" s="1"/>
  <c r="L30" i="32" s="1"/>
  <c r="G18" i="39" s="1"/>
  <c r="N15" i="39" l="1"/>
  <c r="N33" i="39"/>
  <c r="N24" i="39"/>
  <c r="N21" i="39"/>
  <c r="N32" i="39"/>
  <c r="N17" i="39"/>
  <c r="N18" i="39"/>
  <c r="N31" i="39"/>
  <c r="N29" i="39"/>
  <c r="N34" i="39"/>
  <c r="N19" i="39"/>
  <c r="J39" i="32"/>
  <c r="K39" i="32" s="1"/>
  <c r="L39" i="32" s="1"/>
  <c r="G27" i="39" s="1"/>
  <c r="G39" i="32"/>
  <c r="J38" i="32"/>
  <c r="K38" i="32" s="1"/>
  <c r="L38" i="32" s="1"/>
  <c r="G26" i="39" s="1"/>
  <c r="G38" i="32"/>
  <c r="J34" i="32"/>
  <c r="K34" i="32" s="1"/>
  <c r="L34" i="32" s="1"/>
  <c r="G22" i="39" s="1"/>
  <c r="G34" i="32"/>
  <c r="J35" i="32"/>
  <c r="K35" i="32" s="1"/>
  <c r="L35" i="32" s="1"/>
  <c r="G23" i="39" s="1"/>
  <c r="G35" i="32"/>
  <c r="J37" i="32"/>
  <c r="K37" i="32" s="1"/>
  <c r="L37" i="32" s="1"/>
  <c r="G25" i="39" s="1"/>
  <c r="G37" i="32"/>
  <c r="J40" i="32"/>
  <c r="K40" i="32" s="1"/>
  <c r="L40" i="32" s="1"/>
  <c r="G28" i="39" s="1"/>
  <c r="G40" i="32"/>
  <c r="G80" i="39" l="1"/>
  <c r="L74" i="32"/>
  <c r="N25" i="39"/>
  <c r="N22" i="39"/>
  <c r="N27" i="39"/>
  <c r="N28" i="39"/>
  <c r="N23" i="39"/>
  <c r="N26" i="39"/>
  <c r="L193" i="32"/>
  <c r="H20" i="38" s="1"/>
  <c r="N80" i="39" l="1"/>
  <c r="H38" i="38"/>
  <c r="H39" i="38" l="1"/>
  <c r="H40" i="38" l="1"/>
</calcChain>
</file>

<file path=xl/sharedStrings.xml><?xml version="1.0" encoding="utf-8"?>
<sst xmlns="http://schemas.openxmlformats.org/spreadsheetml/2006/main" count="17753" uniqueCount="2121">
  <si>
    <t>Perceel</t>
  </si>
  <si>
    <t>lift</t>
  </si>
  <si>
    <t>Invoervelden</t>
  </si>
  <si>
    <t>Naam opdrachtgever</t>
  </si>
  <si>
    <t>Gebouw/plaats</t>
  </si>
  <si>
    <t>Totaal</t>
  </si>
  <si>
    <t>Naam leverancier</t>
  </si>
  <si>
    <t>Prijspeil</t>
  </si>
  <si>
    <t>Calculatie onderdeel</t>
  </si>
  <si>
    <t>Besteknummer</t>
  </si>
  <si>
    <t>Freq</t>
  </si>
  <si>
    <t>OPMERKING/ AANDACHTSPUNT</t>
  </si>
  <si>
    <t>beton</t>
  </si>
  <si>
    <t>Lijn</t>
  </si>
  <si>
    <t>0 1001</t>
  </si>
  <si>
    <t>1 0102</t>
  </si>
  <si>
    <t>0 0201</t>
  </si>
  <si>
    <t>berging</t>
  </si>
  <si>
    <t>roltrap</t>
  </si>
  <si>
    <t>Beton</t>
  </si>
  <si>
    <t>gang</t>
  </si>
  <si>
    <t>Reigersbos</t>
  </si>
  <si>
    <t>Oostlijn bovengronds</t>
  </si>
  <si>
    <t>hal oost</t>
  </si>
  <si>
    <t>oost</t>
  </si>
  <si>
    <t>hal west</t>
  </si>
  <si>
    <t>west</t>
  </si>
  <si>
    <t>voorruimte toilet</t>
  </si>
  <si>
    <t>toegang kelder</t>
  </si>
  <si>
    <t>Steeg No</t>
  </si>
  <si>
    <t>Steeg Zo</t>
  </si>
  <si>
    <t>Telecomruimte</t>
  </si>
  <si>
    <t>UPS Ruimte</t>
  </si>
  <si>
    <t>Ook met nr: 0.05.201</t>
  </si>
  <si>
    <t>Telecomruimte/ BMK</t>
  </si>
  <si>
    <t>Laagspannings/ hoofdverdeelruimte</t>
  </si>
  <si>
    <t>Laagspanningsverdeelruimte</t>
  </si>
  <si>
    <t>Traforuimte</t>
  </si>
  <si>
    <t>Kantoor Schoonmaak (Pantry)</t>
  </si>
  <si>
    <t>Kantoor Schoonmaak</t>
  </si>
  <si>
    <t>Containerruimte</t>
  </si>
  <si>
    <t>Schoonmaakruimte</t>
  </si>
  <si>
    <t>Toilet (MIVA)</t>
  </si>
  <si>
    <t>Installatieruimte luchtbehandeling</t>
  </si>
  <si>
    <t>Coating</t>
  </si>
  <si>
    <t>Liftmachinekamer 34</t>
  </si>
  <si>
    <t>Lift 34</t>
  </si>
  <si>
    <t>Roltrapserviceruimte entree 34</t>
  </si>
  <si>
    <t>Ventilatieruimte</t>
  </si>
  <si>
    <t>Roltrapserviceruimte entree 31</t>
  </si>
  <si>
    <t>Liftmachinekamer 31</t>
  </si>
  <si>
    <t>Lift 31</t>
  </si>
  <si>
    <t>Roltrapserviceruimte boven 34</t>
  </si>
  <si>
    <t>Opslag (SB)</t>
  </si>
  <si>
    <t>Perron</t>
  </si>
  <si>
    <t>Roltrapserviceruimte 31</t>
  </si>
  <si>
    <t>Roltrapserviceruimte onder 34</t>
  </si>
  <si>
    <t>Trap oost</t>
  </si>
  <si>
    <t>?</t>
  </si>
  <si>
    <t>niet op plattegrond, m2 uit oud calculatiebestand</t>
  </si>
  <si>
    <t>Trap west</t>
  </si>
  <si>
    <t>Roltrap oost</t>
  </si>
  <si>
    <t>Roltrap west</t>
  </si>
  <si>
    <t>0 0101</t>
  </si>
  <si>
    <t>Trap</t>
  </si>
  <si>
    <t>liftmachinekamer</t>
  </si>
  <si>
    <t>0 1002</t>
  </si>
  <si>
    <t>perron</t>
  </si>
  <si>
    <t>steen</t>
  </si>
  <si>
    <t>telecomruimte</t>
  </si>
  <si>
    <t>schoonmaakruimte</t>
  </si>
  <si>
    <t>hal</t>
  </si>
  <si>
    <t>linoleum</t>
  </si>
  <si>
    <t>Gein</t>
  </si>
  <si>
    <t>Oostlijn Bovengronds</t>
  </si>
  <si>
    <t>nvt</t>
  </si>
  <si>
    <t>garderobe</t>
  </si>
  <si>
    <t>hoofd</t>
  </si>
  <si>
    <t>accuruimte S en T</t>
  </si>
  <si>
    <t>relaisruimte</t>
  </si>
  <si>
    <t>rekenmachinekamer</t>
  </si>
  <si>
    <t>gelijkrichtersruimte</t>
  </si>
  <si>
    <t>laagspanningsverdeelruimte</t>
  </si>
  <si>
    <t>traforuimte</t>
  </si>
  <si>
    <t>vuilopslag</t>
  </si>
  <si>
    <t>berging exploitatie</t>
  </si>
  <si>
    <t>toilet heren</t>
  </si>
  <si>
    <t>toilet dames</t>
  </si>
  <si>
    <t>roltrap serviceruimte</t>
  </si>
  <si>
    <t>ruimte werktuigen</t>
  </si>
  <si>
    <t>luchtbehandelingsruimte</t>
  </si>
  <si>
    <t>Berging werktuigen</t>
  </si>
  <si>
    <t>Berging exploitatie 2</t>
  </si>
  <si>
    <t>Sektie Schakelruimte E.I.</t>
  </si>
  <si>
    <t>werkplaats S en T</t>
  </si>
  <si>
    <t>pvr</t>
  </si>
  <si>
    <t>trap naar perron</t>
  </si>
  <si>
    <t>Trappen</t>
  </si>
  <si>
    <t>roltrap naar perron</t>
  </si>
  <si>
    <t>lift 31</t>
  </si>
  <si>
    <t>lift 34</t>
  </si>
  <si>
    <t>34</t>
  </si>
  <si>
    <t>niet op plattegrond, m2 uit MJOB</t>
  </si>
  <si>
    <t>Strandvliet</t>
  </si>
  <si>
    <t>Trap noordzijde</t>
  </si>
  <si>
    <t>Trap zuidzijde</t>
  </si>
  <si>
    <t>Roltrap noordzijde</t>
  </si>
  <si>
    <t>Roltrap zuidzijde</t>
  </si>
  <si>
    <t>Hal zuid</t>
  </si>
  <si>
    <t>Tegels</t>
  </si>
  <si>
    <t>Hal noord</t>
  </si>
  <si>
    <t>Gang</t>
  </si>
  <si>
    <t>Voorportaal E.I.</t>
  </si>
  <si>
    <t>Beton (coating)</t>
  </si>
  <si>
    <t>Signaleringsruimte + UPS</t>
  </si>
  <si>
    <t>Telecommunicatieruimte</t>
  </si>
  <si>
    <t>Accuruimte E.I.</t>
  </si>
  <si>
    <t>Laagspanningsverdeeltuimte 1</t>
  </si>
  <si>
    <t>Laagspanningsverdeeltuimte 2</t>
  </si>
  <si>
    <t>Vuilopslag</t>
  </si>
  <si>
    <t>Toilet dames</t>
  </si>
  <si>
    <t>Toilet heren</t>
  </si>
  <si>
    <t>Toegang roltrapserviceruimte</t>
  </si>
  <si>
    <t>Liftmachinekamer</t>
  </si>
  <si>
    <t xml:space="preserve">Lift </t>
  </si>
  <si>
    <t>Lift</t>
  </si>
  <si>
    <t>Magazijn E.I.</t>
  </si>
  <si>
    <t>Berging SB</t>
  </si>
  <si>
    <t>Berging</t>
  </si>
  <si>
    <t>Personeelsverblijfruimte</t>
  </si>
  <si>
    <t>Bovenste roltrapserviceruimte</t>
  </si>
  <si>
    <t>Onderste roltrapserviceruimte</t>
  </si>
  <si>
    <t>Noord</t>
  </si>
  <si>
    <t>Zuid</t>
  </si>
  <si>
    <t xml:space="preserve">Zuid Er staat ook nog 48m2 metselwerk in de MJOB, al het metselwerk is geschilderd. </t>
  </si>
  <si>
    <t>Zuid, staat vol lichtbakken? Staan geen accu's</t>
  </si>
  <si>
    <t>Zuid. Er staat een afwijkend nummer op de deur 348?</t>
  </si>
  <si>
    <t xml:space="preserve">LMK is er wel, maar er is geen lift aan deze zijde. Geen apparatuur of afwerking in deze ruimte.  </t>
  </si>
  <si>
    <t xml:space="preserve">Noord, geen lift aanwezig. </t>
  </si>
  <si>
    <t xml:space="preserve">Zuid. Er staat 0.1301 op de plattegrond. Betreft een accuruimte. </t>
  </si>
  <si>
    <t>Bullewijk</t>
  </si>
  <si>
    <t xml:space="preserve">Onderste roltrapservice ruimte </t>
  </si>
  <si>
    <t>beton (coating)</t>
  </si>
  <si>
    <t>Hal</t>
  </si>
  <si>
    <t>Garderobe</t>
  </si>
  <si>
    <t>Voorportaal</t>
  </si>
  <si>
    <t>Telecommunicatie ruimte</t>
  </si>
  <si>
    <t>Gelijkrichter ruimte</t>
  </si>
  <si>
    <t>epoxy</t>
  </si>
  <si>
    <t>Roltrapserviceruimte (voorportaal)</t>
  </si>
  <si>
    <t>Liftmachinekamer (leeg, geen lift)</t>
  </si>
  <si>
    <t>Lift (geen lift aanwezig)</t>
  </si>
  <si>
    <t>Personeelsverblijf</t>
  </si>
  <si>
    <t>leeg (ruimte bij entree)</t>
  </si>
  <si>
    <t>Voorportaal S en T 3</t>
  </si>
  <si>
    <t>Accuruimte S en T</t>
  </si>
  <si>
    <t>Relaisruimte</t>
  </si>
  <si>
    <t>Bovenste roltrapserviceruimte 1</t>
  </si>
  <si>
    <t>Bovenste roltrapserviceruimte 2</t>
  </si>
  <si>
    <t>Luchtbehandelingsruimte</t>
  </si>
  <si>
    <t>coating</t>
  </si>
  <si>
    <t>Trap noord</t>
  </si>
  <si>
    <t>Trap zuid</t>
  </si>
  <si>
    <t xml:space="preserve">Roltrap </t>
  </si>
  <si>
    <t>Roltrap</t>
  </si>
  <si>
    <t>Weesperplein</t>
  </si>
  <si>
    <t>Staal (rooster)</t>
  </si>
  <si>
    <t>Vluchtweg</t>
  </si>
  <si>
    <t>Roltrapserviceruimte</t>
  </si>
  <si>
    <t>geen</t>
  </si>
  <si>
    <t>1-1901</t>
  </si>
  <si>
    <t>1-1902</t>
  </si>
  <si>
    <t>1-1903</t>
  </si>
  <si>
    <t>1-1904</t>
  </si>
  <si>
    <t>Geen</t>
  </si>
  <si>
    <t>Dienstgang</t>
  </si>
  <si>
    <t>Marmoleum</t>
  </si>
  <si>
    <t>Laagspanningsruimte</t>
  </si>
  <si>
    <t>Gelijkrichtersruimte</t>
  </si>
  <si>
    <t>Stations deel</t>
  </si>
  <si>
    <t>Oostlijn ondergronds</t>
  </si>
  <si>
    <t>Gaasperplas</t>
  </si>
  <si>
    <t>0 0202</t>
  </si>
  <si>
    <t>0 0203</t>
  </si>
  <si>
    <t>Accuruimte</t>
  </si>
  <si>
    <t>Laagspanning onderverdeelruimte</t>
  </si>
  <si>
    <t>Sektie schakelruimte</t>
  </si>
  <si>
    <t>Berging schoonmaak</t>
  </si>
  <si>
    <t>0 0802</t>
  </si>
  <si>
    <t>Roltrap ruimte</t>
  </si>
  <si>
    <t>Liftmachine ruimte</t>
  </si>
  <si>
    <t>0 1004</t>
  </si>
  <si>
    <t>Werkplaats E.I.</t>
  </si>
  <si>
    <t>Personeelsverblijf ruimte</t>
  </si>
  <si>
    <t>0 1901</t>
  </si>
  <si>
    <t>Opslag S&amp;C</t>
  </si>
  <si>
    <t>0 1905</t>
  </si>
  <si>
    <t>1 0103</t>
  </si>
  <si>
    <t>Verrijn Stuartweg</t>
  </si>
  <si>
    <t>Liftmachineruimte</t>
  </si>
  <si>
    <t>1-1001</t>
  </si>
  <si>
    <t>Onderste Roltrapserviceruimte</t>
  </si>
  <si>
    <t>1-1002</t>
  </si>
  <si>
    <t>Accu- en opslagruimte</t>
  </si>
  <si>
    <t>Damestoilet</t>
  </si>
  <si>
    <t>Herentoilet</t>
  </si>
  <si>
    <t>Toegang Roltrapserviceruimten</t>
  </si>
  <si>
    <t>0 1907</t>
  </si>
  <si>
    <t>Werkkast</t>
  </si>
  <si>
    <t>0 1908</t>
  </si>
  <si>
    <t>Trap hal/perron</t>
  </si>
  <si>
    <t>Bovenste Roltrapserviceruimte</t>
  </si>
  <si>
    <t>Diemen-zuid</t>
  </si>
  <si>
    <t>1-0202</t>
  </si>
  <si>
    <t>Signaleringsruimte</t>
  </si>
  <si>
    <t>Telecom ruimte</t>
  </si>
  <si>
    <t>1-0401</t>
  </si>
  <si>
    <t>1-1003</t>
  </si>
  <si>
    <t>Container opslag</t>
  </si>
  <si>
    <t>Watermeterput</t>
  </si>
  <si>
    <t>Kruipruimte hal</t>
  </si>
  <si>
    <t>Kelder traforuimte</t>
  </si>
  <si>
    <t>Kelder laagspanningsruimte</t>
  </si>
  <si>
    <t>Fietsenstalling</t>
  </si>
  <si>
    <t>0 0102</t>
  </si>
  <si>
    <t>Rekenmachineruimte</t>
  </si>
  <si>
    <t xml:space="preserve">Liftmachineruimte </t>
  </si>
  <si>
    <t>ventilatieruimte</t>
  </si>
  <si>
    <t xml:space="preserve">Roltrapserviceruimte midden </t>
  </si>
  <si>
    <t>Personeelsruimte</t>
  </si>
  <si>
    <t>Bordes</t>
  </si>
  <si>
    <t>0 1906</t>
  </si>
  <si>
    <t>Leeg</t>
  </si>
  <si>
    <t>Opslag S&amp;B</t>
  </si>
  <si>
    <t>Bovenste roltrapmachineruimte</t>
  </si>
  <si>
    <t>Kruipruimte perron</t>
  </si>
  <si>
    <t>Kruipruimte Trap</t>
  </si>
  <si>
    <t>2 0103</t>
  </si>
  <si>
    <t>Venserpolder</t>
  </si>
  <si>
    <t>Kelder 3</t>
  </si>
  <si>
    <t>Kelder 1</t>
  </si>
  <si>
    <t>Kabelschacht 1</t>
  </si>
  <si>
    <t>Kruipruimte onder hal</t>
  </si>
  <si>
    <t>Kelder 4</t>
  </si>
  <si>
    <t>Vuilopslagruimte</t>
  </si>
  <si>
    <t>Heren toilet</t>
  </si>
  <si>
    <t>Dames toilet</t>
  </si>
  <si>
    <t>Kruipruimte 2</t>
  </si>
  <si>
    <t>Trappenhuis</t>
  </si>
  <si>
    <t>Kast</t>
  </si>
  <si>
    <t>Kabelschacht 2</t>
  </si>
  <si>
    <t>Zuid (Plafond geschilderd 5,4 m2)</t>
  </si>
  <si>
    <t>Noord (Plafond geschilderd 13,1m2)</t>
  </si>
  <si>
    <t>Zuid (Plafond geschilderd 13,1m2)</t>
  </si>
  <si>
    <t>Landhoofd</t>
  </si>
  <si>
    <t>Van der Madeweg</t>
  </si>
  <si>
    <t>Perron Oost</t>
  </si>
  <si>
    <t>Perron West</t>
  </si>
  <si>
    <t>Trap Oost</t>
  </si>
  <si>
    <t>Trap West</t>
  </si>
  <si>
    <t>Roltrap Oost</t>
  </si>
  <si>
    <t>Roltrap West</t>
  </si>
  <si>
    <t>Kantine</t>
  </si>
  <si>
    <t>Kaartverkoop</t>
  </si>
  <si>
    <t>Signaleringsruimte 1</t>
  </si>
  <si>
    <t>Sectieschakelruimte</t>
  </si>
  <si>
    <t>Roltrap Serviceruimte</t>
  </si>
  <si>
    <t>Liftpompruimte 1</t>
  </si>
  <si>
    <t>Roltrap Serviceruimte 2</t>
  </si>
  <si>
    <t>Liftpompruimte 2</t>
  </si>
  <si>
    <t>Lift 1</t>
  </si>
  <si>
    <t>Lift 2</t>
  </si>
  <si>
    <t>Lift 3</t>
  </si>
  <si>
    <t>Liftpompruimte 3</t>
  </si>
  <si>
    <t>Opslag Otis</t>
  </si>
  <si>
    <t>Watermeterkast</t>
  </si>
  <si>
    <t>Toegangstrap</t>
  </si>
  <si>
    <t>Luik</t>
  </si>
  <si>
    <t>m2 wand niet nagemeten, uit MJOB.</t>
  </si>
  <si>
    <t>Ruimte is opgesplitst. Bereikbare gedeelte 48,8 m2 vloer en 36,0 m2 wand onbehandeld</t>
  </si>
  <si>
    <t>Perron oost</t>
  </si>
  <si>
    <t>Perron west</t>
  </si>
  <si>
    <t>Vuilopslag/schoonmakersruimte</t>
  </si>
  <si>
    <t>Opslag EV</t>
  </si>
  <si>
    <t>Magazijn SB</t>
  </si>
  <si>
    <t>Kabelschacht</t>
  </si>
  <si>
    <t>Niet makkelijk toegankelijk, doet schoonmaak niks mee</t>
  </si>
  <si>
    <t>m2 wand uit MJOB, compleet?</t>
  </si>
  <si>
    <t>Oude toiletten niet meegerekend enkel voorportaal + ticket. Toilet: V=1,2 m2 lino *2 W=11,5 m2 tegel *2</t>
  </si>
  <si>
    <t>Spaklerweg</t>
  </si>
  <si>
    <t>Station nummer</t>
  </si>
  <si>
    <t>Station</t>
  </si>
  <si>
    <t>dienstgang</t>
  </si>
  <si>
    <t>telecom</t>
  </si>
  <si>
    <t>M2 plafond
kaal</t>
  </si>
  <si>
    <t>M2 plafond
geschilderd</t>
  </si>
  <si>
    <t>M2 perron kap</t>
  </si>
  <si>
    <t>Diemen Zuid</t>
  </si>
  <si>
    <t>31</t>
  </si>
  <si>
    <t>Traanplaat</t>
  </si>
  <si>
    <t>Verbindingstrap roltrapserviceruimte</t>
  </si>
  <si>
    <t>Kraaiennest</t>
  </si>
  <si>
    <t>Noodtrappenhuis</t>
  </si>
  <si>
    <t>Dienstgang (trappenhuis)</t>
  </si>
  <si>
    <t>UPS ruimte</t>
  </si>
  <si>
    <t>Hoogspanningsruimte</t>
  </si>
  <si>
    <t>Schoonmaak ruimte</t>
  </si>
  <si>
    <t>Opslag SB</t>
  </si>
  <si>
    <t>Ventilatie ruimte</t>
  </si>
  <si>
    <t>Toilet</t>
  </si>
  <si>
    <t>3 0102</t>
  </si>
  <si>
    <t>Ganzenhoef</t>
  </si>
  <si>
    <t>Roltrap 14</t>
  </si>
  <si>
    <t>Roltrap 34</t>
  </si>
  <si>
    <t>Roltrap 24</t>
  </si>
  <si>
    <t>Liftmachinekamer 1 (34)</t>
  </si>
  <si>
    <t xml:space="preserve">Ruimte is dichtgezet. </t>
  </si>
  <si>
    <t>wand afwerking zit in gang/hal</t>
  </si>
  <si>
    <t>houten plafond</t>
  </si>
  <si>
    <t>hout</t>
  </si>
  <si>
    <t>leeg</t>
  </si>
  <si>
    <t>Kelder trap en relaisruimte</t>
  </si>
  <si>
    <t>Kelder laagspanningsverdeelruimte</t>
  </si>
  <si>
    <t>Kelder accuruimte</t>
  </si>
  <si>
    <t>Kelder natte ruimte</t>
  </si>
  <si>
    <t>Trap bordes m2 verwerkt in ruimte er onder 1-0201</t>
  </si>
  <si>
    <t>m2 verwerkt in de onder en bovenste roltrapruimte 1-1001 en 1 1005</t>
  </si>
  <si>
    <t>Glas in glasstaat</t>
  </si>
  <si>
    <t>Tussen niveau</t>
  </si>
  <si>
    <t>Vluchttrap tussenniveau - Zuidstuw</t>
  </si>
  <si>
    <t>Vluchttrap maaiveld - Tussenniveau</t>
  </si>
  <si>
    <t>Vluchttrap Tussenniveau - Zuidstuw</t>
  </si>
  <si>
    <t>RWA-Regelkastruimte</t>
  </si>
  <si>
    <t>RWA- Ruimte</t>
  </si>
  <si>
    <t>RWA-Ruimte</t>
  </si>
  <si>
    <t>Fietsenmaker</t>
  </si>
  <si>
    <t>Fietsenmaker (trap)</t>
  </si>
  <si>
    <t>Overig (zaagloods S&amp;B)</t>
  </si>
  <si>
    <t>Overig (zaagloods S&amp;B) toiletruimte 1-1902</t>
  </si>
  <si>
    <t>1-0253</t>
  </si>
  <si>
    <t>1-0254</t>
  </si>
  <si>
    <t>1-0255</t>
  </si>
  <si>
    <t>1-0256</t>
  </si>
  <si>
    <t>1-10.514</t>
  </si>
  <si>
    <t>1-10.515</t>
  </si>
  <si>
    <t>1-10.516</t>
  </si>
  <si>
    <t>1-10.517</t>
  </si>
  <si>
    <t>1-10.518</t>
  </si>
  <si>
    <t>1-10.601</t>
  </si>
  <si>
    <t>1-1701</t>
  </si>
  <si>
    <t>1-1702</t>
  </si>
  <si>
    <t>1-1703</t>
  </si>
  <si>
    <t>1-1704</t>
  </si>
  <si>
    <t>1-1705</t>
  </si>
  <si>
    <t>1-1706</t>
  </si>
  <si>
    <t>roosters als dak</t>
  </si>
  <si>
    <t>geen geboden toegang</t>
  </si>
  <si>
    <t>houten separatiewanden niet opgenomen</t>
  </si>
  <si>
    <t>Hal niveau</t>
  </si>
  <si>
    <t>Publieksroltrap Uitgang Sarphatistraat - Hal</t>
  </si>
  <si>
    <t>2-0101</t>
  </si>
  <si>
    <t>Publiekstrap Uitgang Sarphatistraat - Hal</t>
  </si>
  <si>
    <t>2-0103</t>
  </si>
  <si>
    <t>2-0102</t>
  </si>
  <si>
    <t>Verdeelhal</t>
  </si>
  <si>
    <t>Publiekltrap Uitgang Stadstimmertuin - Hal</t>
  </si>
  <si>
    <t>2-0104</t>
  </si>
  <si>
    <t>2-0105</t>
  </si>
  <si>
    <t>2-0106</t>
  </si>
  <si>
    <t>Publiekstrap Sarphatistraat</t>
  </si>
  <si>
    <t>2-0107</t>
  </si>
  <si>
    <t>2-0108</t>
  </si>
  <si>
    <t>2-0109</t>
  </si>
  <si>
    <t>2-0110</t>
  </si>
  <si>
    <t>Publieksroltrap Hal - Perron</t>
  </si>
  <si>
    <t>2-0111</t>
  </si>
  <si>
    <t>Publiekstrap Hal - Perron</t>
  </si>
  <si>
    <t>2-0112</t>
  </si>
  <si>
    <t>Vluchttrap Hal - Perron</t>
  </si>
  <si>
    <t>2-0113</t>
  </si>
  <si>
    <t>Publiekstroltrap Hal - Perron</t>
  </si>
  <si>
    <t>2-0115</t>
  </si>
  <si>
    <t>2-0116</t>
  </si>
  <si>
    <t>2-0117</t>
  </si>
  <si>
    <t>Lift 02 Uitgang Sarphatistraat - Hal</t>
  </si>
  <si>
    <t>02</t>
  </si>
  <si>
    <t>Lift 13 Hal - Perron</t>
  </si>
  <si>
    <t>13</t>
  </si>
  <si>
    <t>Lift 23 Hal - Perron</t>
  </si>
  <si>
    <t>23</t>
  </si>
  <si>
    <t>2-0202</t>
  </si>
  <si>
    <t>2-0201</t>
  </si>
  <si>
    <t>2-0204</t>
  </si>
  <si>
    <t>2-0203</t>
  </si>
  <si>
    <t>2-0205</t>
  </si>
  <si>
    <t>2-0206</t>
  </si>
  <si>
    <t>Vluchttrap Perron - Noordstuw</t>
  </si>
  <si>
    <t>2-0220</t>
  </si>
  <si>
    <t>2-0207</t>
  </si>
  <si>
    <t>2-0221</t>
  </si>
  <si>
    <t>2-0208</t>
  </si>
  <si>
    <t>2-0222</t>
  </si>
  <si>
    <t>2-1908</t>
  </si>
  <si>
    <t>2-0223</t>
  </si>
  <si>
    <t>Vluchttrap Maaiveld - Noordstuw</t>
  </si>
  <si>
    <t>2-0224</t>
  </si>
  <si>
    <t>2-0225</t>
  </si>
  <si>
    <t>2-0226</t>
  </si>
  <si>
    <t>Vluchttrap Hal - Noordstuw</t>
  </si>
  <si>
    <t>2-0227</t>
  </si>
  <si>
    <t>Dienstrap Noordstuw - Vluchtweg</t>
  </si>
  <si>
    <t>2-0236</t>
  </si>
  <si>
    <t>2-0237</t>
  </si>
  <si>
    <t>Vluchttrap Zuidstuw - Perron</t>
  </si>
  <si>
    <t>2-0251</t>
  </si>
  <si>
    <t>2-0252</t>
  </si>
  <si>
    <t>2-0253</t>
  </si>
  <si>
    <t>2-0256</t>
  </si>
  <si>
    <t>2-0257</t>
  </si>
  <si>
    <t>2-0258</t>
  </si>
  <si>
    <t>Rekenmachinekamer</t>
  </si>
  <si>
    <t>2-03.101</t>
  </si>
  <si>
    <t>2-03.102</t>
  </si>
  <si>
    <t>Telecommunicatie</t>
  </si>
  <si>
    <t>2-04.101</t>
  </si>
  <si>
    <t>Laagspannings- / Hoofdverdeelruimte</t>
  </si>
  <si>
    <t>2-05.101</t>
  </si>
  <si>
    <t>2-05.102</t>
  </si>
  <si>
    <t>UPS</t>
  </si>
  <si>
    <t>2-05.301</t>
  </si>
  <si>
    <t>UPS, accu</t>
  </si>
  <si>
    <t>2-05.302</t>
  </si>
  <si>
    <t>2-05.303</t>
  </si>
  <si>
    <t>2-05.304</t>
  </si>
  <si>
    <t>Voorruimte Traforuimtes</t>
  </si>
  <si>
    <t>2-0601</t>
  </si>
  <si>
    <t>Traforuimte 1</t>
  </si>
  <si>
    <t>2-0602</t>
  </si>
  <si>
    <t>Traforuimte 2</t>
  </si>
  <si>
    <t>2-0603</t>
  </si>
  <si>
    <t>TR2000 Ruimte</t>
  </si>
  <si>
    <t>2-07.201</t>
  </si>
  <si>
    <t>2-0801</t>
  </si>
  <si>
    <t>2-0803</t>
  </si>
  <si>
    <t>2-0802</t>
  </si>
  <si>
    <t>2-0804</t>
  </si>
  <si>
    <t>2-08.101</t>
  </si>
  <si>
    <t>Toiletruimte</t>
  </si>
  <si>
    <t>2-0901</t>
  </si>
  <si>
    <t>2-0902</t>
  </si>
  <si>
    <t>2-0903</t>
  </si>
  <si>
    <t>2-0904</t>
  </si>
  <si>
    <t>2-0905</t>
  </si>
  <si>
    <t>2-0906</t>
  </si>
  <si>
    <t>2-0907</t>
  </si>
  <si>
    <t>2-0908</t>
  </si>
  <si>
    <t>2-1711</t>
  </si>
  <si>
    <t>2-0909</t>
  </si>
  <si>
    <t>2-1712</t>
  </si>
  <si>
    <t>2-0910</t>
  </si>
  <si>
    <t>2-1713</t>
  </si>
  <si>
    <t>2-0911</t>
  </si>
  <si>
    <t>Klimaatruimte</t>
  </si>
  <si>
    <t>2-10.301</t>
  </si>
  <si>
    <t>Waterkerende Schuif</t>
  </si>
  <si>
    <t>2-10.401</t>
  </si>
  <si>
    <t>2-10.402</t>
  </si>
  <si>
    <t>2-10.504</t>
  </si>
  <si>
    <t>2-10.505</t>
  </si>
  <si>
    <t>2-10.602</t>
  </si>
  <si>
    <t>2-1002</t>
  </si>
  <si>
    <t>2-10.603</t>
  </si>
  <si>
    <t>2-10.701</t>
  </si>
  <si>
    <t>2-1003</t>
  </si>
  <si>
    <t>2-10.702</t>
  </si>
  <si>
    <t>Watermeteruimte</t>
  </si>
  <si>
    <t>2-1401</t>
  </si>
  <si>
    <t>Fiestenmaker</t>
  </si>
  <si>
    <t>2-1706</t>
  </si>
  <si>
    <t>Winkelruimte</t>
  </si>
  <si>
    <t>2-1901</t>
  </si>
  <si>
    <t>2-1707</t>
  </si>
  <si>
    <t>2-1703</t>
  </si>
  <si>
    <t>2-1708</t>
  </si>
  <si>
    <t>2-1704</t>
  </si>
  <si>
    <t>2-1709</t>
  </si>
  <si>
    <t>2-1710</t>
  </si>
  <si>
    <t>2-1705</t>
  </si>
  <si>
    <t>2-1714</t>
  </si>
  <si>
    <t>Overig</t>
  </si>
  <si>
    <t>2-1905</t>
  </si>
  <si>
    <t>2-1201</t>
  </si>
  <si>
    <t>2-1906</t>
  </si>
  <si>
    <t>2-1907</t>
  </si>
  <si>
    <t>2-1202</t>
  </si>
  <si>
    <t>2-1909</t>
  </si>
  <si>
    <t>2-1910</t>
  </si>
  <si>
    <t>2-1911</t>
  </si>
  <si>
    <t>2-1912</t>
  </si>
  <si>
    <t>2-1913</t>
  </si>
  <si>
    <t>2-1914</t>
  </si>
  <si>
    <t>2-1915</t>
  </si>
  <si>
    <t>2-1916</t>
  </si>
  <si>
    <t>2-1917</t>
  </si>
  <si>
    <t>2-1918</t>
  </si>
  <si>
    <t>2-1919</t>
  </si>
  <si>
    <t>2-1920</t>
  </si>
  <si>
    <t>2-1921</t>
  </si>
  <si>
    <t>2-1922</t>
  </si>
  <si>
    <t>2-1923</t>
  </si>
  <si>
    <t>2-1924</t>
  </si>
  <si>
    <t>2-1925</t>
  </si>
  <si>
    <t>2-1926</t>
  </si>
  <si>
    <t>2-1904</t>
  </si>
  <si>
    <t>2-1927</t>
  </si>
  <si>
    <t>2-1928</t>
  </si>
  <si>
    <t>2-1949</t>
  </si>
  <si>
    <t>Overig, schacht naast vluchttrap 2-0113</t>
  </si>
  <si>
    <t>Overig, schacht naast vluchttrap 2-0117</t>
  </si>
  <si>
    <t xml:space="preserve">Tegels / beton trap </t>
  </si>
  <si>
    <t xml:space="preserve">Coating </t>
  </si>
  <si>
    <t>? (beveiligd)</t>
  </si>
  <si>
    <t>HWC-plafond</t>
  </si>
  <si>
    <t>opgenomen als trap 1-0253</t>
  </si>
  <si>
    <t>opgenomen als trap 1-0256</t>
  </si>
  <si>
    <t>stuc + saus</t>
  </si>
  <si>
    <t>Volkern plafond</t>
  </si>
  <si>
    <t>HWC-plafond, -wand</t>
  </si>
  <si>
    <t>geen opname</t>
  </si>
  <si>
    <t>opgenomen in 1-1706</t>
  </si>
  <si>
    <t>HWC-en verlaagd plafond</t>
  </si>
  <si>
    <t>Houten plafond</t>
  </si>
  <si>
    <t>HWC-plafond, bezemkast in gang 2-0205</t>
  </si>
  <si>
    <t>HWC-plafond, boven 4-05.103</t>
  </si>
  <si>
    <t>3-0111</t>
  </si>
  <si>
    <t>3-0112</t>
  </si>
  <si>
    <t>3-0113</t>
  </si>
  <si>
    <t>3-0114</t>
  </si>
  <si>
    <t>3-0115</t>
  </si>
  <si>
    <t>3-0116</t>
  </si>
  <si>
    <t>3-0117</t>
  </si>
  <si>
    <t>3-0118</t>
  </si>
  <si>
    <t>3-0211</t>
  </si>
  <si>
    <t>3-0207</t>
  </si>
  <si>
    <t>Diensttrap</t>
  </si>
  <si>
    <t>3-0208</t>
  </si>
  <si>
    <t>3-0209</t>
  </si>
  <si>
    <t>Diensttrap Perron - Kelder</t>
  </si>
  <si>
    <t>3-0210</t>
  </si>
  <si>
    <t>3-0214</t>
  </si>
  <si>
    <t>3-0212</t>
  </si>
  <si>
    <t>3-0217</t>
  </si>
  <si>
    <t>3-0219</t>
  </si>
  <si>
    <t>Vluchttrap Noordstuw - Perron</t>
  </si>
  <si>
    <t>3-0220</t>
  </si>
  <si>
    <t>3-0227</t>
  </si>
  <si>
    <t>Vluchttrap</t>
  </si>
  <si>
    <t>3-0228</t>
  </si>
  <si>
    <t>3-0229</t>
  </si>
  <si>
    <t>3-0230</t>
  </si>
  <si>
    <t>Diensttrap Vluchtweg - Kelder</t>
  </si>
  <si>
    <t>3-0231</t>
  </si>
  <si>
    <t>Diensttrap Noordstuw - Vluchtweg</t>
  </si>
  <si>
    <t>3-0236</t>
  </si>
  <si>
    <t>3-0240</t>
  </si>
  <si>
    <t>3-0241</t>
  </si>
  <si>
    <t>3-0242</t>
  </si>
  <si>
    <t>3-0243</t>
  </si>
  <si>
    <t>3-0244</t>
  </si>
  <si>
    <t>3-0247</t>
  </si>
  <si>
    <t>3-0248</t>
  </si>
  <si>
    <t>3-0249</t>
  </si>
  <si>
    <t>3-0251</t>
  </si>
  <si>
    <t>3-0258</t>
  </si>
  <si>
    <t>3-0259</t>
  </si>
  <si>
    <t>3-0261</t>
  </si>
  <si>
    <t>3-0262</t>
  </si>
  <si>
    <t>Serverruimte</t>
  </si>
  <si>
    <t>3-04.201</t>
  </si>
  <si>
    <t>3-05.103</t>
  </si>
  <si>
    <t>3-05.104</t>
  </si>
  <si>
    <t>3-05.105</t>
  </si>
  <si>
    <t>3-05.106</t>
  </si>
  <si>
    <t>3-05.107</t>
  </si>
  <si>
    <t>Sectie Schakelaarsruimte</t>
  </si>
  <si>
    <t>3-0604</t>
  </si>
  <si>
    <t>3-0605</t>
  </si>
  <si>
    <t>Tractie Traforuimte 1</t>
  </si>
  <si>
    <t>3-0606</t>
  </si>
  <si>
    <t>Tractie Traforuimte 2</t>
  </si>
  <si>
    <t>3-0607</t>
  </si>
  <si>
    <t>Tractie Traforuimte 3</t>
  </si>
  <si>
    <t>3-0608</t>
  </si>
  <si>
    <t>10KV Schakelruimte</t>
  </si>
  <si>
    <t>3-0609</t>
  </si>
  <si>
    <t>SVS-Ruimte</t>
  </si>
  <si>
    <t>3-0610</t>
  </si>
  <si>
    <t>3-07.202</t>
  </si>
  <si>
    <t>Pompenruimte</t>
  </si>
  <si>
    <t>3-10.201</t>
  </si>
  <si>
    <t>3-10.302</t>
  </si>
  <si>
    <t>3-10.303</t>
  </si>
  <si>
    <t>3-10.604</t>
  </si>
  <si>
    <t>3-10.605</t>
  </si>
  <si>
    <t>3-1915</t>
  </si>
  <si>
    <t>3-1954</t>
  </si>
  <si>
    <t>3-1914</t>
  </si>
  <si>
    <t>3-1955</t>
  </si>
  <si>
    <t>Coating / Beton</t>
  </si>
  <si>
    <t>Beton / stalen (rooster)</t>
  </si>
  <si>
    <t>opgenomen als trap 2-0112</t>
  </si>
  <si>
    <t>opgenomen als trap 2-0113</t>
  </si>
  <si>
    <t>opgenomen als trap 2-0116</t>
  </si>
  <si>
    <t>opgenomen als trap 2-0117</t>
  </si>
  <si>
    <t>opgenomen als lift verdeelhal</t>
  </si>
  <si>
    <t>opgenomen als trap 2-0220</t>
  </si>
  <si>
    <t>opgenomen als trap 2-0227</t>
  </si>
  <si>
    <t>vermacel beplating</t>
  </si>
  <si>
    <t>opgenomen als trap 2-0236</t>
  </si>
  <si>
    <t>opgenomen als trap 2-0251</t>
  </si>
  <si>
    <t>opgenomen als trap 2-0258</t>
  </si>
  <si>
    <t>stalen trap l=2,4 m¹</t>
  </si>
  <si>
    <t>Kelder</t>
  </si>
  <si>
    <t>Lift 31 Schacht</t>
  </si>
  <si>
    <t>Lift 23 Schacht</t>
  </si>
  <si>
    <t>4-0211</t>
  </si>
  <si>
    <t>Diensttrap Kelder- SIngellijn</t>
  </si>
  <si>
    <t>4-0212</t>
  </si>
  <si>
    <t>Servicegang Kelder</t>
  </si>
  <si>
    <t>4-0215</t>
  </si>
  <si>
    <t>4-0216</t>
  </si>
  <si>
    <t>Kabelkelder</t>
  </si>
  <si>
    <t>4-0218</t>
  </si>
  <si>
    <t>4-0231</t>
  </si>
  <si>
    <t>4-0232</t>
  </si>
  <si>
    <t>Diensttrap Kelder - Singellijn</t>
  </si>
  <si>
    <t>4-0233</t>
  </si>
  <si>
    <t>4-0238</t>
  </si>
  <si>
    <t>4-0239</t>
  </si>
  <si>
    <t>4-0244</t>
  </si>
  <si>
    <t>4-0245</t>
  </si>
  <si>
    <t>4-0246</t>
  </si>
  <si>
    <t>4-0250</t>
  </si>
  <si>
    <t>4-0260</t>
  </si>
  <si>
    <t>4-05.104</t>
  </si>
  <si>
    <t>Kelder Hoogspanningsruimtes</t>
  </si>
  <si>
    <t>4-0611</t>
  </si>
  <si>
    <t>4-10.201</t>
  </si>
  <si>
    <t>Vuilwaterberging</t>
  </si>
  <si>
    <t>4-10.202</t>
  </si>
  <si>
    <t>4-10.303</t>
  </si>
  <si>
    <t>RWA-Kanaal</t>
  </si>
  <si>
    <t>4-10.501</t>
  </si>
  <si>
    <t>4-10.502</t>
  </si>
  <si>
    <t>4-10.503</t>
  </si>
  <si>
    <t>4-10.511</t>
  </si>
  <si>
    <t>4-10.512</t>
  </si>
  <si>
    <t>4-10.513</t>
  </si>
  <si>
    <t>4-10.604</t>
  </si>
  <si>
    <t>4-10.605</t>
  </si>
  <si>
    <t>Opslag WTB</t>
  </si>
  <si>
    <t>4-13.401</t>
  </si>
  <si>
    <t>4-13.402</t>
  </si>
  <si>
    <t>4-1929</t>
  </si>
  <si>
    <t>4-1948</t>
  </si>
  <si>
    <t>4-1952</t>
  </si>
  <si>
    <t>4-1953</t>
  </si>
  <si>
    <t>4-1954</t>
  </si>
  <si>
    <t>4-1955</t>
  </si>
  <si>
    <t>opgenomen als trap 3-0231</t>
  </si>
  <si>
    <t>opgenomen in ruimte 3-1021</t>
  </si>
  <si>
    <t>opgenomen in ruimte 3-10.604</t>
  </si>
  <si>
    <t>opgenomen in ruimte 3-10.605</t>
  </si>
  <si>
    <t>Singellijn</t>
  </si>
  <si>
    <t>5-0212</t>
  </si>
  <si>
    <t>5-0215</t>
  </si>
  <si>
    <t>5-0213</t>
  </si>
  <si>
    <t>5-0233</t>
  </si>
  <si>
    <t>5-0234</t>
  </si>
  <si>
    <t>5-0235</t>
  </si>
  <si>
    <t>5-0246</t>
  </si>
  <si>
    <t>5-10.203</t>
  </si>
  <si>
    <t>5-10.204</t>
  </si>
  <si>
    <t>5-10.505</t>
  </si>
  <si>
    <t>5-10.506</t>
  </si>
  <si>
    <t>5-10.507</t>
  </si>
  <si>
    <t>5-10.508</t>
  </si>
  <si>
    <t>5-10.510</t>
  </si>
  <si>
    <t>5-10.509</t>
  </si>
  <si>
    <t>5-10.703</t>
  </si>
  <si>
    <t>5-10.704</t>
  </si>
  <si>
    <t>5-1930</t>
  </si>
  <si>
    <t>5-1931</t>
  </si>
  <si>
    <t>5-1932</t>
  </si>
  <si>
    <t>5-1933</t>
  </si>
  <si>
    <t>5-1934</t>
  </si>
  <si>
    <t>5-1935</t>
  </si>
  <si>
    <t>5-1936</t>
  </si>
  <si>
    <t>5-1937</t>
  </si>
  <si>
    <t>5-1938</t>
  </si>
  <si>
    <t>5-1939</t>
  </si>
  <si>
    <t>5-1940</t>
  </si>
  <si>
    <t>5-1941</t>
  </si>
  <si>
    <t>5-1942</t>
  </si>
  <si>
    <t>5-1943</t>
  </si>
  <si>
    <t>5-1944</t>
  </si>
  <si>
    <t>5-1945</t>
  </si>
  <si>
    <t>5-1946</t>
  </si>
  <si>
    <t>5-1947</t>
  </si>
  <si>
    <t>5-1950</t>
  </si>
  <si>
    <t>5-1951</t>
  </si>
  <si>
    <t>5-1954</t>
  </si>
  <si>
    <t>opgenomen als trap 4-0212</t>
  </si>
  <si>
    <t>opgenomen als trap 4-0233</t>
  </si>
  <si>
    <t>opgenomen als trap 4-0246</t>
  </si>
  <si>
    <t>stalen trap l=2,2 m¹</t>
  </si>
  <si>
    <t>isolatieplaten</t>
  </si>
  <si>
    <t>Maaiveld</t>
  </si>
  <si>
    <t>Waterlooplein</t>
  </si>
  <si>
    <t>Publieksroltrap Uitgang Stadhuis - Hal</t>
  </si>
  <si>
    <t>0-0101</t>
  </si>
  <si>
    <t>Publiekstrap Uitgang Stadhuis - Hal</t>
  </si>
  <si>
    <t>0-0102</t>
  </si>
  <si>
    <t>Lift 02 Uitgang Stadhuis - Hal</t>
  </si>
  <si>
    <t>MacBike</t>
  </si>
  <si>
    <t>0-1710</t>
  </si>
  <si>
    <t>0-1719</t>
  </si>
  <si>
    <t>1-1711</t>
  </si>
  <si>
    <t>1-1712</t>
  </si>
  <si>
    <t>Publieksroltrap Uitgang Waterlooplein - Hal</t>
  </si>
  <si>
    <t>Publiekstrap Uitgang Waterlooplein - Hal</t>
  </si>
  <si>
    <t>Publiekstrap Uitgang Hortus Plantsoen - Hal</t>
  </si>
  <si>
    <t>Publiekstrap Uitgang Nieuwe Herengracht - Hal</t>
  </si>
  <si>
    <t>2-0114</t>
  </si>
  <si>
    <t>Lift 31 Hal - Perron</t>
  </si>
  <si>
    <t>1-0204</t>
  </si>
  <si>
    <t>2-0209</t>
  </si>
  <si>
    <t>Diensttrap Hal = Tussenniveau</t>
  </si>
  <si>
    <t>2-0210</t>
  </si>
  <si>
    <t>2-0211</t>
  </si>
  <si>
    <t>2-0219</t>
  </si>
  <si>
    <t>2-07.203</t>
  </si>
  <si>
    <t>1-0801</t>
  </si>
  <si>
    <t>2-0912</t>
  </si>
  <si>
    <t>2-0913</t>
  </si>
  <si>
    <t>2-0914</t>
  </si>
  <si>
    <t>2-0915</t>
  </si>
  <si>
    <t>2-0916</t>
  </si>
  <si>
    <t>2-0917</t>
  </si>
  <si>
    <t>2-0918</t>
  </si>
  <si>
    <t>2-0919</t>
  </si>
  <si>
    <t>2-0920</t>
  </si>
  <si>
    <t>2-0921</t>
  </si>
  <si>
    <t>2-0922</t>
  </si>
  <si>
    <t>2-0923</t>
  </si>
  <si>
    <t>2-10.501</t>
  </si>
  <si>
    <t>2-10.502</t>
  </si>
  <si>
    <t>2-10.503</t>
  </si>
  <si>
    <t>2-10.601</t>
  </si>
  <si>
    <t>Brandmeldcentrale</t>
  </si>
  <si>
    <t>2-11.201</t>
  </si>
  <si>
    <t>2-13.101</t>
  </si>
  <si>
    <t>Opslag EB</t>
  </si>
  <si>
    <t>2-13.201</t>
  </si>
  <si>
    <t>2-1701</t>
  </si>
  <si>
    <t>Magazijn Winkelruimte</t>
  </si>
  <si>
    <t>2-1702</t>
  </si>
  <si>
    <t>2-1715</t>
  </si>
  <si>
    <t>2-1716</t>
  </si>
  <si>
    <t>2-1717</t>
  </si>
  <si>
    <t>2-1718</t>
  </si>
  <si>
    <t>2-1902</t>
  </si>
  <si>
    <t>2-1903</t>
  </si>
  <si>
    <t>opgenomen als roltrap 0-0101</t>
  </si>
  <si>
    <t>opgenomen als trap 0-0102</t>
  </si>
  <si>
    <t>opgenomen bij 3-10.601</t>
  </si>
  <si>
    <t>Fermacell plafond</t>
  </si>
  <si>
    <t>Lift 02 Schacht</t>
  </si>
  <si>
    <t>Diensttrap Hal - Tussenniveau</t>
  </si>
  <si>
    <t>3-0221</t>
  </si>
  <si>
    <t>3-05.301</t>
  </si>
  <si>
    <t>3-05.302</t>
  </si>
  <si>
    <t>3-05.303</t>
  </si>
  <si>
    <t>3-05.304</t>
  </si>
  <si>
    <t>3-10.504</t>
  </si>
  <si>
    <t>3-10.505</t>
  </si>
  <si>
    <t>3-10.506</t>
  </si>
  <si>
    <t>3-10.601</t>
  </si>
  <si>
    <t>3-10.602</t>
  </si>
  <si>
    <t>3-10.701</t>
  </si>
  <si>
    <t>4-0106</t>
  </si>
  <si>
    <t>4-0107</t>
  </si>
  <si>
    <t>4-0108</t>
  </si>
  <si>
    <t>4-0109</t>
  </si>
  <si>
    <t>4-0110</t>
  </si>
  <si>
    <t>4-0111</t>
  </si>
  <si>
    <t>2-0212</t>
  </si>
  <si>
    <t>4-0213</t>
  </si>
  <si>
    <t>2-0213</t>
  </si>
  <si>
    <t>4-0214</t>
  </si>
  <si>
    <t>Diensttrap Perron - Tussenniveau</t>
  </si>
  <si>
    <t>4-0222</t>
  </si>
  <si>
    <t>4-0223</t>
  </si>
  <si>
    <t>4-0224</t>
  </si>
  <si>
    <t>4-0225</t>
  </si>
  <si>
    <t>4-04.102</t>
  </si>
  <si>
    <t>4-05.102</t>
  </si>
  <si>
    <t>4-05.103</t>
  </si>
  <si>
    <t>4-0601</t>
  </si>
  <si>
    <t>4-0602</t>
  </si>
  <si>
    <t>Voorruimte TR2000</t>
  </si>
  <si>
    <t>4-07.201</t>
  </si>
  <si>
    <t>4-07.202</t>
  </si>
  <si>
    <t>4-10.203</t>
  </si>
  <si>
    <t>4-10.301</t>
  </si>
  <si>
    <t>4-10.302</t>
  </si>
  <si>
    <t>4-10.603</t>
  </si>
  <si>
    <t>4-10.702</t>
  </si>
  <si>
    <t>4-1904</t>
  </si>
  <si>
    <t>4-1905</t>
  </si>
  <si>
    <t>4-1906</t>
  </si>
  <si>
    <t>Staal</t>
  </si>
  <si>
    <t>Vloer incl. perron naast spoor</t>
  </si>
  <si>
    <t>opgenomen bij dienstgang 4-0213</t>
  </si>
  <si>
    <t>opgenomen als ruimte 5-10.203</t>
  </si>
  <si>
    <t>Geen plafond afwerking</t>
  </si>
  <si>
    <t>multiplex plafond</t>
  </si>
  <si>
    <t>5-0216</t>
  </si>
  <si>
    <t>3-1921</t>
  </si>
  <si>
    <t>5-0217</t>
  </si>
  <si>
    <t>5-0218</t>
  </si>
  <si>
    <t>5-0225</t>
  </si>
  <si>
    <t>5-0226</t>
  </si>
  <si>
    <t>5-0227</t>
  </si>
  <si>
    <t>Kelder Telecommunicatie</t>
  </si>
  <si>
    <t>5-04.102</t>
  </si>
  <si>
    <t>Kelder Laagspanningsverdeelruimte</t>
  </si>
  <si>
    <t>5-05.103</t>
  </si>
  <si>
    <t>Kelder Traforuimtes</t>
  </si>
  <si>
    <t>5-0603</t>
  </si>
  <si>
    <t>5-10.201</t>
  </si>
  <si>
    <t>5-10.202</t>
  </si>
  <si>
    <t>Kelder Klimaatruimte</t>
  </si>
  <si>
    <t>5-10.302</t>
  </si>
  <si>
    <t>5-10.603</t>
  </si>
  <si>
    <t>5-10.604</t>
  </si>
  <si>
    <t>opgenomen als trap 4-0215</t>
  </si>
  <si>
    <t>opgenomen als trap 4-0225</t>
  </si>
  <si>
    <t>opgenomen als ruimte 4-10.603</t>
  </si>
  <si>
    <t>opgenomen als ruimte 4-10.604</t>
  </si>
  <si>
    <t>Nieuwmarkt</t>
  </si>
  <si>
    <t>Wibautstraat</t>
  </si>
  <si>
    <t>Amsterdam Amstel</t>
  </si>
  <si>
    <t>Duivendrecht</t>
  </si>
  <si>
    <t>Bijlmer</t>
  </si>
  <si>
    <t>Holendrecht</t>
  </si>
  <si>
    <t>Halniveau</t>
  </si>
  <si>
    <t>Publieksroltrap Uitgang Nieuwmarkt - Hal</t>
  </si>
  <si>
    <t>0-0104</t>
  </si>
  <si>
    <t>Publiekstrap Uitgang Koffiehuis - Tussenniveau</t>
  </si>
  <si>
    <t>0-0105</t>
  </si>
  <si>
    <t>Publieksroltrap Uitgang Nieuwe Hoogstraat - Hal</t>
  </si>
  <si>
    <t>0-0112</t>
  </si>
  <si>
    <t>Publiekstrap Uitgang Nieuwe Hoogstraat - Hal</t>
  </si>
  <si>
    <t>0-0113</t>
  </si>
  <si>
    <t>0-1001</t>
  </si>
  <si>
    <t>Berging Schuifdeur</t>
  </si>
  <si>
    <t>0-1924</t>
  </si>
  <si>
    <t>Lift 01 Uitgang Nieuwmarkt - Hal</t>
  </si>
  <si>
    <t>01</t>
  </si>
  <si>
    <t>Lift 03 Uitgang Nieuwe Hoogstraat - Hal</t>
  </si>
  <si>
    <t>03</t>
  </si>
  <si>
    <t>Publieksroltrap Uitgang Koningsstraat - Hal</t>
  </si>
  <si>
    <t>Publiekstrap Uitgang Koningsstraat - Hal</t>
  </si>
  <si>
    <t>Publiekstrap Uitgang Nieuwmarkt - Hal</t>
  </si>
  <si>
    <t>Lift 34 Hal - Perron</t>
  </si>
  <si>
    <t>Diensttrap Hal - Perron</t>
  </si>
  <si>
    <t>2-0214</t>
  </si>
  <si>
    <t>2-0228</t>
  </si>
  <si>
    <t>2-0229</t>
  </si>
  <si>
    <t>2-0230</t>
  </si>
  <si>
    <t>2-0231</t>
  </si>
  <si>
    <t>Opstellingsruimte Providers</t>
  </si>
  <si>
    <t>2-04.201</t>
  </si>
  <si>
    <t>Leidingschacht Hoogspanning</t>
  </si>
  <si>
    <t>2-0604</t>
  </si>
  <si>
    <t>Ventilatiekast</t>
  </si>
  <si>
    <t>Werktuig</t>
  </si>
  <si>
    <t>2-10.604</t>
  </si>
  <si>
    <t>Tickets &amp; Info</t>
  </si>
  <si>
    <t>2-1203</t>
  </si>
  <si>
    <t>2-1204</t>
  </si>
  <si>
    <t>Watermeterruimte</t>
  </si>
  <si>
    <t>Winkelruimte (naast 2-1702)</t>
  </si>
  <si>
    <t>Diensttrap Tussenniveau - Perron</t>
  </si>
  <si>
    <t>3-0224</t>
  </si>
  <si>
    <t>3-0225</t>
  </si>
  <si>
    <t>3-0232</t>
  </si>
  <si>
    <t>3-10.503</t>
  </si>
  <si>
    <t>RWA-Regelkastuimte</t>
  </si>
  <si>
    <t>3-10.507</t>
  </si>
  <si>
    <t>3-10.703</t>
  </si>
  <si>
    <t>3-1911</t>
  </si>
  <si>
    <t>3-1912</t>
  </si>
  <si>
    <t>3-1913</t>
  </si>
  <si>
    <t>3-1916</t>
  </si>
  <si>
    <t>4-0217</t>
  </si>
  <si>
    <t>4-0235</t>
  </si>
  <si>
    <t>4-0236</t>
  </si>
  <si>
    <t>4-0237</t>
  </si>
  <si>
    <t>4-05.101</t>
  </si>
  <si>
    <t>4-0605</t>
  </si>
  <si>
    <t>4-0606</t>
  </si>
  <si>
    <t>Tractietraforuimte 3</t>
  </si>
  <si>
    <t>4-0608</t>
  </si>
  <si>
    <t>Tractietraforuimte 2</t>
  </si>
  <si>
    <t>4-0609</t>
  </si>
  <si>
    <t>Tractietraforuimte 1</t>
  </si>
  <si>
    <t>4-0610</t>
  </si>
  <si>
    <t>4-0612</t>
  </si>
  <si>
    <t>4-0613</t>
  </si>
  <si>
    <t>4-10.704</t>
  </si>
  <si>
    <t>4-1907</t>
  </si>
  <si>
    <t>4-1908</t>
  </si>
  <si>
    <t>4-1909</t>
  </si>
  <si>
    <t>4-1910</t>
  </si>
  <si>
    <t>4-1925</t>
  </si>
  <si>
    <t>Lift 34 Schacht</t>
  </si>
  <si>
    <t>5-0219</t>
  </si>
  <si>
    <t>5-0220</t>
  </si>
  <si>
    <t>5-0221</t>
  </si>
  <si>
    <t>5-0222</t>
  </si>
  <si>
    <t>3-1917</t>
  </si>
  <si>
    <t>5-0237</t>
  </si>
  <si>
    <t>5-0238</t>
  </si>
  <si>
    <t>5-0239</t>
  </si>
  <si>
    <t>Kelder Telecommunicatieruimte</t>
  </si>
  <si>
    <t>5-0607</t>
  </si>
  <si>
    <t>Kelder Tractie Traforuimtes</t>
  </si>
  <si>
    <t>5-0611</t>
  </si>
  <si>
    <t>Kelder Sectie Schakelaars- &amp; 10KV Schakelruimte</t>
  </si>
  <si>
    <t>5-0614</t>
  </si>
  <si>
    <t>Kelder TR2000 Ruimte</t>
  </si>
  <si>
    <t>5-07.202</t>
  </si>
  <si>
    <t>(nabij pompenruimte 5-10.201) Noordzijde</t>
  </si>
  <si>
    <t>5-10.303</t>
  </si>
  <si>
    <t>5-10.605</t>
  </si>
  <si>
    <t>Kelder Laagspanningsruimten</t>
  </si>
  <si>
    <t>Coating / Tegels</t>
  </si>
  <si>
    <t>opgenomen als trap 2-0105</t>
  </si>
  <si>
    <t>Hout, beton, HWC en mdf-plafonds</t>
  </si>
  <si>
    <t>HWC- en houten plafond. glazen plafond vide lift 24 m²</t>
  </si>
  <si>
    <t>HWC-plafond, gecoat houten plafond</t>
  </si>
  <si>
    <t>HWC-plafond, betonnen plafond</t>
  </si>
  <si>
    <t>opgenomen in ruimte 2-10.601</t>
  </si>
  <si>
    <t>gedeelte HWC-plafond</t>
  </si>
  <si>
    <t>Isolatie-panelen</t>
  </si>
  <si>
    <t>HWC-plafond / beton geschilderd</t>
  </si>
  <si>
    <t>gedeeltelijk HWC-plafond</t>
  </si>
  <si>
    <t>opgenomen als trap 4-0224</t>
  </si>
  <si>
    <t>opgenomen als trap 2-0231</t>
  </si>
  <si>
    <t>opgenomen in ruimte 2-10.604</t>
  </si>
  <si>
    <t>opgenomen in ruimte 2-10.602</t>
  </si>
  <si>
    <t>opgenomen als trap 2-0107</t>
  </si>
  <si>
    <t>opgenomen als trap 2-0109</t>
  </si>
  <si>
    <t>opgenomen in ruimte 5-0220</t>
  </si>
  <si>
    <t>Stalen plafond</t>
  </si>
  <si>
    <t>opgenomen als trap 4-0218</t>
  </si>
  <si>
    <t>opgenomen als trap 4-0237</t>
  </si>
  <si>
    <t>opgenomen in ruimte 4-10.603</t>
  </si>
  <si>
    <t>opgenomen in ruimte 4-10.605</t>
  </si>
  <si>
    <t>Publieksroltrap Uitgang Vrolikstraat - Hal</t>
  </si>
  <si>
    <t>Publiekstrap Uitgang Vrolikstraat - Hal</t>
  </si>
  <si>
    <t>Publieksroltrap Uitgang Grensstraat - Hal</t>
  </si>
  <si>
    <t>Publiekstrap Uitgang Grensstraat - Hal</t>
  </si>
  <si>
    <t>Publiekstrap Uitgang Platanenweg - Hal</t>
  </si>
  <si>
    <t>Publieksroltrap Uitgang Platanenweg - Hal</t>
  </si>
  <si>
    <t>Publiekstrap Uitgang Gijsbrecht van Aemstelstraat - Hal</t>
  </si>
  <si>
    <t>Publieksroltrap Uitgang Gijsbrecht van Aemstelstraat - Hal</t>
  </si>
  <si>
    <t>Lift 31 Uitgang Vrolikstraat - Hal</t>
  </si>
  <si>
    <t>Lift 02 Hal - Perron</t>
  </si>
  <si>
    <t>2-0216</t>
  </si>
  <si>
    <t>2-0217</t>
  </si>
  <si>
    <t>2-0218</t>
  </si>
  <si>
    <t>2-10.508</t>
  </si>
  <si>
    <t>2-10.509</t>
  </si>
  <si>
    <t>2-10.605</t>
  </si>
  <si>
    <t>2-1929</t>
  </si>
  <si>
    <t>2-1930</t>
  </si>
  <si>
    <t>3-0215</t>
  </si>
  <si>
    <t>3-1918</t>
  </si>
  <si>
    <t>3-1919</t>
  </si>
  <si>
    <t>3-1920</t>
  </si>
  <si>
    <t>3-1922</t>
  </si>
  <si>
    <t>4-0204</t>
  </si>
  <si>
    <t>4-0205</t>
  </si>
  <si>
    <t>4-0206</t>
  </si>
  <si>
    <t>4-0207</t>
  </si>
  <si>
    <t>4-0219</t>
  </si>
  <si>
    <t>4-0220</t>
  </si>
  <si>
    <t>4-0221</t>
  </si>
  <si>
    <t>4-0226</t>
  </si>
  <si>
    <t>4-04.101</t>
  </si>
  <si>
    <t>Laagspanningsverdeelrruimte</t>
  </si>
  <si>
    <t>4-05.301</t>
  </si>
  <si>
    <t>4-05.302</t>
  </si>
  <si>
    <t>4-05.303</t>
  </si>
  <si>
    <t>4-05.304</t>
  </si>
  <si>
    <t>4-0805</t>
  </si>
  <si>
    <t>4-10.606</t>
  </si>
  <si>
    <t>4-10.703</t>
  </si>
  <si>
    <t>4-1913</t>
  </si>
  <si>
    <t>4-1931</t>
  </si>
  <si>
    <t>5-0207</t>
  </si>
  <si>
    <t>5-0208</t>
  </si>
  <si>
    <t>5-0209</t>
  </si>
  <si>
    <t>5-0210</t>
  </si>
  <si>
    <t>5-0211</t>
  </si>
  <si>
    <t>5-0223</t>
  </si>
  <si>
    <t>5-0224</t>
  </si>
  <si>
    <t>5-04.101</t>
  </si>
  <si>
    <t>Kelder UPS Ruimtes</t>
  </si>
  <si>
    <t>5-05.305</t>
  </si>
  <si>
    <t>5-10.606</t>
  </si>
  <si>
    <t>Plafond: HWC</t>
  </si>
  <si>
    <t>Opgenomen bij 2-1907</t>
  </si>
  <si>
    <t>Plafond: 20% HWC</t>
  </si>
  <si>
    <t>Plafond: volkern</t>
  </si>
  <si>
    <t>Dezelfde trap als 2-0107</t>
  </si>
  <si>
    <t>Dezelfde trap als 2-0109</t>
  </si>
  <si>
    <t>Dezelfde trap als 2-0110</t>
  </si>
  <si>
    <t>Dezelfde trap als 4-0207</t>
  </si>
  <si>
    <t>Dezelfde trap als 4-0222</t>
  </si>
  <si>
    <t>opgenomen als trap 2-0106</t>
  </si>
  <si>
    <t>opgenomen als roltrap 2-0109</t>
  </si>
  <si>
    <t>opgenomen als trap 2-0110</t>
  </si>
  <si>
    <t>Amstel</t>
  </si>
  <si>
    <t>signaleringsruimte s en t</t>
  </si>
  <si>
    <t>ruimte voor luchtbehandeling</t>
  </si>
  <si>
    <t>magazijnruimte s en t</t>
  </si>
  <si>
    <t>Bim Huis</t>
  </si>
  <si>
    <t>laagspanning</t>
  </si>
  <si>
    <t>lgsp</t>
  </si>
  <si>
    <t>telecom gvb</t>
  </si>
  <si>
    <t>Ijtram</t>
  </si>
  <si>
    <t>Schoonmaak opslag</t>
  </si>
  <si>
    <t>Voorportaal liftmachinekamer</t>
  </si>
  <si>
    <t>Voorportaal technischeruimte</t>
  </si>
  <si>
    <t>Hoogspanning / tractieruimte</t>
  </si>
  <si>
    <t>Sanitaire ruimte</t>
  </si>
  <si>
    <t>Lege ruimte</t>
  </si>
  <si>
    <t>Roltrap 1</t>
  </si>
  <si>
    <t>Roltrap 2</t>
  </si>
  <si>
    <t>Roltrap 3</t>
  </si>
  <si>
    <t>MER ruimte</t>
  </si>
  <si>
    <t>traanplaat</t>
  </si>
  <si>
    <t>RVS</t>
  </si>
  <si>
    <t>Wanden zijn meegenomen bij de hallen</t>
  </si>
  <si>
    <t>Zuid RVS</t>
  </si>
  <si>
    <t>Wanden meegenomen bij roltrapserviceruimte, kelder niveau</t>
  </si>
  <si>
    <t xml:space="preserve">Ruimte niet betreedbaar. </t>
  </si>
  <si>
    <t>oost RVS</t>
  </si>
  <si>
    <t>west RVS</t>
  </si>
  <si>
    <t>gevel landhoofd</t>
  </si>
  <si>
    <t>gevel westkant</t>
  </si>
  <si>
    <t xml:space="preserve">west </t>
  </si>
  <si>
    <t>west, wordt gebruikt als vuilopslag</t>
  </si>
  <si>
    <t>west, wordt niet gebruikt als vuilopslag</t>
  </si>
  <si>
    <t>oost, Is eigenlijks een gang</t>
  </si>
  <si>
    <t>oost, Hago? Werkkast?</t>
  </si>
  <si>
    <t>oost (m2 wand van kelder tot aan 2 verdiepingen daarboven (1 aaneengesloten ruimte)</t>
  </si>
  <si>
    <t>Rietlandpark</t>
  </si>
  <si>
    <t>Liftmachine</t>
  </si>
  <si>
    <t>opslag</t>
  </si>
  <si>
    <t>Schakelruimte</t>
  </si>
  <si>
    <t>Meterkast</t>
  </si>
  <si>
    <t>nb</t>
  </si>
  <si>
    <t>Buitenzijde stationshal</t>
  </si>
  <si>
    <t>Ruimteomschrijving GVB</t>
  </si>
  <si>
    <t>Vloer soort</t>
  </si>
  <si>
    <t>Diverse</t>
  </si>
  <si>
    <t>Prijs per jaar</t>
  </si>
  <si>
    <t>B.T.W.</t>
  </si>
  <si>
    <t>Totale kosten per jaar inclusief B.T.W.</t>
  </si>
  <si>
    <t>0-100m2</t>
  </si>
  <si>
    <t>101-500m2</t>
  </si>
  <si>
    <t>Kosten per locatie</t>
  </si>
  <si>
    <t>Bijzonderheden</t>
  </si>
  <si>
    <t>m2 vloer</t>
  </si>
  <si>
    <t>Eindtotaal</t>
  </si>
  <si>
    <t>Stations</t>
  </si>
  <si>
    <t>Bewerking</t>
  </si>
  <si>
    <t>Uren per keer</t>
  </si>
  <si>
    <t>Uren per jaar</t>
  </si>
  <si>
    <t>Tarief overdag</t>
  </si>
  <si>
    <t>dag 9.00 tot 15.00</t>
  </si>
  <si>
    <t>Schrobzuig</t>
  </si>
  <si>
    <t>Norm tbv Schrobzuigen</t>
  </si>
  <si>
    <t>Omschrijving opdracht</t>
  </si>
  <si>
    <t>Eenheid</t>
  </si>
  <si>
    <t>Aantal</t>
  </si>
  <si>
    <t>Machine</t>
  </si>
  <si>
    <t>Omschrijving</t>
  </si>
  <si>
    <t>Catalogusprijs</t>
  </si>
  <si>
    <t>Korting</t>
  </si>
  <si>
    <t>Netto aanschafprijs</t>
  </si>
  <si>
    <t xml:space="preserve">Afschrijvingstermijn in jaren </t>
  </si>
  <si>
    <t>Restwaarde</t>
  </si>
  <si>
    <t>Afschrijvingskosten per jaar</t>
  </si>
  <si>
    <t xml:space="preserve">Renteverlies per jaar </t>
  </si>
  <si>
    <t xml:space="preserve">Verzekeringskosten per jaar </t>
  </si>
  <si>
    <t>Totaal kosten bij koop per jaar per machine</t>
  </si>
  <si>
    <t>Inzet van het aantal machines [stuks]</t>
  </si>
  <si>
    <t>Totaal kosten bij koop per jaar voor GVB</t>
  </si>
  <si>
    <t>Prijs p/m2  excl. btw</t>
  </si>
  <si>
    <t>Activiteit</t>
  </si>
  <si>
    <t>Toelichting</t>
  </si>
  <si>
    <t>Lino-/marmoleum conserveren</t>
  </si>
  <si>
    <t>2 lagen</t>
  </si>
  <si>
    <t>Lino-/marmoleum sprayen</t>
  </si>
  <si>
    <t>geheel</t>
  </si>
  <si>
    <t>Steen/PVC schrobben</t>
  </si>
  <si>
    <t>Tapijt sproeiextraheren</t>
  </si>
  <si>
    <t>Opmerking:</t>
  </si>
  <si>
    <t>Alle prijzen inclusief materialen en middelen, voorrijkosten en overige bijkomende kosten.</t>
  </si>
  <si>
    <t>Alle prijzen exclusief btw</t>
  </si>
  <si>
    <t>Element</t>
  </si>
  <si>
    <t>Prijs per beurt</t>
  </si>
  <si>
    <t>Prijs per eenheid</t>
  </si>
  <si>
    <t>Stationsgebouw</t>
  </si>
  <si>
    <t>Decoratief opengewerkt RVS Hekwerk buitenzijde</t>
  </si>
  <si>
    <t>m2</t>
  </si>
  <si>
    <t>Decoratief opengewerkt RVS Hekwerk binnenzijde</t>
  </si>
  <si>
    <t>Vlakke RVS beplating</t>
  </si>
  <si>
    <t>Perronoverkapping</t>
  </si>
  <si>
    <t>RVS beplating boeideel spoor 1</t>
  </si>
  <si>
    <t>RVs beplating boeideel spoor 2</t>
  </si>
  <si>
    <t>RVS beplating kopgevel zuidzijde ( bereikbaar steiger)</t>
  </si>
  <si>
    <t>RVS beplating kopgevel noordzijde ( bereikbaar hoogwerker)</t>
  </si>
  <si>
    <t>Inzet spoorweg veiligheid</t>
  </si>
  <si>
    <t>GROFVUIL VERWIJDEREN  (incl. verwijderen bladeren)</t>
  </si>
  <si>
    <t>GROFVUIL VERWIJDEREN TOT ACHTER 3E RAIL (incl. verwijderen bladeren)</t>
  </si>
  <si>
    <t>STOFZUIGEN INCLUSIEF REINIGEN HALTERINGSBORDJES</t>
  </si>
  <si>
    <t>Totale kosten</t>
  </si>
  <si>
    <t>Wand gevel</t>
  </si>
  <si>
    <t>opgenomen als roltrap 0-0104</t>
  </si>
  <si>
    <t>HWC-plafond Wandgevel 27 m2</t>
  </si>
  <si>
    <t>fermacel-plafond</t>
  </si>
  <si>
    <t>opgenomen als trap 2-0211</t>
  </si>
  <si>
    <t>Schacht, geen vloer, - wand</t>
  </si>
  <si>
    <t>Waterkraan</t>
  </si>
  <si>
    <t>valt buiten station</t>
  </si>
  <si>
    <t>valt buiten station, wand gevel</t>
  </si>
  <si>
    <t>Systeemplafond</t>
  </si>
  <si>
    <t>opgenomen als roltrap 2-0106</t>
  </si>
  <si>
    <t>opgenomen als roltrap 2-0110</t>
  </si>
  <si>
    <t>opgenomen als roltrap 2-0111</t>
  </si>
  <si>
    <t>inlc. 80 m2 wand gevel</t>
  </si>
  <si>
    <t>inlc. 108 m2 wand gevel</t>
  </si>
  <si>
    <t>inlc. 31 m2 wand gevel</t>
  </si>
  <si>
    <t>inlc. 78 m2 wand gevel</t>
  </si>
  <si>
    <t>opgenomen als roltrap 2-0115</t>
  </si>
  <si>
    <t>vanaf tekening</t>
  </si>
  <si>
    <t>opgenomen als ruimte 3-10.303</t>
  </si>
  <si>
    <t>Wand:gevel</t>
  </si>
  <si>
    <t>opgenomen in kabelkelder</t>
  </si>
  <si>
    <t>opgenomen als trap 3-0214</t>
  </si>
  <si>
    <t>geen vloer en plafond aanwezig</t>
  </si>
  <si>
    <t>Betton</t>
  </si>
  <si>
    <t>Prijsvorming Regie werkzaamheden  ( Vloeronderhoud is inclusief uit-/inruimen van het meubilair)</t>
  </si>
  <si>
    <t>Buitenglas (gevel/perron)</t>
  </si>
  <si>
    <t>nee</t>
  </si>
  <si>
    <t>Separatieglas</t>
  </si>
  <si>
    <t>Binnenglas (gevel/perron)</t>
  </si>
  <si>
    <t>ja</t>
  </si>
  <si>
    <t>Glas winkels</t>
  </si>
  <si>
    <t xml:space="preserve"> Nieuwmarkt</t>
  </si>
  <si>
    <t>T &amp; I , opkomstruimte, binnenzijde</t>
  </si>
  <si>
    <t>T &amp; I , opkomstruimte, halzijde</t>
  </si>
  <si>
    <t>Binnenglas (dak/kap)</t>
  </si>
  <si>
    <t>Vide voor lift 01</t>
  </si>
  <si>
    <t>Buitenglas (dak/kap)</t>
  </si>
  <si>
    <t>Liftschacht binnenzijde</t>
  </si>
  <si>
    <t>schacht</t>
  </si>
  <si>
    <t>Liftschacht buitenzijde</t>
  </si>
  <si>
    <t>Liftkooi binnenzijde</t>
  </si>
  <si>
    <t>deuren</t>
  </si>
  <si>
    <t>Liftkooi buitenzijde</t>
  </si>
  <si>
    <t>lift 01</t>
  </si>
  <si>
    <t>perroncabine, binnenzijde</t>
  </si>
  <si>
    <t>perroncabine, buitenzijde</t>
  </si>
  <si>
    <t>T &amp; I verdeelhal, binnen</t>
  </si>
  <si>
    <t>T &amp; I verdeelhal, buiten</t>
  </si>
  <si>
    <t>lift 03</t>
  </si>
  <si>
    <t>trap nieuwe Hoogstraat</t>
  </si>
  <si>
    <t xml:space="preserve"> Waterlooplein</t>
  </si>
  <si>
    <t>Binnenzijde boven roltrap</t>
  </si>
  <si>
    <t>Buitenzijde boven roltrap</t>
  </si>
  <si>
    <t>lift 02</t>
  </si>
  <si>
    <t>Buitenzijde van ruimte 1-1703</t>
  </si>
  <si>
    <t>Buitenzijde van ruimte 1-1701</t>
  </si>
  <si>
    <t>Binnenzijde boven roltrap 2-0101</t>
  </si>
  <si>
    <t>Buitenzijde boven roltrap 2-0101</t>
  </si>
  <si>
    <t>Buitenzijde van ruimte 1-1706</t>
  </si>
  <si>
    <t>Buitenzijde van ruimte 1-1712</t>
  </si>
  <si>
    <t>Buitenzijde van ruimte 1-1708</t>
  </si>
  <si>
    <t>Binnenzijde boven trap/roltrap</t>
  </si>
  <si>
    <t>Binnenzijde van ruimte</t>
  </si>
  <si>
    <t>Buitenzijde van ruimte</t>
  </si>
  <si>
    <t xml:space="preserve"> Weesperplein</t>
  </si>
  <si>
    <t>trap Sarphatistraat, buitenzijde</t>
  </si>
  <si>
    <t>trap Sarphatistraat, binnenzijde</t>
  </si>
  <si>
    <t>trap Stadstimmertuin, buitenzijde</t>
  </si>
  <si>
    <t>trap Stadstimmertuin, trapzijde</t>
  </si>
  <si>
    <t>lift 13</t>
  </si>
  <si>
    <t>lift 23</t>
  </si>
  <si>
    <t xml:space="preserve"> Wibautstraat</t>
  </si>
  <si>
    <t>Uitgang boven trap/roltrap "binnenzijde"</t>
  </si>
  <si>
    <t>Buitengevel straatzijde</t>
  </si>
  <si>
    <t>Lift 02</t>
  </si>
  <si>
    <t>vide tussen sporen perron Oost</t>
  </si>
  <si>
    <t>vide tussen sporen perron West</t>
  </si>
  <si>
    <t>Lichtkoepels binnenzijde</t>
  </si>
  <si>
    <t>lichtstraat, plexiglas</t>
  </si>
  <si>
    <t>50% in spoor</t>
  </si>
  <si>
    <t>Lichtkoepels buitenzijde</t>
  </si>
  <si>
    <t>hal, voorzijde schacht</t>
  </si>
  <si>
    <t>liftkooi, deuren</t>
  </si>
  <si>
    <t>Van Der Madeweg</t>
  </si>
  <si>
    <t>Strandvliet / ArenA</t>
  </si>
  <si>
    <t>gevelkozijn, entreehal Noord (begane grond)</t>
  </si>
  <si>
    <t>Glaslamellen</t>
  </si>
  <si>
    <t>boven entree</t>
  </si>
  <si>
    <t>enkelzijdig</t>
  </si>
  <si>
    <t>boven perrondak</t>
  </si>
  <si>
    <t>gevelkozijn, entreehal Noord (vide-spoor)</t>
  </si>
  <si>
    <t>gevelkozijn, entreehal Noord (perron-spoor)</t>
  </si>
  <si>
    <t>lichtstraat boven trappen Noord</t>
  </si>
  <si>
    <t>niet ingemeten, vanaf tekening</t>
  </si>
  <si>
    <t>lichtkoepels in perronkap</t>
  </si>
  <si>
    <t>gevelkozijn, entreehal Zuid (begane grond)</t>
  </si>
  <si>
    <t>gevelkozijn, entreehal Zuid (vide-spoor)</t>
  </si>
  <si>
    <t>gevelkozijn, entreehal Zuid (perron-spoor)</t>
  </si>
  <si>
    <t>lichtstraat boven trappen Zuid</t>
  </si>
  <si>
    <t>geen ruimtenummer bekend</t>
  </si>
  <si>
    <t>balustrade perron - vide vluchttrap</t>
  </si>
  <si>
    <t>perron spoorzijde</t>
  </si>
  <si>
    <t>hal - perron</t>
  </si>
  <si>
    <t>liftkooi</t>
  </si>
  <si>
    <t>gevelkozijn, Ticket &amp; Info begane grond</t>
  </si>
  <si>
    <t>gevelkozijn, personeelsruimte 1e verdieping</t>
  </si>
  <si>
    <t>0 1903</t>
  </si>
  <si>
    <t>toegang tot 0 0202</t>
  </si>
  <si>
    <t>gevelkozijn, entreehal West (begane grond)</t>
  </si>
  <si>
    <t>gevelkozijn, entreehal West (boven entree)</t>
  </si>
  <si>
    <t>gevelkozijn, entreehal West (boven barriers)</t>
  </si>
  <si>
    <t>gevelkozijn, entreehal West (perron-spoor)</t>
  </si>
  <si>
    <t>lichtstraat boven trappen West</t>
  </si>
  <si>
    <t>lichtstraat boven trappen / hal Oost</t>
  </si>
  <si>
    <t>balustrade perron - vide trap hal Oost</t>
  </si>
  <si>
    <t>gevelkozijn, entreehal Oost (roltrap-spoor)</t>
  </si>
  <si>
    <t>gevelkozijn, entreehal Oost (perron-spoor)</t>
  </si>
  <si>
    <t>gevelkozijn, entreehal Oost (vide-spoor)</t>
  </si>
  <si>
    <t>gevelkozijn, entreehal Oost (liftschacht-spoor)</t>
  </si>
  <si>
    <t>liftschacht, entreehal Oost</t>
  </si>
  <si>
    <t>gevelkozijn, entreehal Oost (begane grond)</t>
  </si>
  <si>
    <t>gevelkozijn, entreehal Oost (winkels)</t>
  </si>
  <si>
    <t>gevelkozijn, entreehal Oost (personeelsruimte)</t>
  </si>
  <si>
    <t>gevelkozijn, entreehal Oost (voorruimte-0 0802)</t>
  </si>
  <si>
    <t>lichtstraat boven trappen / hal West</t>
  </si>
  <si>
    <t xml:space="preserve">Westhal, voorzijde schacht </t>
  </si>
  <si>
    <t>Oosthal, voorzijde schacht</t>
  </si>
  <si>
    <t>personeelshuisje op perron</t>
  </si>
  <si>
    <t>luifel achterzijde personeelshuisje</t>
  </si>
  <si>
    <t>gevelkozijn, entreehal (begane grond)</t>
  </si>
  <si>
    <t>gevelkozijn, entreehal (personeelsruimte)</t>
  </si>
  <si>
    <t>gevelkozijn, dakopbouw</t>
  </si>
  <si>
    <t xml:space="preserve">Entreehal, voorzijde schacht </t>
  </si>
  <si>
    <t>gevelkozijn, Westhal (begane grond)</t>
  </si>
  <si>
    <t>boven entree Westhal</t>
  </si>
  <si>
    <t>boven perrondak Westhal</t>
  </si>
  <si>
    <t>balustrade perron - trap hal West</t>
  </si>
  <si>
    <t>voorzijde en zijkant schacht Westhal</t>
  </si>
  <si>
    <t>gevelkozijn, entreehal West (vide-spoor)</t>
  </si>
  <si>
    <t>boven entree Oosthal</t>
  </si>
  <si>
    <t>boven perrondak Oosthal</t>
  </si>
  <si>
    <t>balustrade perron - trap hal Oost</t>
  </si>
  <si>
    <t>voorzijde en zijkant schacht Oosthal</t>
  </si>
  <si>
    <t>kozijn tussen 0 0102 en 0 0203</t>
  </si>
  <si>
    <t>gevelkozijn, dienstgang Oosthal</t>
  </si>
  <si>
    <t>gevelkozijn, (buitenbordes-Oosthal)</t>
  </si>
  <si>
    <t>gevelkozijn, personeelsruimte (begane grond)</t>
  </si>
  <si>
    <t>gevelkozijn, entreehal (vide-spoor)</t>
  </si>
  <si>
    <t>gevelkozijn, entreehal (perron-spoor)</t>
  </si>
  <si>
    <t>lichtstraat boven trappen</t>
  </si>
  <si>
    <t>hal, voorzijde en zijkant schacht</t>
  </si>
  <si>
    <t>balustrade perron - trap hal</t>
  </si>
  <si>
    <t>glazen dak boven perron</t>
  </si>
  <si>
    <t>glazen dak boven perron - spoor</t>
  </si>
  <si>
    <t>beglazing buitenzijde spoor</t>
  </si>
  <si>
    <t>beglazing kopkanten boven perron</t>
  </si>
  <si>
    <t>beglazing kopkanten boven perron - spoor</t>
  </si>
  <si>
    <t>gevelkozijn, voorzijde entreehal</t>
  </si>
  <si>
    <t>gevelkozijn, zijgevels entreehal</t>
  </si>
  <si>
    <t>totale schacht</t>
  </si>
  <si>
    <t>beglazing binnenkozijnen hal</t>
  </si>
  <si>
    <t>gevelkozijn, zijgevels perron</t>
  </si>
  <si>
    <t>beglazing deuren van o.a. 0 1901, 1 1903</t>
  </si>
  <si>
    <t>glazen dak boven roltrap - lift</t>
  </si>
  <si>
    <t>schacht hal</t>
  </si>
  <si>
    <t>schacht perron</t>
  </si>
  <si>
    <t>beglazing personeelsruimte - gevel</t>
  </si>
  <si>
    <t>Glassoort</t>
  </si>
  <si>
    <t>Kosten per beurt</t>
  </si>
  <si>
    <t>Kosten per jaar</t>
  </si>
  <si>
    <t>OPEN CONSTRUCTIES ONDER PERRON REINIGEN</t>
  </si>
  <si>
    <t>EINDTOTAAL</t>
  </si>
  <si>
    <t>Frequentie / werkzaamheden</t>
  </si>
  <si>
    <t>Diemen-Zuid</t>
  </si>
  <si>
    <t>Verrijn stuartweg</t>
  </si>
  <si>
    <t>fixed barriers (1,70 meter hoog)</t>
  </si>
  <si>
    <t>Fixed barriers</t>
  </si>
  <si>
    <t>M2 Glas</t>
  </si>
  <si>
    <t xml:space="preserve">Tegels / beton </t>
  </si>
  <si>
    <t>staal</t>
  </si>
  <si>
    <t>computervloer</t>
  </si>
  <si>
    <t>beton / tegels</t>
  </si>
  <si>
    <t>betontegel</t>
  </si>
  <si>
    <t>stoeptegel</t>
  </si>
  <si>
    <t>asfalt</t>
  </si>
  <si>
    <t>geen ruimte van GVB</t>
  </si>
  <si>
    <t>Achter expositie, gaat weg?</t>
  </si>
  <si>
    <t>input diederick</t>
  </si>
  <si>
    <t>kelder hier hoeft niks te gebeuren</t>
  </si>
  <si>
    <t>Stationsnr</t>
  </si>
  <si>
    <t>Tijdstip</t>
  </si>
  <si>
    <t>van der Madeweg</t>
  </si>
  <si>
    <t>Perron m²</t>
  </si>
  <si>
    <t>Hallen m²</t>
  </si>
  <si>
    <t>SUPPLETIEKOSTEN OVERNAME PERSONEEL</t>
  </si>
  <si>
    <t>Oostlijn Ondergronds</t>
  </si>
  <si>
    <t>reinigen geveldelen opgangen buitenzijde op straatniveau</t>
  </si>
  <si>
    <t>reinigen geverfde geveldelen buiten het station op straat niveau</t>
  </si>
  <si>
    <t>overzijde entree tussen de regenpijpen</t>
  </si>
  <si>
    <t>gevel onderzijde station parkeerplaatszijde</t>
  </si>
  <si>
    <t xml:space="preserve">gevel beplating boven entree buitenzijde </t>
  </si>
  <si>
    <t>wanden binnenzijde hoge stationshal</t>
  </si>
  <si>
    <t>plafond binnenzijde hoge stationshal incl. constructie, lampen en speakers</t>
  </si>
  <si>
    <t>wanden op straatniveau onder viaduct</t>
  </si>
  <si>
    <t>de opgangen boven straatniveau aan de buitenzijde</t>
  </si>
  <si>
    <t>opgenomen in andere ruimte</t>
  </si>
  <si>
    <t>Eind totaal</t>
  </si>
  <si>
    <t>Perron A</t>
  </si>
  <si>
    <t>Steen</t>
  </si>
  <si>
    <t>metaal</t>
  </si>
  <si>
    <t xml:space="preserve">gang  </t>
  </si>
  <si>
    <t xml:space="preserve">technische ruimte </t>
  </si>
  <si>
    <t xml:space="preserve">berging </t>
  </si>
  <si>
    <t>Perron B</t>
  </si>
  <si>
    <t xml:space="preserve">toilet </t>
  </si>
  <si>
    <t xml:space="preserve">trap </t>
  </si>
  <si>
    <t>rooster</t>
  </si>
  <si>
    <t>Nacht 01.00 /05.00</t>
  </si>
  <si>
    <t>Inzet LWB/veiligheidspersoon / leider lokale veiligheid spoor 2</t>
  </si>
  <si>
    <t>Kosten veiligheidspersoon / leider lokale veiligheid per beurt</t>
  </si>
  <si>
    <t>Kosten veiligheidspersoon / leider lokale veiligheid per jaar</t>
  </si>
  <si>
    <t>% veiligheidspersoon / leider lokale veiligheid</t>
  </si>
  <si>
    <t>Uren per beurt</t>
  </si>
  <si>
    <t>Schoonmaak</t>
  </si>
  <si>
    <t>Toezicht</t>
  </si>
  <si>
    <t>Roltraptreden vrij van gehecht vuil (incl. groeven)</t>
  </si>
  <si>
    <t>0</t>
  </si>
  <si>
    <t>Datum:</t>
  </si>
  <si>
    <t>Handtekening rechtsgeldig vertegenwoordiger:</t>
  </si>
  <si>
    <t>Naam:</t>
  </si>
  <si>
    <t>Functie:</t>
  </si>
  <si>
    <t>Organisatie:</t>
  </si>
  <si>
    <t>Houten delen inclusief constructie boven de 2,5 meter</t>
  </si>
  <si>
    <t>Liter</t>
  </si>
  <si>
    <t>Producten</t>
  </si>
  <si>
    <t>Pre Clean N-creme</t>
  </si>
  <si>
    <t>Pre Clean AL 10</t>
  </si>
  <si>
    <t>PreCare RenoCoat</t>
  </si>
  <si>
    <t>Materialen en bereikbaarheidsvoorzieningen</t>
  </si>
  <si>
    <t>Afspoelen met leiding water</t>
  </si>
  <si>
    <t>Innevelen met AL 10</t>
  </si>
  <si>
    <t>Afspoelen warm water ( HD)</t>
  </si>
  <si>
    <t>Voorgeschreven methodiek</t>
  </si>
  <si>
    <t>Conserveren met RenoCoat</t>
  </si>
  <si>
    <t>Handmatig polijsten met N-creme</t>
  </si>
  <si>
    <t>Uren per eenheid</t>
  </si>
  <si>
    <t>Glas binnenzijde boven perron</t>
  </si>
  <si>
    <t>Glas binnenzijde boven spoor, uitvoering in het spoor</t>
  </si>
  <si>
    <t>Glas buitenzijde boven perron</t>
  </si>
  <si>
    <t>Glas buitenzijde boven spoor</t>
  </si>
  <si>
    <t>Buitenruimte tourniquets</t>
  </si>
  <si>
    <t>bestrating</t>
  </si>
  <si>
    <t>Prijs p/uur  excl. btw</t>
  </si>
  <si>
    <t>Medewerker regulier onderhoud</t>
  </si>
  <si>
    <t>Medewerker specialistisch onderhoud</t>
  </si>
  <si>
    <t>Veiligheidspersoon / leider lokale veiligheid</t>
  </si>
  <si>
    <t>Onderhoudskosten per jaar</t>
  </si>
  <si>
    <t>Ingang Stadstimmertuin</t>
  </si>
  <si>
    <t>Ingang Sarphatistraat</t>
  </si>
  <si>
    <t>Mutatiedatum</t>
  </si>
  <si>
    <t>Omschrijving mutatie</t>
  </si>
  <si>
    <t>Doorgevoerd</t>
  </si>
  <si>
    <t>Aanvullende opmerking</t>
  </si>
  <si>
    <t>Centraal station</t>
  </si>
  <si>
    <t>Centraal Station</t>
  </si>
  <si>
    <t>Rai</t>
  </si>
  <si>
    <t>Ringlijn</t>
  </si>
  <si>
    <t>Lelylaan</t>
  </si>
  <si>
    <t>Sloterdijk</t>
  </si>
  <si>
    <t>Amstelveenseweg</t>
  </si>
  <si>
    <t>Jan van Galenstraat</t>
  </si>
  <si>
    <t>De Vluchtlaan</t>
  </si>
  <si>
    <t>Henk Sneevlietweg</t>
  </si>
  <si>
    <t>Heemstedestraat</t>
  </si>
  <si>
    <t>Postjesweg</t>
  </si>
  <si>
    <t>Amstelveenlijn</t>
  </si>
  <si>
    <t>Van Boshuizenstraat</t>
  </si>
  <si>
    <t>Uilenstede</t>
  </si>
  <si>
    <t>Kronenburg</t>
  </si>
  <si>
    <t>Zonnestein</t>
  </si>
  <si>
    <t>Onderuit</t>
  </si>
  <si>
    <t>Oranjebaan</t>
  </si>
  <si>
    <t>Overamstel</t>
  </si>
  <si>
    <t>De Vluchtlkaan</t>
  </si>
  <si>
    <t>Isolatorweg</t>
  </si>
  <si>
    <t>wanden , ingangen-trappen landhoofd</t>
  </si>
  <si>
    <t>Liftopbouw</t>
  </si>
  <si>
    <t>RAI</t>
  </si>
  <si>
    <t>Opgang, perron</t>
  </si>
  <si>
    <t>Binnenzijde ruimte</t>
  </si>
  <si>
    <t>Buitengevel, spoorzijde</t>
  </si>
  <si>
    <t>Buitengevel, perron</t>
  </si>
  <si>
    <t>Opgang</t>
  </si>
  <si>
    <t>T&amp;I</t>
  </si>
  <si>
    <t>Buitengevel</t>
  </si>
  <si>
    <t>Binnenzijde, opgang naast NS</t>
  </si>
  <si>
    <t>Buitenzijde, opgang naast NS, in spoor</t>
  </si>
  <si>
    <t>Buitenzijde, opgang naast NS</t>
  </si>
  <si>
    <t>Plat, opgang naast NS</t>
  </si>
  <si>
    <t>Ronding, opgang naast NS</t>
  </si>
  <si>
    <t>lift, opgang naast NS</t>
  </si>
  <si>
    <t>Binnenzijde opgang</t>
  </si>
  <si>
    <t>Buitenzijde opgang, in spoor</t>
  </si>
  <si>
    <t>Buitenzijde opgang</t>
  </si>
  <si>
    <t>Plat</t>
  </si>
  <si>
    <t>Ronding</t>
  </si>
  <si>
    <t>Sheddak in hal</t>
  </si>
  <si>
    <t>Puien trap - perron, spoorzijde</t>
  </si>
  <si>
    <t>Puien trap - perron, perronzijde</t>
  </si>
  <si>
    <t>Puien trap - perron, trapzijde</t>
  </si>
  <si>
    <t>Gebogen puien trap - perron, spoorzijde</t>
  </si>
  <si>
    <t>Gebogen puien trap - perron, perronzijde</t>
  </si>
  <si>
    <t>Gebogen puien trap - perron, trapzijde</t>
  </si>
  <si>
    <t>Pui perron naast lift</t>
  </si>
  <si>
    <t>Trap / Liftschacht</t>
  </si>
  <si>
    <t>Entree perron</t>
  </si>
  <si>
    <t>Zijkant schacht op perron</t>
  </si>
  <si>
    <t>Voorzijde schacht vanaf maaiveld</t>
  </si>
  <si>
    <t>Zijkant schacht naast trap</t>
  </si>
  <si>
    <t>Puien boven trap entree, trapzijde</t>
  </si>
  <si>
    <t>Puien boven trap entree, buitenzijde</t>
  </si>
  <si>
    <t>Balustrade perron - trap</t>
  </si>
  <si>
    <t>Zijkant schacht in spoor</t>
  </si>
  <si>
    <t>Balustrade perron - trap, 2e toegang</t>
  </si>
  <si>
    <t>Henk sneelvlietweg</t>
  </si>
  <si>
    <t>Balustrade perron - trappen</t>
  </si>
  <si>
    <t>Balustrade kop perron, spoorzijde</t>
  </si>
  <si>
    <t>Balustrade kop perron, perronzijde</t>
  </si>
  <si>
    <t>Ronde ramen in schacht</t>
  </si>
  <si>
    <t>Liftkooi</t>
  </si>
  <si>
    <t>Kap</t>
  </si>
  <si>
    <t>Dienstgang maaiveld</t>
  </si>
  <si>
    <t>0-0202</t>
  </si>
  <si>
    <t>0-0201</t>
  </si>
  <si>
    <t>Jan v. Gaalenstraat</t>
  </si>
  <si>
    <t>Kap spoor</t>
  </si>
  <si>
    <t>Middenkap</t>
  </si>
  <si>
    <t>Balustrade perron trap H = 0,6 m¹</t>
  </si>
  <si>
    <t>Balustrade perron trap H = 2,15 m¹</t>
  </si>
  <si>
    <t>Toegang</t>
  </si>
  <si>
    <t>Balustrade trap</t>
  </si>
  <si>
    <t>Gevelpuien entreehal, binnenzijde</t>
  </si>
  <si>
    <t>Personeelsruimte kop perron</t>
  </si>
  <si>
    <t>Balustrade vide - trap entree</t>
  </si>
  <si>
    <t>Gelijkrichter Ringvaart</t>
  </si>
  <si>
    <t>Gelijkrichterstations</t>
  </si>
  <si>
    <t>0201</t>
  </si>
  <si>
    <t>gevelkozijn, entree</t>
  </si>
  <si>
    <t>plexiglas, glas van deuren in toiletruimten GR RVT niet opgenomen (2x 0,35x 0,70 enkelzijdig gemeten)</t>
  </si>
  <si>
    <t>plexiglas</t>
  </si>
  <si>
    <t>0604</t>
  </si>
  <si>
    <t>gevelkozijnen, werkplaats</t>
  </si>
  <si>
    <t>0901</t>
  </si>
  <si>
    <t>gevelkozijnen, personeelsruimte</t>
  </si>
  <si>
    <t>Gelijkrichter CVL terrein</t>
  </si>
  <si>
    <t>0.001</t>
  </si>
  <si>
    <t>glas van deuren in toiletruimten GR SLW niet opgenomen (2x 0,35x 0,70 enkelzijdig gemeten)</t>
  </si>
  <si>
    <t>0.005</t>
  </si>
  <si>
    <t>traliewerk 2x 1,0x 2,1 m¹</t>
  </si>
  <si>
    <t>0.002</t>
  </si>
  <si>
    <t>Gelijkrichter Strandvliet</t>
  </si>
  <si>
    <t>Gelijkrichter Bullewijk</t>
  </si>
  <si>
    <t>Gelijkrichter Reigersbos</t>
  </si>
  <si>
    <t>glas van deuren in toiletruimten GR RGB niet opgenomen (2x 0,35x 0,70 enkelzijdig gemeten)</t>
  </si>
  <si>
    <t>traliewerk 2x 1,0x 3,0 m¹</t>
  </si>
  <si>
    <t>Gelijkrichter Kraaiennest</t>
  </si>
  <si>
    <t>glas van deuren in toiletruimten GR KEN niet opgenomen (2x 0,35x 0,70 enkelzijdig gemeten)</t>
  </si>
  <si>
    <t>Gelijkrichter Verrijn Stuartweg</t>
  </si>
  <si>
    <t>glas van deuren in toiletruimten GR VSW niet opgenomen (2x 0,35x 0,70 enkelzijdig gemeten)</t>
  </si>
  <si>
    <t>traliewerk 1x 1,0x 2,1 m¹</t>
  </si>
  <si>
    <t>Gelijkrichter Venserpolder</t>
  </si>
  <si>
    <t>glas van deuren in toiletruimten GR VPD niet opgenomen (2x 0,35x 0,70 enkelzijdig gemeten)</t>
  </si>
  <si>
    <t>Gelijkrichter Haarlemmerweg</t>
  </si>
  <si>
    <t>Gelijkrichter Rozenoordbrug</t>
  </si>
  <si>
    <t>Gelijkrichter Schinkelbrug</t>
  </si>
  <si>
    <t>Gelijkrichter Heemstedestraat</t>
  </si>
  <si>
    <t>Gelijkrichter Postjesweg</t>
  </si>
  <si>
    <t>Gelijkrichter Isolatorweg</t>
  </si>
  <si>
    <t>3011</t>
  </si>
  <si>
    <t>30112</t>
  </si>
  <si>
    <t>3021</t>
  </si>
  <si>
    <t>30212</t>
  </si>
  <si>
    <t>3031</t>
  </si>
  <si>
    <t>30312</t>
  </si>
  <si>
    <t>3041</t>
  </si>
  <si>
    <t>30412</t>
  </si>
  <si>
    <t>3052</t>
  </si>
  <si>
    <t>3051</t>
  </si>
  <si>
    <t>30512</t>
  </si>
  <si>
    <t>3061</t>
  </si>
  <si>
    <t>30612</t>
  </si>
  <si>
    <t>30712</t>
  </si>
  <si>
    <t>3071</t>
  </si>
  <si>
    <t>3081</t>
  </si>
  <si>
    <t>30812</t>
  </si>
  <si>
    <t>3091</t>
  </si>
  <si>
    <t>30912</t>
  </si>
  <si>
    <t>3101</t>
  </si>
  <si>
    <t>31012</t>
  </si>
  <si>
    <t>3111</t>
  </si>
  <si>
    <t>31112</t>
  </si>
  <si>
    <t>3121</t>
  </si>
  <si>
    <t>31212</t>
  </si>
  <si>
    <t>4011</t>
  </si>
  <si>
    <t>4021</t>
  </si>
  <si>
    <t>4051</t>
  </si>
  <si>
    <t>4061</t>
  </si>
  <si>
    <t>4071</t>
  </si>
  <si>
    <t>4081</t>
  </si>
  <si>
    <t>A.J. Ernsstraat</t>
  </si>
  <si>
    <t>Zuid-WTC</t>
  </si>
  <si>
    <t>Ringvaart</t>
  </si>
  <si>
    <t>Gelijkrichter station</t>
  </si>
  <si>
    <t>Gelijkrichter Zuid</t>
  </si>
  <si>
    <t>Periodiek heeft alleen betrekking op het hoge gedeelte</t>
  </si>
  <si>
    <t>trappen</t>
  </si>
  <si>
    <t>Trappen incl bordes</t>
  </si>
  <si>
    <t xml:space="preserve">zie tunnelwand </t>
  </si>
  <si>
    <t>trap</t>
  </si>
  <si>
    <t xml:space="preserve">perron </t>
  </si>
  <si>
    <t>T-ruimte</t>
  </si>
  <si>
    <t>LSP-ruimte</t>
  </si>
  <si>
    <t>service kast</t>
  </si>
  <si>
    <t>binnen areeal mv</t>
  </si>
  <si>
    <t>lift  mv (Talud zijde)</t>
  </si>
  <si>
    <t>lift mv (midden)</t>
  </si>
  <si>
    <t>Ticket &amp;info (incl sanitair)</t>
  </si>
  <si>
    <t>tegelvloer toilet 5m2 ….wordt gerenoveerd 2017</t>
  </si>
  <si>
    <t>gang/hal</t>
  </si>
  <si>
    <t>vloer oppbinn poortjes is 52 m2</t>
  </si>
  <si>
    <t>e/S&amp;T ruimte</t>
  </si>
  <si>
    <t>roltrapserviceruimte</t>
  </si>
  <si>
    <t>liftmachine kamer bordes</t>
  </si>
  <si>
    <t xml:space="preserve">lift </t>
  </si>
  <si>
    <t>trap (2x)</t>
  </si>
  <si>
    <t>tegels/coating alles in gang hal opgenomen</t>
  </si>
  <si>
    <t>aluminium met coating</t>
  </si>
  <si>
    <t>Kaartverkoop ticket en info</t>
  </si>
  <si>
    <t>gang/hal mv gvb terrein  (trap)</t>
  </si>
  <si>
    <t>wand 17 m2 golplaat</t>
  </si>
  <si>
    <t>accu</t>
  </si>
  <si>
    <t>roltrap/lift machineruimte</t>
  </si>
  <si>
    <t>onbenoemde lege ruimte</t>
  </si>
  <si>
    <t>lift richt itw</t>
  </si>
  <si>
    <t>golfplaten wand hal en perron</t>
  </si>
  <si>
    <t>2 trappen 76  in tot</t>
  </si>
  <si>
    <t>composiet / gietasfalt</t>
  </si>
  <si>
    <t>perron (onder luifel)</t>
  </si>
  <si>
    <t>hardsteen / betontegel</t>
  </si>
  <si>
    <t>perron (randen)</t>
  </si>
  <si>
    <t>Kaartverkoop rvs huisje</t>
  </si>
  <si>
    <t>2 roltrap 31  in tota</t>
  </si>
  <si>
    <t>HSP ruimte</t>
  </si>
  <si>
    <t>hal achter gateline</t>
  </si>
  <si>
    <t>2 x 45  in totaal</t>
  </si>
  <si>
    <t>straattegels</t>
  </si>
  <si>
    <t>hal (mv-straat)</t>
  </si>
  <si>
    <t>wandafwerking staat onder perron</t>
  </si>
  <si>
    <t>perron cabine</t>
  </si>
  <si>
    <t>laagspanningsruimte</t>
  </si>
  <si>
    <t xml:space="preserve">roltrap </t>
  </si>
  <si>
    <t>s-ruimte</t>
  </si>
  <si>
    <t>transformator ruimte</t>
  </si>
  <si>
    <t>gelijkrichter</t>
  </si>
  <si>
    <t xml:space="preserve">bestrating </t>
  </si>
  <si>
    <t>liftroltrapmachinekmr</t>
  </si>
  <si>
    <t>toilet</t>
  </si>
  <si>
    <t>werkkast</t>
  </si>
  <si>
    <t>vluchtgang</t>
  </si>
  <si>
    <t>lsp</t>
  </si>
  <si>
    <t>roltrappen</t>
  </si>
  <si>
    <t>Transformatorruimte</t>
  </si>
  <si>
    <t>Gelijkrichterruimte</t>
  </si>
  <si>
    <t>(perron (randen)</t>
  </si>
  <si>
    <t>gang / hal</t>
  </si>
  <si>
    <t>perron ( onder luifel)</t>
  </si>
  <si>
    <t>S-ruimte</t>
  </si>
  <si>
    <t>staal met antislipcoating</t>
  </si>
  <si>
    <t>perron excl gla\en bouwsteen</t>
  </si>
  <si>
    <t>perron incl glazen bwsteen</t>
  </si>
  <si>
    <t>stalen platen</t>
  </si>
  <si>
    <t>perron verlenging tegelwerk straat</t>
  </si>
  <si>
    <t>gelijkrichterruimte</t>
  </si>
  <si>
    <t>lift machineruimte</t>
  </si>
  <si>
    <t>keuken</t>
  </si>
  <si>
    <t>werkruimte</t>
  </si>
  <si>
    <t>ict</t>
  </si>
  <si>
    <t>trafo</t>
  </si>
  <si>
    <t>kast</t>
  </si>
  <si>
    <t>trap kelder</t>
  </si>
  <si>
    <t>Personeelruimte</t>
  </si>
  <si>
    <t>0.003</t>
  </si>
  <si>
    <t>0.004</t>
  </si>
  <si>
    <t>Werkplaats</t>
  </si>
  <si>
    <t>Accu</t>
  </si>
  <si>
    <t>0.006</t>
  </si>
  <si>
    <t>Eigen beheer</t>
  </si>
  <si>
    <t>0.007</t>
  </si>
  <si>
    <t>Sectie Schakelruimte</t>
  </si>
  <si>
    <t>0.008</t>
  </si>
  <si>
    <t>gelijkrichterruimte 1</t>
  </si>
  <si>
    <t>0.009</t>
  </si>
  <si>
    <t>Trafo</t>
  </si>
  <si>
    <t>0.010</t>
  </si>
  <si>
    <t>gelijkrichterruimte 2</t>
  </si>
  <si>
    <t>0.011</t>
  </si>
  <si>
    <t>0.012</t>
  </si>
  <si>
    <t>0.013</t>
  </si>
  <si>
    <t>10 K.V.</t>
  </si>
  <si>
    <t>0.014</t>
  </si>
  <si>
    <t>0.015</t>
  </si>
  <si>
    <t>0.016</t>
  </si>
  <si>
    <t>Kleedruimte</t>
  </si>
  <si>
    <t>0.017</t>
  </si>
  <si>
    <t>L.S. Ruimte</t>
  </si>
  <si>
    <t>10 K.V. Schakelruimte</t>
  </si>
  <si>
    <t xml:space="preserve">Traforuimte </t>
  </si>
  <si>
    <t>Entree</t>
  </si>
  <si>
    <t>Trafo ruimte</t>
  </si>
  <si>
    <t>Portaal</t>
  </si>
  <si>
    <t>Schakel ruimte</t>
  </si>
  <si>
    <t>Reigerbos</t>
  </si>
  <si>
    <t>Magazijn</t>
  </si>
  <si>
    <t>Eigenbeheer</t>
  </si>
  <si>
    <t xml:space="preserve">gelijkrichterruimte </t>
  </si>
  <si>
    <t>0.018</t>
  </si>
  <si>
    <t>gelijkrchtersruimte</t>
  </si>
  <si>
    <t>Marmoleum en stalen rooster</t>
  </si>
  <si>
    <t>linkerzijde talud (laagspanning)</t>
  </si>
  <si>
    <t>wanden heraklit platen</t>
  </si>
  <si>
    <t>rechterzijde talud</t>
  </si>
  <si>
    <t>Haarlemmerweg</t>
  </si>
  <si>
    <t>transformatieruimte</t>
  </si>
  <si>
    <t>bestrating rondom</t>
  </si>
  <si>
    <t>Rozenoordbrug</t>
  </si>
  <si>
    <t>nuon ruimte (geen toegang)</t>
  </si>
  <si>
    <t>Schinkelbrug</t>
  </si>
  <si>
    <t>lsp ruimte</t>
  </si>
  <si>
    <t>onderdeel van 0 0202</t>
  </si>
  <si>
    <t>transformatorruimte</t>
  </si>
  <si>
    <t>bordes</t>
  </si>
  <si>
    <t xml:space="preserve">apparatenruimte </t>
  </si>
  <si>
    <t>systeem vloer</t>
  </si>
  <si>
    <t>geen toegang tot deze ruimte</t>
  </si>
  <si>
    <t>Stadshart</t>
  </si>
  <si>
    <t>Ouderkerkerlaan</t>
  </si>
  <si>
    <t>Sportlaan</t>
  </si>
  <si>
    <t>Meent</t>
  </si>
  <si>
    <t>Brink</t>
  </si>
  <si>
    <t>Poortwachter</t>
  </si>
  <si>
    <t>Sacharovlaan</t>
  </si>
  <si>
    <t>Westwijk</t>
  </si>
  <si>
    <t>klinker/straattegel</t>
  </si>
  <si>
    <t>Gele klinker</t>
  </si>
  <si>
    <t>RVS vloerplaat</t>
  </si>
  <si>
    <t>klinker</t>
  </si>
  <si>
    <t>Klinker</t>
  </si>
  <si>
    <t>balustradeglas incl leuning</t>
  </si>
  <si>
    <t>Glas oppervlak lift binnen</t>
  </si>
  <si>
    <t>Glas oppervlak lift buiten</t>
  </si>
  <si>
    <t>Glas in balustrade bij bordes</t>
  </si>
  <si>
    <t>JAARPRIJS TECHNISCHE SCHOONMAAK</t>
  </si>
  <si>
    <t>Ruimte nummer</t>
  </si>
  <si>
    <t>Prijs per uur</t>
  </si>
  <si>
    <t>Medewerker uitvoering</t>
  </si>
  <si>
    <t>Veiligheidspersoon</t>
  </si>
  <si>
    <t>Uurtarieven</t>
  </si>
  <si>
    <t>in m² per uur</t>
  </si>
  <si>
    <t>1-1801</t>
  </si>
  <si>
    <t>0 0401</t>
  </si>
  <si>
    <t>0 0301</t>
  </si>
  <si>
    <t>0 1301</t>
  </si>
  <si>
    <t>1.0102</t>
  </si>
  <si>
    <t>1.0103</t>
  </si>
  <si>
    <t>onbekend</t>
  </si>
  <si>
    <t>1.0104</t>
  </si>
  <si>
    <t>1.0105</t>
  </si>
  <si>
    <t>1.1003</t>
  </si>
  <si>
    <t>1.1004</t>
  </si>
  <si>
    <t>0.0101</t>
  </si>
  <si>
    <t>0.0201</t>
  </si>
  <si>
    <t>0.0202</t>
  </si>
  <si>
    <t>0.0203</t>
  </si>
  <si>
    <t>0.0401</t>
  </si>
  <si>
    <t>0.0501</t>
  </si>
  <si>
    <t>0.0601</t>
  </si>
  <si>
    <t>0.0801</t>
  </si>
  <si>
    <t>Lift 12</t>
  </si>
  <si>
    <t>Lift 22</t>
  </si>
  <si>
    <t>0.13.201</t>
  </si>
  <si>
    <t>0.1301</t>
  </si>
  <si>
    <t>0.1302</t>
  </si>
  <si>
    <t>0.1801</t>
  </si>
  <si>
    <t>0.1901</t>
  </si>
  <si>
    <t>0.1902</t>
  </si>
  <si>
    <t>0.1903</t>
  </si>
  <si>
    <t>2.0102</t>
  </si>
  <si>
    <t>2.0103</t>
  </si>
  <si>
    <t>2.0104</t>
  </si>
  <si>
    <t>2.0105</t>
  </si>
  <si>
    <t>2.1009</t>
  </si>
  <si>
    <t>2.1010</t>
  </si>
  <si>
    <t>1.0101</t>
  </si>
  <si>
    <t>1.0202</t>
  </si>
  <si>
    <t>1.0801</t>
  </si>
  <si>
    <t>1.0802</t>
  </si>
  <si>
    <t>1.0901</t>
  </si>
  <si>
    <t>1.0902</t>
  </si>
  <si>
    <t>1.0903</t>
  </si>
  <si>
    <t>1.1302</t>
  </si>
  <si>
    <t>1.1905</t>
  </si>
  <si>
    <t>0.0301</t>
  </si>
  <si>
    <t>0.0602</t>
  </si>
  <si>
    <t>0.1001</t>
  </si>
  <si>
    <t>0.1002</t>
  </si>
  <si>
    <t>0.1003</t>
  </si>
  <si>
    <t>0.1004</t>
  </si>
  <si>
    <t>Lift 13</t>
  </si>
  <si>
    <t>Lift 14</t>
  </si>
  <si>
    <t>Lift 23</t>
  </si>
  <si>
    <t>0.1008</t>
  </si>
  <si>
    <t>0.1401</t>
  </si>
  <si>
    <t>0 0501</t>
  </si>
  <si>
    <t>0 0902</t>
  </si>
  <si>
    <t xml:space="preserve">0 0402 </t>
  </si>
  <si>
    <t>0.0102</t>
  </si>
  <si>
    <t>0.0502</t>
  </si>
  <si>
    <t>0.0503</t>
  </si>
  <si>
    <t>0.0802</t>
  </si>
  <si>
    <t>0.0901</t>
  </si>
  <si>
    <t>0.0902</t>
  </si>
  <si>
    <t>0.1005</t>
  </si>
  <si>
    <t>0.1006</t>
  </si>
  <si>
    <t>0.05.201</t>
  </si>
  <si>
    <t>0.1303</t>
  </si>
  <si>
    <t>1.1007</t>
  </si>
  <si>
    <t>1.1008</t>
  </si>
  <si>
    <t>1.1001</t>
  </si>
  <si>
    <t>1.1002</t>
  </si>
  <si>
    <t>1.0204</t>
  </si>
  <si>
    <t>1.0501</t>
  </si>
  <si>
    <t>1.0602</t>
  </si>
  <si>
    <t>1.0601</t>
  </si>
  <si>
    <t>1.0401</t>
  </si>
  <si>
    <t>0.1201</t>
  </si>
  <si>
    <t>1.19.101</t>
  </si>
  <si>
    <t>0.0402</t>
  </si>
  <si>
    <t>0.0403</t>
  </si>
  <si>
    <t>0.0803</t>
  </si>
  <si>
    <t>1.0301</t>
  </si>
  <si>
    <t>1.0302</t>
  </si>
  <si>
    <t>1.1009</t>
  </si>
  <si>
    <t>2.1011</t>
  </si>
  <si>
    <t>0.0204</t>
  </si>
  <si>
    <t>0.0205</t>
  </si>
  <si>
    <t>0.0206</t>
  </si>
  <si>
    <t>0.0207</t>
  </si>
  <si>
    <t>0.0804</t>
  </si>
  <si>
    <t>34 (0.1003)</t>
  </si>
  <si>
    <t>0.1007</t>
  </si>
  <si>
    <t>31 (0.1008)</t>
  </si>
  <si>
    <t>0.1009</t>
  </si>
  <si>
    <t>1006</t>
  </si>
  <si>
    <t>1009</t>
  </si>
  <si>
    <t>0.0103</t>
  </si>
  <si>
    <t>0.03.704</t>
  </si>
  <si>
    <t>0.0302</t>
  </si>
  <si>
    <t>0.0303</t>
  </si>
  <si>
    <t>0.15.201</t>
  </si>
  <si>
    <t>0.18.302</t>
  </si>
  <si>
    <t>0.1911</t>
  </si>
  <si>
    <t>1.1301</t>
  </si>
  <si>
    <t>31 (0.1005)</t>
  </si>
  <si>
    <t>1-1905</t>
  </si>
  <si>
    <t>1-1906</t>
  </si>
  <si>
    <t>0 0601</t>
  </si>
  <si>
    <t>0 0801</t>
  </si>
  <si>
    <t>0 0901</t>
  </si>
  <si>
    <t>0 1003</t>
  </si>
  <si>
    <t>1 0203</t>
  </si>
  <si>
    <t>1 0401</t>
  </si>
  <si>
    <t>1 1005</t>
  </si>
  <si>
    <t>1 1006</t>
  </si>
  <si>
    <t>1 1909</t>
  </si>
  <si>
    <t>1 1910</t>
  </si>
  <si>
    <t>1 1911</t>
  </si>
  <si>
    <t>2 0104</t>
  </si>
  <si>
    <t>RT 31</t>
  </si>
  <si>
    <t>1-0201</t>
  </si>
  <si>
    <t>1-0301</t>
  </si>
  <si>
    <t>1-0501</t>
  </si>
  <si>
    <t>1-0502</t>
  </si>
  <si>
    <t>1-0601</t>
  </si>
  <si>
    <t>1-1301</t>
  </si>
  <si>
    <t>1-1401</t>
  </si>
  <si>
    <t>0 1006</t>
  </si>
  <si>
    <t>0 1007</t>
  </si>
  <si>
    <t>0 1008</t>
  </si>
  <si>
    <t>1 0202</t>
  </si>
  <si>
    <t>1 0302</t>
  </si>
  <si>
    <t>1 0303</t>
  </si>
  <si>
    <t>1 1009</t>
  </si>
  <si>
    <t>1 1010</t>
  </si>
  <si>
    <t>1 1011</t>
  </si>
  <si>
    <t>RT 33</t>
  </si>
  <si>
    <t>onbekend N</t>
  </si>
  <si>
    <t>onbekend Z</t>
  </si>
  <si>
    <t xml:space="preserve">0 0501 </t>
  </si>
  <si>
    <t>0 0502</t>
  </si>
  <si>
    <t>0 0602</t>
  </si>
  <si>
    <t>0 1005</t>
  </si>
  <si>
    <t>1 1903</t>
  </si>
  <si>
    <t>2 0202</t>
  </si>
  <si>
    <t>2 1006</t>
  </si>
  <si>
    <t>3 1007</t>
  </si>
  <si>
    <t>0 05.101</t>
  </si>
  <si>
    <t>0 05.302</t>
  </si>
  <si>
    <t>0 08.101</t>
  </si>
  <si>
    <t>0 13.101</t>
  </si>
  <si>
    <t>1 04.101</t>
  </si>
  <si>
    <t>1 10.302</t>
  </si>
  <si>
    <t>2 0901</t>
  </si>
  <si>
    <t>2 0902</t>
  </si>
  <si>
    <t>RT 13</t>
  </si>
  <si>
    <t>RT 23</t>
  </si>
  <si>
    <t>0 0204</t>
  </si>
  <si>
    <t>0 0302</t>
  </si>
  <si>
    <t>0 0303</t>
  </si>
  <si>
    <t>0 0304</t>
  </si>
  <si>
    <t>0 0402 / 0 0301</t>
  </si>
  <si>
    <t>0 0503 / 0 05.203</t>
  </si>
  <si>
    <t>0 0602 / 0 15.201</t>
  </si>
  <si>
    <t>0 0803</t>
  </si>
  <si>
    <t>0 1004 / geen nr.</t>
  </si>
  <si>
    <t>0 1801</t>
  </si>
  <si>
    <t>0 1905 / 0 1802</t>
  </si>
  <si>
    <t>0 0101 / 0 0102</t>
  </si>
  <si>
    <t xml:space="preserve">0 0101 </t>
  </si>
  <si>
    <t>0.0101/0.0102</t>
  </si>
  <si>
    <t>0 0103</t>
  </si>
  <si>
    <t>1 0101</t>
  </si>
  <si>
    <t>ri itw</t>
  </si>
  <si>
    <t>ri centr</t>
  </si>
  <si>
    <t>1 1002</t>
  </si>
  <si>
    <t>richting lift</t>
  </si>
  <si>
    <t>1 0105</t>
  </si>
  <si>
    <t>??</t>
  </si>
  <si>
    <t>0 03.7</t>
  </si>
  <si>
    <t>0 0201.4</t>
  </si>
  <si>
    <t>0 0901,1</t>
  </si>
  <si>
    <t>0 0201.1</t>
  </si>
  <si>
    <t>1 1901</t>
  </si>
  <si>
    <t>1. 0101</t>
  </si>
  <si>
    <t>1. 0102</t>
  </si>
  <si>
    <t>1. 0103</t>
  </si>
  <si>
    <t>1. 1901</t>
  </si>
  <si>
    <t>0. 1001</t>
  </si>
  <si>
    <t>0. 0201</t>
  </si>
  <si>
    <t>0. 0401</t>
  </si>
  <si>
    <t>0. 0801</t>
  </si>
  <si>
    <t>0. 0501</t>
  </si>
  <si>
    <t>0. 0202</t>
  </si>
  <si>
    <t>0. 0301</t>
  </si>
  <si>
    <t>0. 0601</t>
  </si>
  <si>
    <t>0-0602</t>
  </si>
  <si>
    <t>1  0102</t>
  </si>
  <si>
    <t>0 1201</t>
  </si>
  <si>
    <t xml:space="preserve">0 0201 </t>
  </si>
  <si>
    <t>3 st</t>
  </si>
  <si>
    <t>4 st</t>
  </si>
  <si>
    <t>1 1003</t>
  </si>
  <si>
    <t>1 0102 + 1 0101</t>
  </si>
  <si>
    <t>1 0101 en 1 0102</t>
  </si>
  <si>
    <t>1 0201</t>
  </si>
  <si>
    <t>1 0801</t>
  </si>
  <si>
    <t>1 0901</t>
  </si>
  <si>
    <t>1-0501-1 en 2</t>
  </si>
  <si>
    <t>0 0604</t>
  </si>
  <si>
    <t>0 0701</t>
  </si>
  <si>
    <t>0 0605</t>
  </si>
  <si>
    <t>0 0607</t>
  </si>
  <si>
    <t>0 0606</t>
  </si>
  <si>
    <t>0 0903</t>
  </si>
  <si>
    <t>0 0608</t>
  </si>
  <si>
    <t xml:space="preserve"> 0 0609</t>
  </si>
  <si>
    <t xml:space="preserve"> 0 0610</t>
  </si>
  <si>
    <t>0 0611</t>
  </si>
  <si>
    <t>B5</t>
  </si>
  <si>
    <t>B6</t>
  </si>
  <si>
    <t>B7</t>
  </si>
  <si>
    <t>Opgave m2 is indicatief, werkelijkheid kan afwijken</t>
  </si>
  <si>
    <t>reinigen betegelde geveldelen buiten het station op straatniveau</t>
  </si>
  <si>
    <t>reinigen en conserveren van de RVS beplating buiten het station, opgang blauwe brug en mac-bike</t>
  </si>
  <si>
    <t>Totaal kosten 
per jaar</t>
  </si>
  <si>
    <t>M2 
VLOER</t>
  </si>
  <si>
    <t>M2 
wand betegeld</t>
  </si>
  <si>
    <t>M2 
wand gecoat</t>
  </si>
  <si>
    <t>M2 
wand onbehandeld</t>
  </si>
  <si>
    <t>M2 
wand RVS</t>
  </si>
  <si>
    <t>M2 
wand
schilder werk</t>
  </si>
  <si>
    <t>M2 
plafond
panelen</t>
  </si>
  <si>
    <t>Toegang Nieuwmarkt</t>
  </si>
  <si>
    <t>Alleen raam techr.4-0223 is 0,7</t>
  </si>
  <si>
    <t>Nu Expo BB</t>
  </si>
  <si>
    <t xml:space="preserve">Toegang stadhuis </t>
  </si>
  <si>
    <t xml:space="preserve"> Toegang zuid</t>
  </si>
  <si>
    <t>Stadtimmertuin</t>
  </si>
  <si>
    <t>Stadtimmertuin Deuren</t>
  </si>
  <si>
    <t>Ah to Go</t>
  </si>
  <si>
    <t>broodjeswinkel 1</t>
  </si>
  <si>
    <t>broodjeswinkel 2</t>
  </si>
  <si>
    <t>commerciel leeg</t>
  </si>
  <si>
    <t>deuren Grensstraat</t>
  </si>
  <si>
    <t>schacht Grensstraat</t>
  </si>
  <si>
    <t>2-1701 en 2-1702</t>
  </si>
  <si>
    <t>broodjeszaak</t>
  </si>
  <si>
    <t xml:space="preserve">deuren </t>
  </si>
  <si>
    <t>Toegang oost binnen</t>
  </si>
  <si>
    <t>Toegang oost buiten</t>
  </si>
  <si>
    <t>Toegang west binnen</t>
  </si>
  <si>
    <t>Toegang west buiten</t>
  </si>
  <si>
    <t>Liftschacht binnenzijde mv</t>
  </si>
  <si>
    <t>Liftschacht buitenzijde mv</t>
  </si>
  <si>
    <t>Liftkooi binnenzijde mv</t>
  </si>
  <si>
    <t>Liftschacht binnenzijde oost</t>
  </si>
  <si>
    <t>Liftschacht buitenzijde oost</t>
  </si>
  <si>
    <t>Liftkooi binnenzijde oost</t>
  </si>
  <si>
    <t>Liftschacht binnenzijde west</t>
  </si>
  <si>
    <t>Liftschacht buitenzijde west</t>
  </si>
  <si>
    <t>Liftkooi binnenzijde west</t>
  </si>
  <si>
    <t>Expo ruimte gevel binnen</t>
  </si>
  <si>
    <t>Expo ruimte gevel buiten</t>
  </si>
  <si>
    <t>Expo ruimte verdeelhal binnen</t>
  </si>
  <si>
    <t>Expo ruimte verdeelhal buiten</t>
  </si>
  <si>
    <t>Glasgevel boven fietspad binnen oost</t>
  </si>
  <si>
    <t>Glasgevel boven fietspad buiten oost</t>
  </si>
  <si>
    <t>Glasgevel boven fietspad binnen west</t>
  </si>
  <si>
    <t>Glaswand pvr-verdeelhal binnen</t>
  </si>
  <si>
    <t>Glaswand pvr-verdeelhal buiten</t>
  </si>
  <si>
    <t>Twee glazen deuren binnen</t>
  </si>
  <si>
    <t>Twee glazen deuren buiten</t>
  </si>
  <si>
    <t>Balustrade verdeelhal binn en buiten</t>
  </si>
  <si>
    <t>Balustrade perron lift oost bin en buiten</t>
  </si>
  <si>
    <t>Lichtstraat boven trappen oost</t>
  </si>
  <si>
    <t>Lichtstraat boven trappen west</t>
  </si>
  <si>
    <t>Kunst</t>
  </si>
  <si>
    <t>hal, voorzijde schacht Noord</t>
  </si>
  <si>
    <t>liftkooi, deuren Noord</t>
  </si>
  <si>
    <t>Balustrade op perron</t>
  </si>
  <si>
    <t>Personeelruimte maaiveld</t>
  </si>
  <si>
    <t>Wanden techruimten</t>
  </si>
  <si>
    <t>Tarief 
nacht</t>
  </si>
  <si>
    <t>Kosten bereikbaarheidsmiddelen 
per beurt</t>
  </si>
  <si>
    <t>Aantal beurten 
per jaar</t>
  </si>
  <si>
    <t>Kosten bereikbaarheidsmiddelen 
per jaar</t>
  </si>
  <si>
    <t>Kosten totaal 
per jaar</t>
  </si>
  <si>
    <t>2 Technische schoonmaak</t>
  </si>
  <si>
    <t>Stationnummer</t>
  </si>
  <si>
    <t>Te reinigen onderdeel</t>
  </si>
  <si>
    <t>Aantal m2</t>
  </si>
  <si>
    <t>Uurtarief</t>
  </si>
  <si>
    <t>MAXIMALE BOVENGRENS PLAFONDBEDRAG</t>
  </si>
  <si>
    <t>* De inschrijver draagt er zorg voor dat de totstandkoming van het inschrijvingsbedrag overeenkomt met de onderliggende tabbladen. Indien dit niet het geval is wordt de inschrijving ongeldig verklaard.</t>
  </si>
  <si>
    <t>* Het door de inschrijver ingediende inschrijfbedrag is de maximale vergoeding voor het gevraagde in de aanbestedingsdocumenten.</t>
  </si>
  <si>
    <t>Frequentie
omschrijving
ma-vr</t>
  </si>
  <si>
    <t xml:space="preserve">Reistijd per beurt
ma-vr
in uren
</t>
  </si>
  <si>
    <t>Uurtarief
ma-vr</t>
  </si>
  <si>
    <t>Kosten totaal</t>
  </si>
  <si>
    <t>M1 ballastbed</t>
  </si>
  <si>
    <t>Freq. Notatie</t>
  </si>
  <si>
    <t xml:space="preserve">Kengetal per M1 </t>
  </si>
  <si>
    <t>Uren per beurt schoonmaak</t>
  </si>
  <si>
    <t>Uren per jaar schoonmaak</t>
  </si>
  <si>
    <t>Uurtarief schoonmaak</t>
  </si>
  <si>
    <t>Uren per jaar veiligheidspersoon
/ leider lokale veiligheid</t>
  </si>
  <si>
    <t>Kosten per jaar veiligheidspersoon / leider lokale veiligheid</t>
  </si>
  <si>
    <t>Totale kosten 
per jaar</t>
  </si>
  <si>
    <t>Grofvuil verwijderen 
(incl. verwijderen bladeren)</t>
  </si>
  <si>
    <t>Grofvuil verwijderen tot achter 3e rail (incl. verwijderen bladeren)</t>
  </si>
  <si>
    <t>Stofzuigen inclusief reinigen halteringsbordjes</t>
  </si>
  <si>
    <t>Open constructies onder perron reinigen</t>
  </si>
  <si>
    <t>Gebouw/station</t>
  </si>
  <si>
    <t>Soort</t>
  </si>
  <si>
    <t>Specificatie</t>
  </si>
  <si>
    <t>Was
frequentie per jaar</t>
  </si>
  <si>
    <t>Opp. M2</t>
  </si>
  <si>
    <t>In het spoor</t>
  </si>
  <si>
    <t>Opmerkingen</t>
  </si>
  <si>
    <t xml:space="preserve">Ruimte nummer </t>
  </si>
  <si>
    <t>4-Kosten Schrobben vloeren</t>
  </si>
  <si>
    <t>5-Kosten aanvullende werkzaamheden</t>
  </si>
  <si>
    <t>6-Kosten reinigen ballastbed (incl. veiligheidspersoon / leider lokale veiligheid)</t>
  </si>
  <si>
    <t>7-Kosten geveldelen 
en wanden 
per jaar</t>
  </si>
  <si>
    <t>8-Kosten  Glasbewassing per jaar</t>
  </si>
  <si>
    <t>9-Kosten machines regulier gemiddeld op basis van M2</t>
  </si>
  <si>
    <t>10-Kosten periodieke 
beurt per jaar</t>
  </si>
  <si>
    <t>Uren per beurt
uitvoering</t>
  </si>
  <si>
    <t>Uren per beurt veiligheidspersoon / leider lokale veiligheid</t>
  </si>
  <si>
    <t>Tarief nacht
uitvoering</t>
  </si>
  <si>
    <t>Tarief nacht
veiligheid</t>
  </si>
  <si>
    <t>Freq.</t>
  </si>
  <si>
    <t>Prijs extra beurt</t>
  </si>
  <si>
    <t>Tarief 
dag
uitvoering</t>
  </si>
  <si>
    <t>Tarief 
dag
veiligheid</t>
  </si>
  <si>
    <t>MAXIMALE ONDERGRENS</t>
  </si>
  <si>
    <t>EINDTOTAAL KOSTEN PER JAAR VAST ONDERHOUD EXCLUSIEF BTW</t>
  </si>
  <si>
    <t>Inschrijvingsbedrag *</t>
  </si>
  <si>
    <t>1 juni 2021</t>
  </si>
  <si>
    <t>AFVLOEIÏNGSKOSTEN OVERNAME PERSONEEL</t>
  </si>
  <si>
    <t>Naam dienstverlener</t>
  </si>
  <si>
    <t>TOTAAL</t>
  </si>
  <si>
    <t>reinigen liftbodem</t>
  </si>
  <si>
    <t>Uren 
per jaar</t>
  </si>
  <si>
    <t>Uren per beurt per lift</t>
  </si>
  <si>
    <t>Frequentie
omschrijving</t>
  </si>
  <si>
    <t>Aantal 
liften</t>
  </si>
  <si>
    <t>Tijdstip tussen</t>
  </si>
  <si>
    <t>06:00 - 21:30 uur</t>
  </si>
  <si>
    <t>00:00 - 06:00 uur</t>
  </si>
  <si>
    <t>m² prijs per beurt uitvoering 06:00 - 21:30</t>
  </si>
  <si>
    <t>m² prijs per beurt uitvoering 00:00 - 06:00</t>
  </si>
  <si>
    <t>Kosten per beurt 06:00 -21:30 uur</t>
  </si>
  <si>
    <t>Versie</t>
  </si>
  <si>
    <t>Uitvoering op maandag t/m vrijdag</t>
  </si>
  <si>
    <t>Uitvoering op maandag t/m vrijdag. De verschillende werkzaamheden dienen gecombineerd in de beurt te worden uitgevoerd.</t>
  </si>
  <si>
    <t>Maandag</t>
  </si>
  <si>
    <t>dinsdag t/m vrijdag</t>
  </si>
  <si>
    <t>maandag t/m vrijdag</t>
  </si>
  <si>
    <t>00:06 - 21:30 uur</t>
  </si>
  <si>
    <t>maandag t/m donderdag</t>
  </si>
  <si>
    <t>21:30 - 24:00 uur</t>
  </si>
  <si>
    <t>Vrijdag</t>
  </si>
  <si>
    <t>Medewerker</t>
  </si>
  <si>
    <t>Dag van de week</t>
  </si>
  <si>
    <t>GVB Infra B.V.</t>
  </si>
  <si>
    <t>2021-03</t>
  </si>
  <si>
    <t>Ruimte categorie</t>
  </si>
  <si>
    <t>Stations klasse of aparte frequentie</t>
  </si>
  <si>
    <t>Oplever code</t>
  </si>
  <si>
    <t>Frequentie per jaar</t>
  </si>
  <si>
    <t>M2 VLOER</t>
  </si>
  <si>
    <t>Niet van toepassing</t>
  </si>
  <si>
    <t>2 x per jaar</t>
  </si>
  <si>
    <t>NVT</t>
  </si>
  <si>
    <t>NVT.0000</t>
  </si>
  <si>
    <t>Kantoren/spreekkamers</t>
  </si>
  <si>
    <t>KAN.0002</t>
  </si>
  <si>
    <t>Sanitair</t>
  </si>
  <si>
    <t>1 x per maand</t>
  </si>
  <si>
    <t>SAN.0012</t>
  </si>
  <si>
    <t>Gangen</t>
  </si>
  <si>
    <t>GAN.0002</t>
  </si>
  <si>
    <t>Berging/opslag/magazijn</t>
  </si>
  <si>
    <t>BER.0002</t>
  </si>
  <si>
    <t>TRA.0002</t>
  </si>
  <si>
    <t>Bestrating</t>
  </si>
  <si>
    <t>BES.0002</t>
  </si>
  <si>
    <t>Ruimtestaat Gelijkrichter stations</t>
  </si>
  <si>
    <t>14-Kosten  schoonmaak Gelijkrichter 
per jaar</t>
  </si>
  <si>
    <t>Sanitair
Opp in m2 
freq 12 x p.j.</t>
  </si>
  <si>
    <t>Overige ruimten
Opp in m2
freq 2 x p.j.</t>
  </si>
  <si>
    <t>Sanitair
uren/beurt
freq 12 x p.j.</t>
  </si>
  <si>
    <t>Overige ruimten
uren/beurt
freq 2 x p.j.</t>
  </si>
  <si>
    <t>Uren/jaar</t>
  </si>
  <si>
    <t>Kosten/jaar</t>
  </si>
  <si>
    <t>Gelijkrichter stations</t>
  </si>
  <si>
    <t>1 x per jaar</t>
  </si>
  <si>
    <t>GAN.0001</t>
  </si>
  <si>
    <t>Op afroep</t>
  </si>
  <si>
    <t>TRA.0001</t>
  </si>
  <si>
    <t>Norm tbv jaarlijks reinigen
dienstruimten</t>
  </si>
  <si>
    <t>Dienstruimten opp in m2
freq. 1 x p.j.</t>
  </si>
  <si>
    <t>Reinigen
Uren/beurt</t>
  </si>
  <si>
    <t>15- Kosten schoonmaak dienstruimten
per jaar</t>
  </si>
  <si>
    <t>Freq. Per jaar</t>
  </si>
  <si>
    <t>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</si>
</sst>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(* #,##0.00_);_(* \(#,##0.00\);_(* &quot;-&quot;??_);_(@_)"/>
    <numFmt numFmtId="168" formatCode="_-* #,##0_-;_-* #,##0\-;_-* &quot;-&quot;??_-;_-@_-"/>
    <numFmt numFmtId="169" formatCode="000"/>
    <numFmt numFmtId="170" formatCode="_-&quot;ƒ&quot;\ * #,##0.00_-;_-&quot;ƒ&quot;\ * #,##0.00\-;_-&quot;ƒ&quot;\ * &quot;-&quot;??_-;_-@_-"/>
    <numFmt numFmtId="171" formatCode="_-&quot;€&quot;* #,##0.00_-;\-&quot;€&quot;* #,##0.00_-;_-&quot;€&quot;* &quot;-&quot;??_-;_-@_-"/>
    <numFmt numFmtId="172" formatCode="[$-413]d\-mmm\-yy;@"/>
    <numFmt numFmtId="173" formatCode="_-* #,##0.0_-;_-* #,##0.0\-;_-* &quot;-&quot;??_-;_-@_-"/>
    <numFmt numFmtId="174" formatCode="_-[$€-2]\ * #,##0.00_ ;_-[$€-2]\ * \-#,##0.00\ ;_-[$€-2]\ * &quot;-&quot;??_ ;_-@_ "/>
    <numFmt numFmtId="175" formatCode="_(&quot;ƒ&quot;* #,##0.00_);_(&quot;ƒ&quot;* \(#,##0.00\);_(&quot;ƒ&quot;* &quot;-&quot;??_);_(@_)"/>
    <numFmt numFmtId="176" formatCode="_([$€-2]\ * #,##0.00_);_([$€-2]\ * \(#,##0.00\);_([$€-2]\ * &quot;-&quot;??_);_(@_)"/>
    <numFmt numFmtId="177" formatCode="_ [$€-2]\ * #,##0.00_ ;_ [$€-2]\ * \-#,##0.00_ ;_ [$€-2]\ * &quot;-&quot;??_ ;_ @_ "/>
    <numFmt numFmtId="178" formatCode="0_)"/>
    <numFmt numFmtId="179" formatCode="0.00_)"/>
    <numFmt numFmtId="180" formatCode="00,000"/>
    <numFmt numFmtId="181" formatCode="_ [$€-413]\ * #,##0.00_ ;_ [$€-413]\ * \-#,##0.00_ ;_ [$€-413]\ * &quot;-&quot;??_ ;_ @_ "/>
    <numFmt numFmtId="182" formatCode="#,##0_ ;\-#,##0\ "/>
    <numFmt numFmtId="183" formatCode="_-[$€]\ * #,##0.00_-;_-[$€]\ * #,##0.00\-;_-[$€]\ * &quot;-&quot;??_-;_-@_-"/>
    <numFmt numFmtId="184" formatCode="_-[$€-2]\ * #,##0.00_-;_-[$€-2]\ * #,##0.00\-;_-[$€-2]\ * &quot;-&quot;??_-;_-@_-"/>
    <numFmt numFmtId="185" formatCode="_-* #,##0.0000_-;_-* #,##0.0000\-;_-* &quot;-&quot;??_-;_-@_-"/>
    <numFmt numFmtId="186" formatCode="&quot;fl&quot;\ #,##0_-;[Red]&quot;fl&quot;\ #,##0\-"/>
    <numFmt numFmtId="187" formatCode="0\ &quot;m2&quot;"/>
    <numFmt numFmtId="188" formatCode="[$-409]d/mmm/yy;@"/>
    <numFmt numFmtId="189" formatCode="[$-413]d\ mmmm\ yyyy;@"/>
    <numFmt numFmtId="190" formatCode="_-* #,##0.000000000_-;_-* #,##0.000000000\-;_-* &quot;-&quot;??_-;_-@_-"/>
    <numFmt numFmtId="191" formatCode="_ &quot;€&quot;\ * #,##0.00000_ ;_ &quot;€&quot;\ * \-#,##0.00000_ ;_ &quot;€&quot;\ * &quot;-&quot;??_ ;_ @_ "/>
  </numFmts>
  <fonts count="76">
    <font>
      <sz val="10"/>
      <name val="MS Sans Serif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Helvetica"/>
    </font>
    <font>
      <sz val="10"/>
      <name val="Geneva"/>
    </font>
    <font>
      <sz val="10"/>
      <name val="Arial"/>
      <family val="2"/>
    </font>
    <font>
      <sz val="10"/>
      <name val="Courier"/>
      <family val="3"/>
    </font>
    <font>
      <sz val="8"/>
      <name val="MS Sans Serif"/>
      <family val="2"/>
    </font>
    <font>
      <sz val="9"/>
      <name val="Geneva"/>
    </font>
    <font>
      <sz val="10"/>
      <name val="Verdana"/>
      <family val="2"/>
    </font>
    <font>
      <sz val="8"/>
      <name val="Verdana"/>
      <family val="2"/>
    </font>
    <font>
      <u/>
      <sz val="10"/>
      <color indexed="36"/>
      <name val="Arial"/>
      <family val="2"/>
      <charset val="204"/>
    </font>
    <font>
      <sz val="10"/>
      <name val="Tahoma"/>
      <family val="2"/>
    </font>
    <font>
      <sz val="10"/>
      <color indexed="12"/>
      <name val="Times New Roman"/>
      <family val="1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Helv"/>
    </font>
    <font>
      <sz val="12"/>
      <name val="Arial Narrow"/>
      <family val="2"/>
    </font>
    <font>
      <b/>
      <sz val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0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10"/>
      <color indexed="10"/>
      <name val="Century Gothic"/>
      <family val="2"/>
    </font>
    <font>
      <b/>
      <sz val="10"/>
      <color indexed="10"/>
      <name val="Century Gothic"/>
      <family val="2"/>
    </font>
    <font>
      <sz val="10"/>
      <name val="Century Gothic"/>
      <family val="2"/>
    </font>
    <font>
      <sz val="10"/>
      <color indexed="62"/>
      <name val="Century Gothic"/>
      <family val="2"/>
    </font>
    <font>
      <b/>
      <sz val="12"/>
      <color indexed="18"/>
      <name val="Century Gothic"/>
      <family val="2"/>
    </font>
    <font>
      <sz val="12"/>
      <color indexed="18"/>
      <name val="Century Gothic"/>
      <family val="2"/>
    </font>
    <font>
      <b/>
      <sz val="12"/>
      <color indexed="10"/>
      <name val="Century Gothic"/>
      <family val="2"/>
    </font>
    <font>
      <sz val="10"/>
      <color indexed="18"/>
      <name val="Century Gothic"/>
      <family val="2"/>
    </font>
    <font>
      <b/>
      <sz val="10"/>
      <color indexed="18"/>
      <name val="Century Gothic"/>
      <family val="2"/>
    </font>
    <font>
      <b/>
      <sz val="11"/>
      <name val="Century Gothic"/>
      <family val="2"/>
    </font>
    <font>
      <sz val="9"/>
      <color indexed="10"/>
      <name val="Century Gothic"/>
      <family val="2"/>
    </font>
    <font>
      <b/>
      <sz val="10"/>
      <color rgb="FFFF0000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2"/>
      <color rgb="FFFF0000"/>
      <name val="Century Gothic"/>
      <family val="2"/>
    </font>
    <font>
      <b/>
      <sz val="8"/>
      <name val="Century Gothic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indexed="8"/>
      <name val="Century Gothic"/>
      <family val="2"/>
    </font>
    <font>
      <sz val="16"/>
      <color theme="1"/>
      <name val="Century Gothic"/>
      <family val="2"/>
    </font>
    <font>
      <sz val="10"/>
      <color theme="3" tint="-0.249977111117893"/>
      <name val="Century Gothic"/>
      <family val="2"/>
    </font>
    <font>
      <b/>
      <sz val="10"/>
      <color theme="3" tint="-0.249977111117893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b/>
      <sz val="12"/>
      <color theme="0"/>
      <name val="Century Gothic"/>
      <family val="2"/>
    </font>
    <font>
      <b/>
      <sz val="10"/>
      <color theme="0"/>
      <name val="Century Gothic"/>
      <family val="2"/>
    </font>
    <font>
      <b/>
      <sz val="9"/>
      <color indexed="10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theme="2" tint="-0.249977111117893"/>
        <bgColor indexed="2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AAAFF"/>
        <bgColor indexed="64"/>
      </patternFill>
    </fill>
    <fill>
      <patternFill patternType="solid">
        <fgColor rgb="FFFFFF0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09">
    <xf numFmtId="0" fontId="0" fillId="0" borderId="0"/>
    <xf numFmtId="164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9" fillId="2" borderId="0"/>
    <xf numFmtId="0" fontId="14" fillId="0" borderId="0"/>
    <xf numFmtId="0" fontId="9" fillId="0" borderId="0"/>
    <xf numFmtId="0" fontId="9" fillId="0" borderId="0"/>
    <xf numFmtId="0" fontId="12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8" fillId="0" borderId="0"/>
    <xf numFmtId="0" fontId="8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1" fillId="0" borderId="0"/>
    <xf numFmtId="0" fontId="8" fillId="0" borderId="0"/>
    <xf numFmtId="0" fontId="15" fillId="0" borderId="0"/>
    <xf numFmtId="0" fontId="10" fillId="0" borderId="0"/>
    <xf numFmtId="165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20" fillId="0" borderId="0"/>
    <xf numFmtId="166" fontId="20" fillId="0" borderId="0" applyFont="0" applyFill="0" applyBorder="0" applyAlignment="0" applyProtection="0"/>
    <xf numFmtId="0" fontId="21" fillId="0" borderId="0"/>
    <xf numFmtId="44" fontId="22" fillId="0" borderId="0" applyFont="0" applyFill="0" applyBorder="0" applyAlignment="0" applyProtection="0"/>
    <xf numFmtId="175" fontId="23" fillId="0" borderId="0" applyFont="0" applyFill="0" applyBorder="0" applyAlignment="0" applyProtection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8" fillId="0" borderId="0"/>
    <xf numFmtId="166" fontId="8" fillId="0" borderId="0" applyFont="0" applyFill="0" applyBorder="0" applyAlignment="0" applyProtection="0"/>
    <xf numFmtId="183" fontId="24" fillId="0" borderId="0" applyFont="0" applyFill="0" applyBorder="0" applyAlignment="0" applyProtection="0"/>
    <xf numFmtId="184" fontId="8" fillId="0" borderId="0"/>
    <xf numFmtId="0" fontId="11" fillId="0" borderId="0"/>
    <xf numFmtId="183" fontId="24" fillId="0" borderId="0" applyFont="0" applyFill="0" applyBorder="0" applyAlignment="0" applyProtection="0"/>
    <xf numFmtId="0" fontId="23" fillId="0" borderId="0"/>
    <xf numFmtId="0" fontId="23" fillId="0" borderId="0"/>
    <xf numFmtId="0" fontId="5" fillId="0" borderId="0"/>
    <xf numFmtId="43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2" fillId="0" borderId="0"/>
    <xf numFmtId="0" fontId="11" fillId="0" borderId="0"/>
    <xf numFmtId="18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6" fillId="6" borderId="0" applyNumberFormat="0" applyBorder="0" applyAlignment="0" applyProtection="0"/>
    <xf numFmtId="0" fontId="27" fillId="7" borderId="36" applyNumberFormat="0" applyAlignment="0" applyProtection="0"/>
    <xf numFmtId="0" fontId="28" fillId="8" borderId="37" applyNumberFormat="0" applyAlignment="0" applyProtection="0"/>
    <xf numFmtId="186" fontId="10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9" borderId="0" applyNumberFormat="0" applyBorder="0" applyAlignment="0" applyProtection="0"/>
    <xf numFmtId="0" fontId="31" fillId="0" borderId="38" applyNumberFormat="0" applyFill="0" applyAlignment="0" applyProtection="0"/>
    <xf numFmtId="0" fontId="32" fillId="0" borderId="39" applyNumberFormat="0" applyFill="0" applyAlignment="0" applyProtection="0"/>
    <xf numFmtId="0" fontId="33" fillId="0" borderId="40" applyNumberFormat="0" applyFill="0" applyAlignment="0" applyProtection="0"/>
    <xf numFmtId="0" fontId="33" fillId="0" borderId="0" applyNumberFormat="0" applyFill="0" applyBorder="0" applyAlignment="0" applyProtection="0"/>
    <xf numFmtId="0" fontId="34" fillId="10" borderId="36" applyNumberFormat="0" applyAlignment="0" applyProtection="0"/>
    <xf numFmtId="166" fontId="25" fillId="0" borderId="0">
      <alignment horizontal="center" vertical="center" textRotation="90" wrapText="1"/>
    </xf>
    <xf numFmtId="0" fontId="35" fillId="11" borderId="41"/>
    <xf numFmtId="0" fontId="36" fillId="0" borderId="42" applyNumberFormat="0" applyFill="0" applyAlignment="0" applyProtection="0"/>
    <xf numFmtId="187" fontId="35" fillId="0" borderId="0"/>
    <xf numFmtId="0" fontId="37" fillId="12" borderId="0" applyNumberFormat="0" applyBorder="0" applyAlignment="0" applyProtection="0"/>
    <xf numFmtId="0" fontId="38" fillId="13" borderId="43" applyNumberFormat="0" applyFont="0" applyAlignment="0" applyProtection="0"/>
    <xf numFmtId="0" fontId="39" fillId="7" borderId="44" applyNumberFormat="0" applyAlignment="0" applyProtection="0"/>
    <xf numFmtId="0" fontId="35" fillId="14" borderId="45" applyNumberFormat="0" applyFont="0" applyBorder="0">
      <alignment horizontal="center"/>
    </xf>
    <xf numFmtId="0" fontId="8" fillId="0" borderId="0"/>
    <xf numFmtId="0" fontId="40" fillId="0" borderId="0" applyNumberFormat="0" applyFill="0" applyBorder="0" applyAlignment="0" applyProtection="0"/>
    <xf numFmtId="0" fontId="41" fillId="0" borderId="46" applyNumberFormat="0" applyFill="0" applyAlignment="0" applyProtection="0"/>
    <xf numFmtId="0" fontId="42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183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184" fontId="8" fillId="0" borderId="0"/>
    <xf numFmtId="184" fontId="8" fillId="0" borderId="0"/>
    <xf numFmtId="0" fontId="43" fillId="0" borderId="0" applyFill="0" applyBorder="0"/>
    <xf numFmtId="184" fontId="8" fillId="0" borderId="0"/>
    <xf numFmtId="184" fontId="5" fillId="0" borderId="0"/>
    <xf numFmtId="44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7" fillId="7" borderId="54" applyNumberFormat="0" applyAlignment="0" applyProtection="0"/>
    <xf numFmtId="0" fontId="27" fillId="7" borderId="54" applyNumberFormat="0" applyAlignment="0" applyProtection="0"/>
    <xf numFmtId="0" fontId="27" fillId="7" borderId="54" applyNumberFormat="0" applyAlignment="0" applyProtection="0"/>
    <xf numFmtId="0" fontId="27" fillId="7" borderId="54" applyNumberFormat="0" applyAlignment="0" applyProtection="0"/>
    <xf numFmtId="0" fontId="27" fillId="7" borderId="54" applyNumberFormat="0" applyAlignment="0" applyProtection="0"/>
    <xf numFmtId="0" fontId="27" fillId="7" borderId="54" applyNumberFormat="0" applyAlignment="0" applyProtection="0"/>
    <xf numFmtId="0" fontId="27" fillId="7" borderId="54" applyNumberFormat="0" applyAlignment="0" applyProtection="0"/>
    <xf numFmtId="0" fontId="27" fillId="7" borderId="54" applyNumberFormat="0" applyAlignment="0" applyProtection="0"/>
    <xf numFmtId="0" fontId="27" fillId="7" borderId="54" applyNumberFormat="0" applyAlignment="0" applyProtection="0"/>
    <xf numFmtId="0" fontId="27" fillId="7" borderId="54" applyNumberFormat="0" applyAlignment="0" applyProtection="0"/>
    <xf numFmtId="0" fontId="27" fillId="7" borderId="54" applyNumberFormat="0" applyAlignment="0" applyProtection="0"/>
    <xf numFmtId="0" fontId="27" fillId="7" borderId="54" applyNumberFormat="0" applyAlignment="0" applyProtection="0"/>
    <xf numFmtId="0" fontId="27" fillId="7" borderId="54" applyNumberFormat="0" applyAlignment="0" applyProtection="0"/>
    <xf numFmtId="0" fontId="27" fillId="7" borderId="54" applyNumberFormat="0" applyAlignment="0" applyProtection="0"/>
    <xf numFmtId="0" fontId="27" fillId="7" borderId="54" applyNumberFormat="0" applyAlignment="0" applyProtection="0"/>
    <xf numFmtId="0" fontId="34" fillId="10" borderId="54" applyNumberFormat="0" applyAlignment="0" applyProtection="0"/>
    <xf numFmtId="0" fontId="34" fillId="10" borderId="54" applyNumberFormat="0" applyAlignment="0" applyProtection="0"/>
    <xf numFmtId="0" fontId="34" fillId="10" borderId="54" applyNumberFormat="0" applyAlignment="0" applyProtection="0"/>
    <xf numFmtId="0" fontId="34" fillId="10" borderId="54" applyNumberFormat="0" applyAlignment="0" applyProtection="0"/>
    <xf numFmtId="0" fontId="34" fillId="10" borderId="54" applyNumberFormat="0" applyAlignment="0" applyProtection="0"/>
    <xf numFmtId="0" fontId="34" fillId="10" borderId="54" applyNumberFormat="0" applyAlignment="0" applyProtection="0"/>
    <xf numFmtId="0" fontId="34" fillId="10" borderId="54" applyNumberFormat="0" applyAlignment="0" applyProtection="0"/>
    <xf numFmtId="0" fontId="34" fillId="10" borderId="54" applyNumberFormat="0" applyAlignment="0" applyProtection="0"/>
    <xf numFmtId="0" fontId="34" fillId="10" borderId="54" applyNumberFormat="0" applyAlignment="0" applyProtection="0"/>
    <xf numFmtId="0" fontId="34" fillId="10" borderId="54" applyNumberFormat="0" applyAlignment="0" applyProtection="0"/>
    <xf numFmtId="0" fontId="34" fillId="10" borderId="54" applyNumberFormat="0" applyAlignment="0" applyProtection="0"/>
    <xf numFmtId="0" fontId="34" fillId="10" borderId="54" applyNumberFormat="0" applyAlignment="0" applyProtection="0"/>
    <xf numFmtId="0" fontId="34" fillId="10" borderId="54" applyNumberFormat="0" applyAlignment="0" applyProtection="0"/>
    <xf numFmtId="0" fontId="34" fillId="10" borderId="54" applyNumberFormat="0" applyAlignment="0" applyProtection="0"/>
    <xf numFmtId="0" fontId="34" fillId="10" borderId="54" applyNumberForma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8" fillId="13" borderId="55" applyNumberFormat="0" applyFon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39" fillId="7" borderId="56" applyNumberFormat="0" applyAlignment="0" applyProtection="0"/>
    <xf numFmtId="0" fontId="21" fillId="0" borderId="0"/>
    <xf numFmtId="0" fontId="21" fillId="0" borderId="0"/>
    <xf numFmtId="0" fontId="21" fillId="0" borderId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39" fillId="7" borderId="66" applyNumberFormat="0" applyAlignment="0" applyProtection="0"/>
    <xf numFmtId="0" fontId="39" fillId="7" borderId="71" applyNumberFormat="0" applyAlignment="0" applyProtection="0"/>
    <xf numFmtId="0" fontId="41" fillId="0" borderId="72" applyNumberFormat="0" applyFill="0" applyAlignment="0" applyProtection="0"/>
    <xf numFmtId="0" fontId="1" fillId="0" borderId="0"/>
    <xf numFmtId="0" fontId="34" fillId="10" borderId="69" applyNumberFormat="0" applyAlignment="0" applyProtection="0"/>
    <xf numFmtId="0" fontId="41" fillId="0" borderId="67" applyNumberFormat="0" applyFill="0" applyAlignment="0" applyProtection="0"/>
    <xf numFmtId="0" fontId="27" fillId="7" borderId="64" applyNumberFormat="0" applyAlignment="0" applyProtection="0"/>
    <xf numFmtId="0" fontId="27" fillId="7" borderId="59" applyNumberFormat="0" applyAlignment="0" applyProtection="0"/>
    <xf numFmtId="0" fontId="38" fillId="13" borderId="65" applyNumberFormat="0" applyFont="0" applyAlignment="0" applyProtection="0"/>
    <xf numFmtId="0" fontId="27" fillId="7" borderId="69" applyNumberFormat="0" applyAlignment="0" applyProtection="0"/>
    <xf numFmtId="0" fontId="34" fillId="10" borderId="64" applyNumberFormat="0" applyAlignment="0" applyProtection="0"/>
    <xf numFmtId="0" fontId="34" fillId="10" borderId="59" applyNumberFormat="0" applyAlignment="0" applyProtection="0"/>
    <xf numFmtId="0" fontId="38" fillId="13" borderId="60" applyNumberFormat="0" applyFont="0" applyAlignment="0" applyProtection="0"/>
    <xf numFmtId="0" fontId="39" fillId="7" borderId="61" applyNumberFormat="0" applyAlignment="0" applyProtection="0"/>
    <xf numFmtId="0" fontId="41" fillId="0" borderId="62" applyNumberFormat="0" applyFill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8" fillId="13" borderId="70" applyNumberFormat="0" applyFont="0" applyAlignment="0" applyProtection="0"/>
  </cellStyleXfs>
  <cellXfs count="701">
    <xf numFmtId="0" fontId="0" fillId="0" borderId="0" xfId="0"/>
    <xf numFmtId="0" fontId="8" fillId="0" borderId="0" xfId="42"/>
    <xf numFmtId="0" fontId="18" fillId="0" borderId="0" xfId="42" applyFont="1"/>
    <xf numFmtId="0" fontId="18" fillId="0" borderId="74" xfId="42" applyFont="1" applyBorder="1" applyAlignment="1">
      <alignment horizontal="center"/>
    </xf>
    <xf numFmtId="0" fontId="18" fillId="0" borderId="74" xfId="42" applyFont="1" applyBorder="1"/>
    <xf numFmtId="0" fontId="45" fillId="0" borderId="0" xfId="12" applyFont="1" applyFill="1" applyBorder="1" applyAlignment="1"/>
    <xf numFmtId="0" fontId="46" fillId="0" borderId="0" xfId="12" applyFont="1" applyFill="1" applyAlignment="1"/>
    <xf numFmtId="0" fontId="46" fillId="0" borderId="0" xfId="42" applyFont="1"/>
    <xf numFmtId="49" fontId="47" fillId="0" borderId="0" xfId="11" applyNumberFormat="1" applyFont="1" applyFill="1" applyBorder="1" applyAlignment="1" applyProtection="1">
      <alignment horizontal="left" vertical="top"/>
      <protection hidden="1"/>
    </xf>
    <xf numFmtId="49" fontId="48" fillId="0" borderId="0" xfId="12" applyNumberFormat="1" applyFont="1" applyFill="1" applyBorder="1" applyAlignment="1"/>
    <xf numFmtId="2" fontId="49" fillId="0" borderId="0" xfId="12" applyNumberFormat="1" applyFont="1" applyFill="1" applyBorder="1" applyAlignment="1"/>
    <xf numFmtId="2" fontId="49" fillId="0" borderId="0" xfId="12" applyNumberFormat="1" applyFont="1" applyFill="1" applyAlignment="1"/>
    <xf numFmtId="2" fontId="49" fillId="0" borderId="0" xfId="12" applyNumberFormat="1" applyFont="1" applyFill="1" applyAlignment="1">
      <alignment horizontal="left"/>
    </xf>
    <xf numFmtId="2" fontId="49" fillId="3" borderId="0" xfId="12" applyNumberFormat="1" applyFont="1" applyFill="1" applyBorder="1" applyAlignment="1"/>
    <xf numFmtId="0" fontId="46" fillId="3" borderId="0" xfId="42" applyFont="1" applyFill="1" applyAlignment="1"/>
    <xf numFmtId="188" fontId="50" fillId="0" borderId="0" xfId="12" applyNumberFormat="1" applyFont="1" applyFill="1" applyBorder="1" applyAlignment="1">
      <alignment horizontal="left"/>
    </xf>
    <xf numFmtId="1" fontId="50" fillId="0" borderId="0" xfId="12" applyNumberFormat="1" applyFont="1" applyFill="1" applyBorder="1" applyAlignment="1">
      <alignment horizontal="left"/>
    </xf>
    <xf numFmtId="189" fontId="46" fillId="0" borderId="52" xfId="42" applyNumberFormat="1" applyFont="1" applyBorder="1" applyAlignment="1">
      <alignment horizontal="left"/>
    </xf>
    <xf numFmtId="0" fontId="46" fillId="0" borderId="52" xfId="42" applyFont="1" applyBorder="1"/>
    <xf numFmtId="189" fontId="46" fillId="0" borderId="52" xfId="42" applyNumberFormat="1" applyFont="1" applyBorder="1" applyAlignment="1">
      <alignment horizontal="left" vertical="center"/>
    </xf>
    <xf numFmtId="0" fontId="46" fillId="0" borderId="52" xfId="42" applyFont="1" applyBorder="1" applyAlignment="1">
      <alignment horizontal="left" vertical="center" wrapText="1"/>
    </xf>
    <xf numFmtId="0" fontId="46" fillId="0" borderId="0" xfId="42" applyFont="1" applyAlignment="1">
      <alignment horizontal="left" vertical="center"/>
    </xf>
    <xf numFmtId="0" fontId="46" fillId="0" borderId="52" xfId="42" applyFont="1" applyBorder="1" applyAlignment="1">
      <alignment vertical="center" wrapText="1"/>
    </xf>
    <xf numFmtId="0" fontId="46" fillId="0" borderId="1" xfId="0" applyFont="1" applyBorder="1" applyAlignment="1">
      <alignment horizontal="center"/>
    </xf>
    <xf numFmtId="0" fontId="46" fillId="0" borderId="0" xfId="25" applyFont="1" applyFill="1" applyBorder="1" applyAlignment="1"/>
    <xf numFmtId="0" fontId="46" fillId="0" borderId="0" xfId="25" applyFont="1"/>
    <xf numFmtId="0" fontId="46" fillId="0" borderId="1" xfId="36" applyFont="1" applyFill="1" applyBorder="1"/>
    <xf numFmtId="0" fontId="46" fillId="0" borderId="47" xfId="42" applyFont="1" applyBorder="1" applyAlignment="1">
      <alignment horizontal="center"/>
    </xf>
    <xf numFmtId="0" fontId="46" fillId="0" borderId="47" xfId="17" applyFont="1" applyFill="1" applyBorder="1"/>
    <xf numFmtId="49" fontId="46" fillId="0" borderId="4" xfId="12" applyNumberFormat="1" applyFont="1" applyFill="1" applyBorder="1" applyAlignment="1"/>
    <xf numFmtId="0" fontId="46" fillId="0" borderId="23" xfId="33" applyFont="1" applyBorder="1"/>
    <xf numFmtId="0" fontId="46" fillId="0" borderId="1" xfId="0" applyFont="1" applyFill="1" applyBorder="1" applyAlignment="1">
      <alignment horizontal="center"/>
    </xf>
    <xf numFmtId="0" fontId="46" fillId="0" borderId="0" xfId="0" applyFont="1"/>
    <xf numFmtId="0" fontId="46" fillId="0" borderId="1" xfId="0" applyFont="1" applyBorder="1"/>
    <xf numFmtId="0" fontId="49" fillId="0" borderId="0" xfId="12" applyFont="1" applyFill="1" applyAlignment="1"/>
    <xf numFmtId="49" fontId="49" fillId="0" borderId="0" xfId="12" applyNumberFormat="1" applyFont="1" applyFill="1" applyBorder="1" applyAlignment="1"/>
    <xf numFmtId="0" fontId="49" fillId="0" borderId="0" xfId="12" applyFont="1" applyFill="1" applyAlignment="1">
      <alignment horizontal="left"/>
    </xf>
    <xf numFmtId="0" fontId="46" fillId="0" borderId="0" xfId="12" applyFont="1" applyFill="1" applyAlignment="1">
      <alignment horizontal="left"/>
    </xf>
    <xf numFmtId="49" fontId="46" fillId="0" borderId="0" xfId="12" applyNumberFormat="1" applyFont="1" applyFill="1" applyBorder="1" applyAlignment="1"/>
    <xf numFmtId="174" fontId="46" fillId="0" borderId="0" xfId="35" applyNumberFormat="1" applyFont="1" applyFill="1" applyAlignment="1">
      <alignment horizontal="left"/>
    </xf>
    <xf numFmtId="0" fontId="52" fillId="0" borderId="0" xfId="11" applyNumberFormat="1" applyFont="1" applyFill="1" applyBorder="1" applyAlignment="1" applyProtection="1">
      <alignment horizontal="left"/>
      <protection hidden="1"/>
    </xf>
    <xf numFmtId="2" fontId="46" fillId="0" borderId="0" xfId="12" applyNumberFormat="1" applyFont="1" applyFill="1" applyAlignment="1"/>
    <xf numFmtId="10" fontId="46" fillId="0" borderId="0" xfId="12" applyNumberFormat="1" applyFont="1" applyFill="1" applyAlignment="1">
      <alignment horizontal="left"/>
    </xf>
    <xf numFmtId="174" fontId="46" fillId="0" borderId="6" xfId="35" applyNumberFormat="1" applyFont="1" applyFill="1" applyBorder="1" applyAlignment="1">
      <alignment horizontal="left"/>
    </xf>
    <xf numFmtId="44" fontId="46" fillId="0" borderId="0" xfId="12" applyNumberFormat="1" applyFont="1" applyFill="1" applyAlignment="1"/>
    <xf numFmtId="0" fontId="53" fillId="5" borderId="24" xfId="0" applyFont="1" applyFill="1" applyBorder="1" applyAlignment="1">
      <alignment vertical="center" wrapText="1"/>
    </xf>
    <xf numFmtId="0" fontId="46" fillId="0" borderId="0" xfId="0" applyFont="1" applyAlignment="1">
      <alignment wrapText="1"/>
    </xf>
    <xf numFmtId="0" fontId="55" fillId="0" borderId="0" xfId="0" applyFont="1" applyFill="1"/>
    <xf numFmtId="1" fontId="50" fillId="0" borderId="0" xfId="38" applyNumberFormat="1" applyFont="1" applyFill="1" applyBorder="1" applyAlignment="1">
      <alignment horizontal="left"/>
    </xf>
    <xf numFmtId="0" fontId="46" fillId="0" borderId="0" xfId="17" applyFont="1" applyAlignment="1">
      <alignment horizontal="left"/>
    </xf>
    <xf numFmtId="0" fontId="46" fillId="0" borderId="0" xfId="17" applyFont="1"/>
    <xf numFmtId="2" fontId="48" fillId="0" borderId="0" xfId="12" applyNumberFormat="1" applyFont="1" applyFill="1" applyBorder="1" applyAlignment="1"/>
    <xf numFmtId="2" fontId="49" fillId="0" borderId="0" xfId="12" applyNumberFormat="1" applyFont="1" applyFill="1" applyBorder="1" applyAlignment="1">
      <alignment horizontal="left"/>
    </xf>
    <xf numFmtId="0" fontId="50" fillId="0" borderId="0" xfId="12" applyNumberFormat="1" applyFont="1" applyFill="1" applyBorder="1" applyAlignment="1">
      <alignment horizontal="left"/>
    </xf>
    <xf numFmtId="172" fontId="50" fillId="0" borderId="0" xfId="12" applyNumberFormat="1" applyFont="1" applyFill="1" applyBorder="1" applyAlignment="1">
      <alignment horizontal="left"/>
    </xf>
    <xf numFmtId="166" fontId="46" fillId="4" borderId="1" xfId="12" applyNumberFormat="1" applyFont="1" applyFill="1" applyBorder="1" applyAlignment="1"/>
    <xf numFmtId="181" fontId="59" fillId="0" borderId="1" xfId="39" applyNumberFormat="1" applyFont="1" applyFill="1" applyBorder="1" applyAlignment="1" applyProtection="1">
      <alignment horizontal="right" vertical="center"/>
      <protection hidden="1"/>
    </xf>
    <xf numFmtId="0" fontId="46" fillId="0" borderId="1" xfId="33" applyFont="1" applyBorder="1"/>
    <xf numFmtId="0" fontId="46" fillId="0" borderId="58" xfId="0" applyFont="1" applyBorder="1" applyAlignment="1">
      <alignment horizontal="center"/>
    </xf>
    <xf numFmtId="0" fontId="46" fillId="0" borderId="58" xfId="0" applyFont="1" applyBorder="1"/>
    <xf numFmtId="4" fontId="57" fillId="0" borderId="58" xfId="28" applyNumberFormat="1" applyFont="1" applyBorder="1"/>
    <xf numFmtId="0" fontId="56" fillId="0" borderId="0" xfId="17" applyFont="1"/>
    <xf numFmtId="181" fontId="46" fillId="0" borderId="0" xfId="17" applyNumberFormat="1" applyFont="1"/>
    <xf numFmtId="44" fontId="46" fillId="0" borderId="0" xfId="17" applyNumberFormat="1" applyFont="1"/>
    <xf numFmtId="44" fontId="46" fillId="0" borderId="0" xfId="17" applyNumberFormat="1" applyFont="1" applyAlignment="1">
      <alignment horizontal="center"/>
    </xf>
    <xf numFmtId="0" fontId="58" fillId="0" borderId="0" xfId="25" applyFont="1"/>
    <xf numFmtId="0" fontId="58" fillId="0" borderId="0" xfId="25" applyFont="1" applyAlignment="1">
      <alignment horizontal="center"/>
    </xf>
    <xf numFmtId="0" fontId="54" fillId="0" borderId="0" xfId="36" applyFont="1" applyFill="1" applyBorder="1"/>
    <xf numFmtId="0" fontId="60" fillId="0" borderId="0" xfId="12" applyNumberFormat="1" applyFont="1" applyFill="1" applyBorder="1" applyAlignment="1">
      <alignment horizontal="left"/>
    </xf>
    <xf numFmtId="0" fontId="58" fillId="0" borderId="0" xfId="25" applyFont="1" applyFill="1" applyBorder="1" applyAlignment="1"/>
    <xf numFmtId="0" fontId="46" fillId="0" borderId="0" xfId="25" applyFont="1" applyBorder="1" applyAlignment="1"/>
    <xf numFmtId="0" fontId="61" fillId="0" borderId="0" xfId="25" applyFont="1"/>
    <xf numFmtId="0" fontId="61" fillId="0" borderId="0" xfId="25" applyFont="1" applyAlignment="1">
      <alignment horizontal="center"/>
    </xf>
    <xf numFmtId="0" fontId="62" fillId="0" borderId="74" xfId="33" applyFont="1" applyBorder="1"/>
    <xf numFmtId="0" fontId="58" fillId="0" borderId="11" xfId="25" applyFont="1" applyFill="1" applyBorder="1" applyAlignment="1">
      <alignment horizontal="left"/>
    </xf>
    <xf numFmtId="49" fontId="58" fillId="0" borderId="11" xfId="25" applyNumberFormat="1" applyFont="1" applyFill="1" applyBorder="1"/>
    <xf numFmtId="0" fontId="58" fillId="0" borderId="11" xfId="25" applyFont="1" applyFill="1" applyBorder="1" applyAlignment="1">
      <alignment horizontal="center"/>
    </xf>
    <xf numFmtId="168" fontId="58" fillId="0" borderId="28" xfId="7" applyNumberFormat="1" applyFont="1" applyBorder="1" applyProtection="1"/>
    <xf numFmtId="166" fontId="58" fillId="3" borderId="30" xfId="7" applyFont="1" applyFill="1" applyBorder="1"/>
    <xf numFmtId="181" fontId="58" fillId="0" borderId="31" xfId="7" applyNumberFormat="1" applyFont="1" applyFill="1" applyBorder="1" applyProtection="1"/>
    <xf numFmtId="0" fontId="58" fillId="0" borderId="11" xfId="25" applyFont="1" applyFill="1" applyBorder="1"/>
    <xf numFmtId="179" fontId="58" fillId="0" borderId="9" xfId="25" applyNumberFormat="1" applyFont="1" applyBorder="1" applyProtection="1"/>
    <xf numFmtId="179" fontId="58" fillId="0" borderId="26" xfId="25" applyNumberFormat="1" applyFont="1" applyFill="1" applyBorder="1" applyProtection="1"/>
    <xf numFmtId="181" fontId="58" fillId="0" borderId="24" xfId="7" applyNumberFormat="1" applyFont="1" applyFill="1" applyBorder="1" applyProtection="1"/>
    <xf numFmtId="166" fontId="58" fillId="3" borderId="25" xfId="7" applyFont="1" applyFill="1" applyBorder="1"/>
    <xf numFmtId="0" fontId="58" fillId="0" borderId="27" xfId="25" applyFont="1" applyFill="1" applyBorder="1" applyAlignment="1">
      <alignment horizontal="left"/>
    </xf>
    <xf numFmtId="49" fontId="58" fillId="0" borderId="27" xfId="25" applyNumberFormat="1" applyFont="1" applyFill="1" applyBorder="1"/>
    <xf numFmtId="0" fontId="58" fillId="0" borderId="27" xfId="25" applyFont="1" applyFill="1" applyBorder="1"/>
    <xf numFmtId="179" fontId="58" fillId="0" borderId="28" xfId="25" applyNumberFormat="1" applyFont="1" applyBorder="1" applyProtection="1"/>
    <xf numFmtId="181" fontId="58" fillId="0" borderId="0" xfId="25" applyNumberFormat="1" applyFont="1" applyFill="1" applyBorder="1" applyProtection="1"/>
    <xf numFmtId="0" fontId="61" fillId="0" borderId="24" xfId="25" applyFont="1" applyBorder="1" applyAlignment="1">
      <alignment horizontal="center"/>
    </xf>
    <xf numFmtId="183" fontId="61" fillId="0" borderId="24" xfId="44" applyFont="1" applyFill="1" applyBorder="1" applyProtection="1"/>
    <xf numFmtId="2" fontId="49" fillId="0" borderId="0" xfId="36" applyNumberFormat="1" applyFont="1" applyFill="1" applyBorder="1" applyAlignment="1">
      <alignment vertical="center"/>
    </xf>
    <xf numFmtId="178" fontId="58" fillId="0" borderId="28" xfId="25" applyNumberFormat="1" applyFont="1" applyBorder="1" applyProtection="1"/>
    <xf numFmtId="166" fontId="58" fillId="3" borderId="50" xfId="7" applyFont="1" applyFill="1" applyBorder="1"/>
    <xf numFmtId="179" fontId="58" fillId="0" borderId="51" xfId="25" applyNumberFormat="1" applyFont="1" applyFill="1" applyBorder="1" applyProtection="1"/>
    <xf numFmtId="179" fontId="58" fillId="3" borderId="51" xfId="25" applyNumberFormat="1" applyFont="1" applyFill="1" applyBorder="1" applyProtection="1"/>
    <xf numFmtId="49" fontId="58" fillId="3" borderId="24" xfId="7" applyNumberFormat="1" applyFont="1" applyFill="1" applyBorder="1"/>
    <xf numFmtId="49" fontId="58" fillId="3" borderId="24" xfId="7" applyNumberFormat="1" applyFont="1" applyFill="1" applyBorder="1" applyAlignment="1">
      <alignment horizontal="center"/>
    </xf>
    <xf numFmtId="0" fontId="58" fillId="0" borderId="24" xfId="25" applyFont="1" applyBorder="1"/>
    <xf numFmtId="2" fontId="48" fillId="0" borderId="0" xfId="38" applyNumberFormat="1" applyFont="1" applyFill="1" applyBorder="1" applyAlignment="1"/>
    <xf numFmtId="2" fontId="49" fillId="0" borderId="0" xfId="38" applyNumberFormat="1" applyFont="1" applyFill="1" applyBorder="1" applyAlignment="1">
      <alignment horizontal="left"/>
    </xf>
    <xf numFmtId="2" fontId="57" fillId="0" borderId="0" xfId="36" applyNumberFormat="1" applyFont="1" applyFill="1"/>
    <xf numFmtId="2" fontId="48" fillId="0" borderId="0" xfId="36" applyNumberFormat="1" applyFont="1" applyFill="1" applyBorder="1" applyAlignment="1">
      <alignment vertical="center"/>
    </xf>
    <xf numFmtId="2" fontId="48" fillId="0" borderId="0" xfId="36" applyNumberFormat="1" applyFont="1" applyFill="1" applyBorder="1" applyAlignment="1">
      <alignment horizontal="right" vertical="center"/>
    </xf>
    <xf numFmtId="0" fontId="51" fillId="0" borderId="0" xfId="40" applyFont="1" applyFill="1" applyBorder="1"/>
    <xf numFmtId="2" fontId="51" fillId="0" borderId="0" xfId="40" applyNumberFormat="1" applyFont="1" applyFill="1" applyBorder="1"/>
    <xf numFmtId="0" fontId="51" fillId="0" borderId="4" xfId="11" applyFont="1" applyFill="1" applyBorder="1" applyAlignment="1" applyProtection="1">
      <alignment horizontal="left"/>
      <protection hidden="1"/>
    </xf>
    <xf numFmtId="0" fontId="51" fillId="0" borderId="2" xfId="11" applyFont="1" applyFill="1" applyBorder="1" applyAlignment="1" applyProtection="1">
      <alignment horizontal="left"/>
      <protection hidden="1"/>
    </xf>
    <xf numFmtId="0" fontId="59" fillId="0" borderId="1" xfId="11" applyNumberFormat="1" applyFont="1" applyFill="1" applyBorder="1" applyAlignment="1" applyProtection="1">
      <alignment horizontal="left"/>
      <protection hidden="1"/>
    </xf>
    <xf numFmtId="0" fontId="59" fillId="0" borderId="0" xfId="11" applyNumberFormat="1" applyFont="1" applyFill="1" applyBorder="1" applyAlignment="1" applyProtection="1">
      <alignment horizontal="center"/>
      <protection hidden="1"/>
    </xf>
    <xf numFmtId="0" fontId="59" fillId="0" borderId="0" xfId="11" applyFont="1" applyFill="1" applyBorder="1" applyAlignment="1" applyProtection="1">
      <alignment horizontal="left"/>
      <protection hidden="1"/>
    </xf>
    <xf numFmtId="0" fontId="59" fillId="0" borderId="0" xfId="11" applyFont="1" applyFill="1" applyBorder="1" applyAlignment="1" applyProtection="1">
      <alignment horizontal="center"/>
      <protection hidden="1"/>
    </xf>
    <xf numFmtId="0" fontId="57" fillId="0" borderId="0" xfId="36" applyFont="1" applyFill="1" applyBorder="1" applyAlignment="1"/>
    <xf numFmtId="0" fontId="46" fillId="0" borderId="0" xfId="36" applyFont="1" applyFill="1" applyBorder="1" applyAlignment="1"/>
    <xf numFmtId="0" fontId="57" fillId="0" borderId="0" xfId="36" applyFont="1" applyBorder="1" applyAlignment="1"/>
    <xf numFmtId="0" fontId="57" fillId="0" borderId="0" xfId="36" applyFont="1" applyFill="1" applyBorder="1"/>
    <xf numFmtId="176" fontId="57" fillId="0" borderId="0" xfId="36" applyNumberFormat="1" applyFont="1" applyFill="1" applyBorder="1"/>
    <xf numFmtId="0" fontId="46" fillId="0" borderId="0" xfId="26" applyFont="1" applyFill="1"/>
    <xf numFmtId="0" fontId="46" fillId="0" borderId="0" xfId="26" applyFont="1"/>
    <xf numFmtId="0" fontId="59" fillId="0" borderId="10" xfId="11" applyNumberFormat="1" applyFont="1" applyFill="1" applyBorder="1" applyAlignment="1" applyProtection="1">
      <alignment horizontal="left" textRotation="90"/>
      <protection hidden="1"/>
    </xf>
    <xf numFmtId="0" fontId="59" fillId="0" borderId="0" xfId="11" applyNumberFormat="1" applyFont="1" applyFill="1" applyBorder="1" applyAlignment="1" applyProtection="1">
      <alignment horizontal="left" textRotation="90"/>
      <protection hidden="1"/>
    </xf>
    <xf numFmtId="0" fontId="52" fillId="0" borderId="0" xfId="11" applyNumberFormat="1" applyFont="1" applyFill="1" applyBorder="1" applyAlignment="1" applyProtection="1">
      <alignment horizontal="left" textRotation="90"/>
      <protection hidden="1"/>
    </xf>
    <xf numFmtId="176" fontId="59" fillId="0" borderId="1" xfId="11" applyNumberFormat="1" applyFont="1" applyFill="1" applyBorder="1" applyAlignment="1" applyProtection="1">
      <alignment horizontal="center"/>
      <protection hidden="1"/>
    </xf>
    <xf numFmtId="165" fontId="46" fillId="0" borderId="1" xfId="29" applyFont="1" applyBorder="1"/>
    <xf numFmtId="181" fontId="46" fillId="0" borderId="1" xfId="0" applyNumberFormat="1" applyFont="1" applyBorder="1"/>
    <xf numFmtId="177" fontId="46" fillId="0" borderId="1" xfId="0" applyNumberFormat="1" applyFont="1" applyBorder="1"/>
    <xf numFmtId="165" fontId="46" fillId="0" borderId="1" xfId="0" applyNumberFormat="1" applyFont="1" applyBorder="1"/>
    <xf numFmtId="0" fontId="56" fillId="0" borderId="4" xfId="0" applyFont="1" applyBorder="1"/>
    <xf numFmtId="0" fontId="56" fillId="0" borderId="5" xfId="0" applyFont="1" applyBorder="1"/>
    <xf numFmtId="0" fontId="56" fillId="0" borderId="2" xfId="0" applyFont="1" applyBorder="1"/>
    <xf numFmtId="49" fontId="56" fillId="0" borderId="1" xfId="7" applyNumberFormat="1" applyFont="1" applyBorder="1" applyAlignment="1">
      <alignment horizontal="center"/>
    </xf>
    <xf numFmtId="165" fontId="56" fillId="0" borderId="1" xfId="0" applyNumberFormat="1" applyFont="1" applyBorder="1"/>
    <xf numFmtId="44" fontId="46" fillId="0" borderId="0" xfId="98" applyFont="1"/>
    <xf numFmtId="2" fontId="48" fillId="0" borderId="0" xfId="49" applyNumberFormat="1" applyFont="1" applyFill="1" applyBorder="1" applyAlignment="1"/>
    <xf numFmtId="0" fontId="46" fillId="0" borderId="0" xfId="42" applyFont="1" applyAlignment="1">
      <alignment vertical="top"/>
    </xf>
    <xf numFmtId="0" fontId="46" fillId="0" borderId="47" xfId="42" applyFont="1" applyBorder="1"/>
    <xf numFmtId="168" fontId="46" fillId="0" borderId="47" xfId="7" applyNumberFormat="1" applyFont="1" applyBorder="1"/>
    <xf numFmtId="44" fontId="46" fillId="0" borderId="47" xfId="98" applyFont="1" applyBorder="1"/>
    <xf numFmtId="0" fontId="46" fillId="0" borderId="58" xfId="42" applyFont="1" applyBorder="1" applyAlignment="1">
      <alignment horizontal="center"/>
    </xf>
    <xf numFmtId="0" fontId="46" fillId="0" borderId="58" xfId="42" applyFont="1" applyBorder="1"/>
    <xf numFmtId="0" fontId="46" fillId="0" borderId="74" xfId="42" applyFont="1" applyBorder="1" applyAlignment="1">
      <alignment horizontal="center"/>
    </xf>
    <xf numFmtId="0" fontId="46" fillId="0" borderId="74" xfId="42" applyFont="1" applyBorder="1"/>
    <xf numFmtId="44" fontId="46" fillId="0" borderId="0" xfId="42" applyNumberFormat="1" applyFont="1"/>
    <xf numFmtId="0" fontId="56" fillId="0" borderId="0" xfId="17" applyFont="1" applyFill="1" applyAlignment="1">
      <alignment horizontal="left"/>
    </xf>
    <xf numFmtId="44" fontId="56" fillId="0" borderId="0" xfId="98" applyFont="1" applyFill="1" applyAlignment="1">
      <alignment horizontal="left"/>
    </xf>
    <xf numFmtId="176" fontId="46" fillId="0" borderId="0" xfId="17" applyNumberFormat="1" applyFont="1" applyFill="1" applyAlignment="1">
      <alignment horizontal="center"/>
    </xf>
    <xf numFmtId="0" fontId="56" fillId="0" borderId="0" xfId="17" applyFont="1" applyAlignment="1">
      <alignment horizontal="left"/>
    </xf>
    <xf numFmtId="44" fontId="56" fillId="0" borderId="0" xfId="98" applyFont="1" applyAlignment="1">
      <alignment horizontal="left"/>
    </xf>
    <xf numFmtId="172" fontId="60" fillId="0" borderId="0" xfId="12" applyNumberFormat="1" applyFont="1" applyFill="1" applyBorder="1" applyAlignment="1">
      <alignment horizontal="left"/>
    </xf>
    <xf numFmtId="2" fontId="56" fillId="0" borderId="0" xfId="17" applyNumberFormat="1" applyFont="1"/>
    <xf numFmtId="2" fontId="56" fillId="0" borderId="0" xfId="42" applyNumberFormat="1" applyFont="1" applyAlignment="1">
      <alignment horizontal="center" vertical="top" wrapText="1"/>
    </xf>
    <xf numFmtId="0" fontId="56" fillId="0" borderId="0" xfId="17" applyFont="1" applyAlignment="1"/>
    <xf numFmtId="0" fontId="56" fillId="0" borderId="0" xfId="17" applyFont="1" applyAlignment="1">
      <alignment horizontal="center"/>
    </xf>
    <xf numFmtId="0" fontId="46" fillId="0" borderId="0" xfId="42" applyFont="1" applyBorder="1" applyAlignment="1">
      <alignment horizontal="center"/>
    </xf>
    <xf numFmtId="0" fontId="46" fillId="0" borderId="0" xfId="17" applyFont="1" applyFill="1" applyBorder="1"/>
    <xf numFmtId="0" fontId="46" fillId="0" borderId="0" xfId="42" applyFont="1" applyBorder="1"/>
    <xf numFmtId="0" fontId="46" fillId="0" borderId="0" xfId="17" applyFont="1" applyFill="1" applyBorder="1" applyAlignment="1">
      <alignment horizontal="left"/>
    </xf>
    <xf numFmtId="44" fontId="46" fillId="0" borderId="0" xfId="98" applyFont="1" applyFill="1" applyBorder="1" applyAlignment="1">
      <alignment horizontal="left"/>
    </xf>
    <xf numFmtId="44" fontId="46" fillId="0" borderId="0" xfId="98" applyFont="1" applyFill="1" applyBorder="1" applyAlignment="1">
      <alignment horizontal="center"/>
    </xf>
    <xf numFmtId="0" fontId="46" fillId="0" borderId="0" xfId="17" applyFont="1" applyBorder="1"/>
    <xf numFmtId="168" fontId="46" fillId="0" borderId="0" xfId="7" applyNumberFormat="1" applyFont="1" applyAlignment="1">
      <alignment horizontal="left"/>
    </xf>
    <xf numFmtId="168" fontId="46" fillId="0" borderId="0" xfId="7" applyNumberFormat="1" applyFont="1"/>
    <xf numFmtId="0" fontId="62" fillId="0" borderId="0" xfId="33" applyFont="1"/>
    <xf numFmtId="0" fontId="57" fillId="0" borderId="0" xfId="36" applyNumberFormat="1" applyFont="1" applyAlignment="1">
      <alignment horizontal="center"/>
    </xf>
    <xf numFmtId="3" fontId="46" fillId="0" borderId="0" xfId="26" applyNumberFormat="1" applyFont="1" applyFill="1"/>
    <xf numFmtId="190" fontId="46" fillId="0" borderId="0" xfId="7" applyNumberFormat="1" applyFont="1" applyFill="1"/>
    <xf numFmtId="166" fontId="46" fillId="0" borderId="0" xfId="7" applyFont="1"/>
    <xf numFmtId="44" fontId="46" fillId="0" borderId="0" xfId="34" applyFont="1"/>
    <xf numFmtId="0" fontId="46" fillId="0" borderId="0" xfId="26" applyNumberFormat="1" applyFont="1"/>
    <xf numFmtId="2" fontId="56" fillId="0" borderId="0" xfId="26" applyNumberFormat="1" applyFont="1"/>
    <xf numFmtId="3" fontId="56" fillId="0" borderId="0" xfId="26" applyNumberFormat="1" applyFont="1" applyAlignment="1">
      <alignment horizontal="center"/>
    </xf>
    <xf numFmtId="190" fontId="56" fillId="0" borderId="0" xfId="7" applyNumberFormat="1" applyFont="1" applyAlignment="1">
      <alignment horizontal="center"/>
    </xf>
    <xf numFmtId="2" fontId="49" fillId="0" borderId="0" xfId="38" applyNumberFormat="1" applyFont="1" applyFill="1" applyBorder="1" applyAlignment="1"/>
    <xf numFmtId="190" fontId="56" fillId="0" borderId="0" xfId="7" applyNumberFormat="1" applyFont="1"/>
    <xf numFmtId="166" fontId="56" fillId="0" borderId="0" xfId="7" applyFont="1"/>
    <xf numFmtId="0" fontId="46" fillId="0" borderId="0" xfId="26" applyFont="1" applyFill="1" applyBorder="1" applyAlignment="1">
      <alignment horizontal="center"/>
    </xf>
    <xf numFmtId="0" fontId="46" fillId="0" borderId="8" xfId="26" applyFont="1" applyFill="1" applyBorder="1" applyAlignment="1">
      <alignment horizontal="left"/>
    </xf>
    <xf numFmtId="0" fontId="46" fillId="0" borderId="74" xfId="17" applyFont="1" applyFill="1" applyBorder="1" applyAlignment="1">
      <alignment horizontal="left" vertical="top" wrapText="1"/>
    </xf>
    <xf numFmtId="0" fontId="46" fillId="0" borderId="0" xfId="26" applyFont="1" applyFill="1" applyBorder="1" applyAlignment="1">
      <alignment horizontal="left"/>
    </xf>
    <xf numFmtId="2" fontId="56" fillId="0" borderId="0" xfId="26" applyNumberFormat="1" applyFont="1" applyAlignment="1">
      <alignment horizontal="center"/>
    </xf>
    <xf numFmtId="2" fontId="46" fillId="0" borderId="0" xfId="26" applyNumberFormat="1" applyFont="1"/>
    <xf numFmtId="3" fontId="46" fillId="0" borderId="68" xfId="26" applyNumberFormat="1" applyFont="1" applyBorder="1" applyAlignment="1">
      <alignment horizontal="center" wrapText="1"/>
    </xf>
    <xf numFmtId="4" fontId="56" fillId="0" borderId="0" xfId="26" applyNumberFormat="1" applyFont="1" applyAlignment="1">
      <alignment horizontal="center"/>
    </xf>
    <xf numFmtId="4" fontId="56" fillId="0" borderId="0" xfId="26" applyNumberFormat="1" applyFont="1" applyAlignment="1">
      <alignment horizontal="right"/>
    </xf>
    <xf numFmtId="190" fontId="56" fillId="0" borderId="0" xfId="7" applyNumberFormat="1" applyFont="1" applyAlignment="1">
      <alignment horizontal="right"/>
    </xf>
    <xf numFmtId="166" fontId="56" fillId="0" borderId="0" xfId="7" applyFont="1" applyAlignment="1">
      <alignment horizontal="right"/>
    </xf>
    <xf numFmtId="191" fontId="46" fillId="0" borderId="0" xfId="34" applyNumberFormat="1" applyFont="1"/>
    <xf numFmtId="0" fontId="46" fillId="0" borderId="34" xfId="26" applyFont="1" applyFill="1" applyBorder="1" applyAlignment="1">
      <alignment horizontal="center"/>
    </xf>
    <xf numFmtId="0" fontId="46" fillId="0" borderId="3" xfId="26" applyFont="1" applyFill="1" applyBorder="1"/>
    <xf numFmtId="0" fontId="46" fillId="0" borderId="3" xfId="26" applyFont="1" applyFill="1" applyBorder="1" applyAlignment="1">
      <alignment horizontal="center"/>
    </xf>
    <xf numFmtId="3" fontId="46" fillId="3" borderId="3" xfId="26" applyNumberFormat="1" applyFont="1" applyFill="1" applyBorder="1" applyAlignment="1">
      <alignment horizontal="center"/>
    </xf>
    <xf numFmtId="185" fontId="46" fillId="0" borderId="1" xfId="7" applyNumberFormat="1" applyFont="1" applyBorder="1"/>
    <xf numFmtId="166" fontId="46" fillId="0" borderId="1" xfId="7" applyFont="1" applyFill="1" applyBorder="1"/>
    <xf numFmtId="166" fontId="46" fillId="0" borderId="3" xfId="7" applyFont="1" applyBorder="1"/>
    <xf numFmtId="44" fontId="46" fillId="0" borderId="1" xfId="34" applyFont="1" applyBorder="1"/>
    <xf numFmtId="166" fontId="46" fillId="0" borderId="1" xfId="7" applyFont="1" applyFill="1" applyBorder="1" applyAlignment="1" applyProtection="1">
      <alignment horizontal="right" vertical="top"/>
      <protection hidden="1"/>
    </xf>
    <xf numFmtId="0" fontId="46" fillId="0" borderId="2" xfId="26" applyFont="1" applyFill="1" applyBorder="1" applyAlignment="1">
      <alignment horizontal="center"/>
    </xf>
    <xf numFmtId="0" fontId="46" fillId="0" borderId="1" xfId="26" applyFont="1" applyFill="1" applyBorder="1"/>
    <xf numFmtId="0" fontId="46" fillId="0" borderId="1" xfId="26" applyFont="1" applyFill="1" applyBorder="1" applyAlignment="1">
      <alignment horizontal="center"/>
    </xf>
    <xf numFmtId="3" fontId="46" fillId="3" borderId="1" xfId="26" applyNumberFormat="1" applyFont="1" applyFill="1" applyBorder="1" applyAlignment="1">
      <alignment horizontal="center"/>
    </xf>
    <xf numFmtId="3" fontId="46" fillId="3" borderId="58" xfId="26" applyNumberFormat="1" applyFont="1" applyFill="1" applyBorder="1" applyAlignment="1">
      <alignment horizontal="center"/>
    </xf>
    <xf numFmtId="166" fontId="46" fillId="0" borderId="1" xfId="7" applyFont="1" applyBorder="1"/>
    <xf numFmtId="0" fontId="46" fillId="0" borderId="2" xfId="0" applyFont="1" applyFill="1" applyBorder="1" applyAlignment="1">
      <alignment horizontal="center"/>
    </xf>
    <xf numFmtId="0" fontId="46" fillId="0" borderId="1" xfId="0" applyFont="1" applyFill="1" applyBorder="1" applyAlignment="1">
      <alignment horizontal="left"/>
    </xf>
    <xf numFmtId="0" fontId="46" fillId="0" borderId="48" xfId="26" applyFont="1" applyFill="1" applyBorder="1" applyAlignment="1">
      <alignment horizontal="center"/>
    </xf>
    <xf numFmtId="0" fontId="46" fillId="0" borderId="74" xfId="26" applyFont="1" applyFill="1" applyBorder="1"/>
    <xf numFmtId="0" fontId="46" fillId="0" borderId="74" xfId="26" applyFont="1" applyFill="1" applyBorder="1" applyAlignment="1">
      <alignment horizontal="center"/>
    </xf>
    <xf numFmtId="3" fontId="46" fillId="3" borderId="74" xfId="26" applyNumberFormat="1" applyFont="1" applyFill="1" applyBorder="1" applyAlignment="1">
      <alignment horizontal="center"/>
    </xf>
    <xf numFmtId="0" fontId="46" fillId="0" borderId="48" xfId="26" applyFont="1" applyBorder="1" applyAlignment="1">
      <alignment horizontal="center"/>
    </xf>
    <xf numFmtId="0" fontId="46" fillId="0" borderId="58" xfId="26" applyFont="1" applyBorder="1"/>
    <xf numFmtId="0" fontId="46" fillId="0" borderId="58" xfId="26" applyFont="1" applyBorder="1" applyAlignment="1">
      <alignment horizontal="center"/>
    </xf>
    <xf numFmtId="3" fontId="46" fillId="0" borderId="58" xfId="26" applyNumberFormat="1" applyFont="1" applyBorder="1" applyAlignment="1">
      <alignment horizontal="center"/>
    </xf>
    <xf numFmtId="0" fontId="56" fillId="0" borderId="4" xfId="26" applyFont="1" applyBorder="1"/>
    <xf numFmtId="0" fontId="46" fillId="0" borderId="5" xfId="26" applyFont="1" applyBorder="1" applyAlignment="1">
      <alignment horizontal="center"/>
    </xf>
    <xf numFmtId="0" fontId="46" fillId="0" borderId="5" xfId="26" applyFont="1" applyFill="1" applyBorder="1"/>
    <xf numFmtId="3" fontId="46" fillId="0" borderId="5" xfId="26" applyNumberFormat="1" applyFont="1" applyFill="1" applyBorder="1"/>
    <xf numFmtId="190" fontId="46" fillId="0" borderId="5" xfId="7" applyNumberFormat="1" applyFont="1" applyFill="1" applyBorder="1"/>
    <xf numFmtId="166" fontId="46" fillId="0" borderId="5" xfId="7" applyFont="1" applyBorder="1"/>
    <xf numFmtId="44" fontId="46" fillId="0" borderId="5" xfId="34" applyFont="1" applyBorder="1"/>
    <xf numFmtId="0" fontId="46" fillId="0" borderId="5" xfId="26" applyNumberFormat="1" applyFont="1" applyBorder="1"/>
    <xf numFmtId="44" fontId="56" fillId="0" borderId="2" xfId="34" applyFont="1" applyBorder="1"/>
    <xf numFmtId="0" fontId="56" fillId="0" borderId="0" xfId="26" applyFont="1" applyBorder="1"/>
    <xf numFmtId="0" fontId="46" fillId="0" borderId="0" xfId="26" applyFont="1" applyBorder="1" applyAlignment="1">
      <alignment horizontal="center"/>
    </xf>
    <xf numFmtId="0" fontId="46" fillId="0" borderId="0" xfId="26" applyFont="1" applyFill="1" applyBorder="1"/>
    <xf numFmtId="3" fontId="46" fillId="0" borderId="0" xfId="26" applyNumberFormat="1" applyFont="1" applyFill="1" applyBorder="1"/>
    <xf numFmtId="190" fontId="46" fillId="0" borderId="0" xfId="7" applyNumberFormat="1" applyFont="1" applyFill="1" applyBorder="1"/>
    <xf numFmtId="166" fontId="46" fillId="0" borderId="0" xfId="7" applyFont="1" applyBorder="1"/>
    <xf numFmtId="44" fontId="46" fillId="0" borderId="0" xfId="34" applyFont="1" applyBorder="1"/>
    <xf numFmtId="0" fontId="46" fillId="0" borderId="0" xfId="26" applyNumberFormat="1" applyFont="1" applyBorder="1"/>
    <xf numFmtId="0" fontId="46" fillId="0" borderId="0" xfId="26" applyFont="1" applyAlignment="1">
      <alignment horizontal="center"/>
    </xf>
    <xf numFmtId="3" fontId="46" fillId="0" borderId="1" xfId="26" applyNumberFormat="1" applyFont="1" applyFill="1" applyBorder="1" applyAlignment="1">
      <alignment horizontal="center"/>
    </xf>
    <xf numFmtId="0" fontId="56" fillId="0" borderId="5" xfId="26" applyFont="1" applyBorder="1" applyAlignment="1">
      <alignment horizontal="center"/>
    </xf>
    <xf numFmtId="0" fontId="56" fillId="0" borderId="5" xfId="26" applyFont="1" applyFill="1" applyBorder="1"/>
    <xf numFmtId="3" fontId="56" fillId="0" borderId="5" xfId="26" applyNumberFormat="1" applyFont="1" applyFill="1" applyBorder="1"/>
    <xf numFmtId="190" fontId="56" fillId="0" borderId="5" xfId="7" applyNumberFormat="1" applyFont="1" applyFill="1" applyBorder="1"/>
    <xf numFmtId="166" fontId="56" fillId="0" borderId="5" xfId="7" applyFont="1" applyBorder="1"/>
    <xf numFmtId="44" fontId="56" fillId="0" borderId="5" xfId="34" applyFont="1" applyBorder="1"/>
    <xf numFmtId="0" fontId="56" fillId="0" borderId="5" xfId="26" applyNumberFormat="1" applyFont="1" applyBorder="1"/>
    <xf numFmtId="0" fontId="56" fillId="0" borderId="0" xfId="26" applyFont="1"/>
    <xf numFmtId="3" fontId="46" fillId="0" borderId="0" xfId="26" applyNumberFormat="1" applyFont="1" applyFill="1" applyAlignment="1">
      <alignment horizontal="center"/>
    </xf>
    <xf numFmtId="4" fontId="46" fillId="0" borderId="0" xfId="26" applyNumberFormat="1" applyFont="1" applyFill="1" applyAlignment="1">
      <alignment horizontal="center"/>
    </xf>
    <xf numFmtId="4" fontId="46" fillId="0" borderId="0" xfId="26" applyNumberFormat="1" applyFont="1" applyFill="1" applyAlignment="1">
      <alignment horizontal="right"/>
    </xf>
    <xf numFmtId="190" fontId="46" fillId="0" borderId="0" xfId="7" applyNumberFormat="1" applyFont="1" applyFill="1" applyAlignment="1">
      <alignment horizontal="right"/>
    </xf>
    <xf numFmtId="166" fontId="46" fillId="0" borderId="0" xfId="7" applyFont="1" applyFill="1" applyAlignment="1">
      <alignment horizontal="right"/>
    </xf>
    <xf numFmtId="0" fontId="46" fillId="0" borderId="58" xfId="0" applyFont="1" applyBorder="1" applyAlignment="1">
      <alignment horizontal="left"/>
    </xf>
    <xf numFmtId="0" fontId="46" fillId="3" borderId="3" xfId="26" applyFont="1" applyFill="1" applyBorder="1"/>
    <xf numFmtId="44" fontId="46" fillId="0" borderId="3" xfId="34" applyFont="1" applyBorder="1"/>
    <xf numFmtId="0" fontId="46" fillId="3" borderId="1" xfId="26" applyFont="1" applyFill="1" applyBorder="1"/>
    <xf numFmtId="0" fontId="46" fillId="3" borderId="1" xfId="0" applyFont="1" applyFill="1" applyBorder="1" applyAlignment="1">
      <alignment horizontal="left"/>
    </xf>
    <xf numFmtId="0" fontId="46" fillId="3" borderId="58" xfId="26" applyFont="1" applyFill="1" applyBorder="1"/>
    <xf numFmtId="44" fontId="46" fillId="0" borderId="0" xfId="26" applyNumberFormat="1" applyFont="1"/>
    <xf numFmtId="0" fontId="57" fillId="0" borderId="0" xfId="36" applyFont="1"/>
    <xf numFmtId="0" fontId="46" fillId="0" borderId="0" xfId="23" applyFont="1"/>
    <xf numFmtId="0" fontId="49" fillId="0" borderId="0" xfId="38" applyNumberFormat="1" applyFont="1" applyFill="1" applyBorder="1" applyAlignment="1">
      <alignment horizontal="center"/>
    </xf>
    <xf numFmtId="0" fontId="49" fillId="0" borderId="0" xfId="38" applyNumberFormat="1" applyFont="1" applyFill="1" applyBorder="1" applyAlignment="1">
      <alignment horizontal="left"/>
    </xf>
    <xf numFmtId="49" fontId="50" fillId="0" borderId="0" xfId="38" applyNumberFormat="1" applyFont="1" applyFill="1" applyBorder="1" applyAlignment="1">
      <alignment horizontal="left"/>
    </xf>
    <xf numFmtId="0" fontId="49" fillId="0" borderId="0" xfId="36" applyNumberFormat="1" applyFont="1" applyFill="1" applyBorder="1" applyAlignment="1">
      <alignment horizontal="center" vertical="center"/>
    </xf>
    <xf numFmtId="0" fontId="46" fillId="0" borderId="1" xfId="23" applyFont="1" applyFill="1" applyBorder="1" applyAlignment="1">
      <alignment horizontal="center"/>
    </xf>
    <xf numFmtId="0" fontId="46" fillId="0" borderId="4" xfId="12" applyNumberFormat="1" applyFont="1" applyFill="1" applyBorder="1" applyAlignment="1">
      <alignment horizontal="center"/>
    </xf>
    <xf numFmtId="0" fontId="46" fillId="0" borderId="4" xfId="12" applyNumberFormat="1" applyFont="1" applyFill="1" applyBorder="1" applyAlignment="1"/>
    <xf numFmtId="182" fontId="46" fillId="0" borderId="24" xfId="12" applyNumberFormat="1" applyFont="1" applyFill="1" applyBorder="1" applyAlignment="1">
      <alignment horizontal="center"/>
    </xf>
    <xf numFmtId="165" fontId="46" fillId="0" borderId="1" xfId="29" applyFont="1" applyFill="1" applyBorder="1" applyAlignment="1"/>
    <xf numFmtId="0" fontId="46" fillId="0" borderId="1" xfId="23" applyFont="1" applyBorder="1" applyAlignment="1">
      <alignment horizontal="center"/>
    </xf>
    <xf numFmtId="0" fontId="46" fillId="0" borderId="73" xfId="12" applyFont="1" applyBorder="1"/>
    <xf numFmtId="165" fontId="46" fillId="0" borderId="58" xfId="29" applyFont="1" applyFill="1" applyBorder="1" applyAlignment="1"/>
    <xf numFmtId="0" fontId="57" fillId="0" borderId="0" xfId="36" applyFont="1" applyBorder="1"/>
    <xf numFmtId="44" fontId="62" fillId="0" borderId="0" xfId="34" applyFont="1"/>
    <xf numFmtId="1" fontId="46" fillId="0" borderId="0" xfId="37" applyNumberFormat="1" applyFont="1" applyAlignment="1">
      <alignment horizontal="center"/>
    </xf>
    <xf numFmtId="0" fontId="65" fillId="0" borderId="0" xfId="33" applyFont="1"/>
    <xf numFmtId="0" fontId="62" fillId="0" borderId="73" xfId="33" applyFont="1" applyBorder="1"/>
    <xf numFmtId="0" fontId="62" fillId="0" borderId="48" xfId="33" applyFont="1" applyBorder="1"/>
    <xf numFmtId="0" fontId="46" fillId="0" borderId="23" xfId="33" applyFont="1" applyBorder="1" applyAlignment="1">
      <alignment horizontal="center"/>
    </xf>
    <xf numFmtId="0" fontId="62" fillId="0" borderId="1" xfId="33" applyFont="1" applyBorder="1"/>
    <xf numFmtId="168" fontId="46" fillId="0" borderId="23" xfId="7" applyNumberFormat="1" applyFont="1" applyBorder="1"/>
    <xf numFmtId="4" fontId="62" fillId="0" borderId="1" xfId="33" applyNumberFormat="1" applyFont="1" applyBorder="1"/>
    <xf numFmtId="44" fontId="62" fillId="0" borderId="1" xfId="33" applyNumberFormat="1" applyFont="1" applyBorder="1"/>
    <xf numFmtId="0" fontId="46" fillId="0" borderId="20" xfId="33" applyFont="1" applyBorder="1"/>
    <xf numFmtId="0" fontId="46" fillId="0" borderId="20" xfId="33" applyFont="1" applyBorder="1" applyAlignment="1">
      <alignment horizontal="center"/>
    </xf>
    <xf numFmtId="168" fontId="46" fillId="0" borderId="20" xfId="7" applyNumberFormat="1" applyFont="1" applyBorder="1"/>
    <xf numFmtId="0" fontId="46" fillId="0" borderId="1" xfId="33" applyFont="1" applyBorder="1" applyAlignment="1">
      <alignment horizontal="center"/>
    </xf>
    <xf numFmtId="0" fontId="62" fillId="0" borderId="1" xfId="33" applyFont="1" applyBorder="1" applyAlignment="1">
      <alignment horizontal="center"/>
    </xf>
    <xf numFmtId="168" fontId="62" fillId="0" borderId="1" xfId="7" applyNumberFormat="1" applyFont="1" applyBorder="1"/>
    <xf numFmtId="0" fontId="46" fillId="0" borderId="73" xfId="193" applyFont="1" applyBorder="1" applyAlignment="1">
      <alignment horizontal="center"/>
    </xf>
    <xf numFmtId="0" fontId="46" fillId="0" borderId="58" xfId="193" applyFont="1" applyBorder="1"/>
    <xf numFmtId="0" fontId="62" fillId="0" borderId="73" xfId="193" applyFont="1" applyBorder="1" applyAlignment="1">
      <alignment horizontal="center"/>
    </xf>
    <xf numFmtId="0" fontId="62" fillId="0" borderId="58" xfId="193" applyFont="1" applyBorder="1"/>
    <xf numFmtId="168" fontId="62" fillId="0" borderId="58" xfId="7" applyNumberFormat="1" applyFont="1" applyBorder="1"/>
    <xf numFmtId="4" fontId="62" fillId="0" borderId="58" xfId="193" applyNumberFormat="1" applyFont="1" applyBorder="1"/>
    <xf numFmtId="4" fontId="62" fillId="3" borderId="58" xfId="193" applyNumberFormat="1" applyFont="1" applyFill="1" applyBorder="1"/>
    <xf numFmtId="44" fontId="62" fillId="0" borderId="58" xfId="193" applyNumberFormat="1" applyFont="1" applyBorder="1"/>
    <xf numFmtId="0" fontId="62" fillId="0" borderId="0" xfId="193" applyFont="1"/>
    <xf numFmtId="0" fontId="46" fillId="0" borderId="49" xfId="193" applyFont="1" applyBorder="1"/>
    <xf numFmtId="168" fontId="62" fillId="0" borderId="49" xfId="7" applyNumberFormat="1" applyFont="1" applyBorder="1"/>
    <xf numFmtId="0" fontId="46" fillId="0" borderId="0" xfId="0" applyFont="1" applyAlignment="1">
      <alignment horizontal="left"/>
    </xf>
    <xf numFmtId="49" fontId="46" fillId="0" borderId="0" xfId="0" applyNumberFormat="1" applyFont="1" applyAlignment="1">
      <alignment horizontal="left" vertical="top"/>
    </xf>
    <xf numFmtId="173" fontId="46" fillId="0" borderId="0" xfId="7" applyNumberFormat="1" applyFont="1" applyAlignment="1">
      <alignment horizontal="center"/>
    </xf>
    <xf numFmtId="168" fontId="46" fillId="0" borderId="0" xfId="7" applyNumberFormat="1" applyFont="1" applyAlignment="1">
      <alignment horizontal="center"/>
    </xf>
    <xf numFmtId="0" fontId="66" fillId="0" borderId="0" xfId="0" applyFont="1" applyFill="1" applyAlignment="1"/>
    <xf numFmtId="2" fontId="45" fillId="0" borderId="0" xfId="0" applyNumberFormat="1" applyFont="1"/>
    <xf numFmtId="2" fontId="56" fillId="0" borderId="0" xfId="0" applyNumberFormat="1" applyFont="1" applyAlignment="1">
      <alignment horizontal="left"/>
    </xf>
    <xf numFmtId="49" fontId="56" fillId="0" borderId="0" xfId="0" applyNumberFormat="1" applyFont="1" applyAlignment="1">
      <alignment horizontal="left" vertical="top"/>
    </xf>
    <xf numFmtId="2" fontId="56" fillId="0" borderId="0" xfId="0" applyNumberFormat="1" applyFont="1"/>
    <xf numFmtId="0" fontId="56" fillId="0" borderId="0" xfId="0" applyFont="1"/>
    <xf numFmtId="173" fontId="56" fillId="0" borderId="0" xfId="0" applyNumberFormat="1" applyFont="1"/>
    <xf numFmtId="0" fontId="67" fillId="0" borderId="0" xfId="0" applyFont="1" applyFill="1" applyAlignment="1"/>
    <xf numFmtId="0" fontId="56" fillId="0" borderId="0" xfId="0" applyFont="1" applyFill="1"/>
    <xf numFmtId="173" fontId="56" fillId="0" borderId="0" xfId="7" applyNumberFormat="1" applyFont="1" applyFill="1" applyAlignment="1">
      <alignment horizontal="center"/>
    </xf>
    <xf numFmtId="168" fontId="56" fillId="0" borderId="0" xfId="7" applyNumberFormat="1" applyFont="1" applyFill="1" applyAlignment="1">
      <alignment horizontal="center"/>
    </xf>
    <xf numFmtId="173" fontId="46" fillId="0" borderId="0" xfId="7" applyNumberFormat="1" applyFont="1"/>
    <xf numFmtId="0" fontId="63" fillId="0" borderId="0" xfId="0" applyFont="1" applyFill="1"/>
    <xf numFmtId="1" fontId="50" fillId="0" borderId="0" xfId="12" applyNumberFormat="1" applyFont="1" applyFill="1" applyBorder="1" applyAlignment="1">
      <alignment horizontal="left" vertical="top"/>
    </xf>
    <xf numFmtId="49" fontId="68" fillId="0" borderId="0" xfId="0" applyNumberFormat="1" applyFont="1" applyAlignment="1">
      <alignment horizontal="left" vertical="top"/>
    </xf>
    <xf numFmtId="2" fontId="56" fillId="0" borderId="0" xfId="0" applyNumberFormat="1" applyFont="1" applyAlignment="1">
      <alignment horizontal="center" vertical="top" wrapText="1"/>
    </xf>
    <xf numFmtId="2" fontId="56" fillId="0" borderId="0" xfId="0" applyNumberFormat="1" applyFont="1" applyAlignment="1">
      <alignment vertical="top" wrapText="1"/>
    </xf>
    <xf numFmtId="2" fontId="56" fillId="0" borderId="0" xfId="0" applyNumberFormat="1" applyFont="1" applyAlignment="1">
      <alignment horizontal="left" vertical="top" wrapText="1"/>
    </xf>
    <xf numFmtId="0" fontId="56" fillId="0" borderId="0" xfId="0" applyFont="1" applyAlignment="1">
      <alignment vertical="top" wrapText="1"/>
    </xf>
    <xf numFmtId="0" fontId="55" fillId="0" borderId="0" xfId="0" applyFont="1" applyFill="1" applyAlignment="1">
      <alignment vertical="top" wrapText="1"/>
    </xf>
    <xf numFmtId="0" fontId="67" fillId="0" borderId="0" xfId="0" applyFont="1" applyFill="1" applyAlignment="1">
      <alignment vertical="top" wrapText="1"/>
    </xf>
    <xf numFmtId="0" fontId="46" fillId="0" borderId="0" xfId="0" applyFont="1" applyAlignment="1">
      <alignment vertical="top" wrapText="1"/>
    </xf>
    <xf numFmtId="169" fontId="46" fillId="0" borderId="1" xfId="0" applyNumberFormat="1" applyFont="1" applyFill="1" applyBorder="1" applyAlignment="1">
      <alignment horizontal="left"/>
    </xf>
    <xf numFmtId="49" fontId="46" fillId="0" borderId="1" xfId="0" applyNumberFormat="1" applyFont="1" applyBorder="1" applyAlignment="1">
      <alignment horizontal="left" vertical="top"/>
    </xf>
    <xf numFmtId="0" fontId="46" fillId="0" borderId="1" xfId="0" applyFont="1" applyFill="1" applyBorder="1"/>
    <xf numFmtId="49" fontId="46" fillId="0" borderId="63" xfId="0" applyNumberFormat="1" applyFont="1" applyBorder="1" applyAlignment="1">
      <alignment horizontal="left"/>
    </xf>
    <xf numFmtId="168" fontId="46" fillId="0" borderId="1" xfId="7" applyNumberFormat="1" applyFont="1" applyFill="1" applyBorder="1" applyAlignment="1">
      <alignment horizontal="right"/>
    </xf>
    <xf numFmtId="1" fontId="46" fillId="0" borderId="1" xfId="7" applyNumberFormat="1" applyFont="1" applyFill="1" applyBorder="1" applyAlignment="1"/>
    <xf numFmtId="1" fontId="46" fillId="0" borderId="1" xfId="0" applyNumberFormat="1" applyFont="1" applyFill="1" applyBorder="1" applyAlignment="1"/>
    <xf numFmtId="2" fontId="46" fillId="0" borderId="1" xfId="0" applyNumberFormat="1" applyFont="1" applyFill="1" applyBorder="1" applyAlignment="1">
      <alignment horizontal="left"/>
    </xf>
    <xf numFmtId="0" fontId="46" fillId="3" borderId="58" xfId="0" applyFont="1" applyFill="1" applyBorder="1" applyAlignment="1">
      <alignment horizontal="left"/>
    </xf>
    <xf numFmtId="169" fontId="46" fillId="0" borderId="58" xfId="0" applyNumberFormat="1" applyFont="1" applyBorder="1" applyAlignment="1">
      <alignment horizontal="left"/>
    </xf>
    <xf numFmtId="49" fontId="46" fillId="0" borderId="58" xfId="0" applyNumberFormat="1" applyFont="1" applyBorder="1" applyAlignment="1">
      <alignment horizontal="left" vertical="top"/>
    </xf>
    <xf numFmtId="168" fontId="46" fillId="0" borderId="58" xfId="7" applyNumberFormat="1" applyFont="1" applyFill="1" applyBorder="1" applyAlignment="1">
      <alignment horizontal="right"/>
    </xf>
    <xf numFmtId="1" fontId="46" fillId="0" borderId="58" xfId="7" applyNumberFormat="1" applyFont="1" applyFill="1" applyBorder="1" applyAlignment="1"/>
    <xf numFmtId="1" fontId="46" fillId="0" borderId="58" xfId="0" applyNumberFormat="1" applyFont="1" applyBorder="1"/>
    <xf numFmtId="2" fontId="46" fillId="0" borderId="58" xfId="0" applyNumberFormat="1" applyFont="1" applyBorder="1" applyAlignment="1">
      <alignment horizontal="left"/>
    </xf>
    <xf numFmtId="0" fontId="46" fillId="0" borderId="0" xfId="0" applyFont="1" applyAlignment="1">
      <alignment horizontal="center"/>
    </xf>
    <xf numFmtId="0" fontId="66" fillId="0" borderId="0" xfId="0" applyFont="1" applyAlignment="1"/>
    <xf numFmtId="44" fontId="46" fillId="0" borderId="0" xfId="34" applyFont="1" applyFill="1" applyAlignment="1"/>
    <xf numFmtId="44" fontId="49" fillId="0" borderId="0" xfId="34" applyFont="1" applyFill="1" applyAlignment="1"/>
    <xf numFmtId="44" fontId="49" fillId="0" borderId="0" xfId="34" applyFont="1" applyFill="1" applyAlignment="1">
      <alignment horizontal="left"/>
    </xf>
    <xf numFmtId="0" fontId="48" fillId="0" borderId="0" xfId="12" applyFont="1" applyFill="1" applyAlignment="1"/>
    <xf numFmtId="44" fontId="48" fillId="0" borderId="0" xfId="34" applyFont="1" applyFill="1" applyAlignment="1"/>
    <xf numFmtId="0" fontId="56" fillId="0" borderId="0" xfId="12" applyFont="1" applyFill="1" applyAlignment="1"/>
    <xf numFmtId="44" fontId="46" fillId="0" borderId="23" xfId="34" applyFont="1" applyBorder="1"/>
    <xf numFmtId="44" fontId="46" fillId="0" borderId="16" xfId="34" applyFont="1" applyBorder="1"/>
    <xf numFmtId="44" fontId="46" fillId="0" borderId="1" xfId="0" applyNumberFormat="1" applyFont="1" applyBorder="1"/>
    <xf numFmtId="0" fontId="56" fillId="3" borderId="17" xfId="0" applyFont="1" applyFill="1" applyBorder="1"/>
    <xf numFmtId="44" fontId="46" fillId="0" borderId="0" xfId="0" applyNumberFormat="1" applyFont="1"/>
    <xf numFmtId="49" fontId="45" fillId="15" borderId="1" xfId="11" applyNumberFormat="1" applyFont="1" applyFill="1" applyBorder="1" applyAlignment="1" applyProtection="1">
      <alignment horizontal="left" vertical="top"/>
      <protection hidden="1"/>
    </xf>
    <xf numFmtId="49" fontId="68" fillId="0" borderId="0" xfId="12" applyNumberFormat="1" applyFont="1" applyFill="1" applyBorder="1" applyAlignment="1"/>
    <xf numFmtId="2" fontId="69" fillId="0" borderId="0" xfId="12" applyNumberFormat="1" applyFont="1" applyFill="1" applyBorder="1" applyAlignment="1"/>
    <xf numFmtId="2" fontId="69" fillId="0" borderId="0" xfId="12" applyNumberFormat="1" applyFont="1" applyFill="1" applyAlignment="1"/>
    <xf numFmtId="49" fontId="46" fillId="0" borderId="0" xfId="11" applyNumberFormat="1" applyFont="1" applyFill="1" applyBorder="1" applyAlignment="1" applyProtection="1">
      <alignment horizontal="left" vertical="top"/>
      <protection hidden="1"/>
    </xf>
    <xf numFmtId="0" fontId="46" fillId="0" borderId="0" xfId="11" applyFont="1" applyFill="1" applyBorder="1" applyAlignment="1" applyProtection="1">
      <alignment horizontal="center" vertical="justify"/>
      <protection hidden="1"/>
    </xf>
    <xf numFmtId="49" fontId="56" fillId="0" borderId="0" xfId="12" applyNumberFormat="1" applyFont="1" applyFill="1" applyBorder="1" applyAlignment="1"/>
    <xf numFmtId="181" fontId="46" fillId="16" borderId="16" xfId="14" applyNumberFormat="1" applyFont="1" applyFill="1" applyBorder="1" applyAlignment="1">
      <alignment horizontal="center"/>
    </xf>
    <xf numFmtId="49" fontId="45" fillId="15" borderId="75" xfId="11" applyNumberFormat="1" applyFont="1" applyFill="1" applyBorder="1" applyAlignment="1" applyProtection="1">
      <alignment horizontal="left" vertical="top"/>
      <protection hidden="1"/>
    </xf>
    <xf numFmtId="49" fontId="45" fillId="15" borderId="48" xfId="11" applyNumberFormat="1" applyFont="1" applyFill="1" applyBorder="1" applyAlignment="1" applyProtection="1">
      <alignment horizontal="left" vertical="top"/>
      <protection hidden="1"/>
    </xf>
    <xf numFmtId="0" fontId="69" fillId="0" borderId="0" xfId="12" applyFont="1" applyFill="1" applyAlignment="1"/>
    <xf numFmtId="2" fontId="68" fillId="0" borderId="0" xfId="12" applyNumberFormat="1" applyFont="1" applyFill="1" applyBorder="1" applyAlignment="1"/>
    <xf numFmtId="0" fontId="70" fillId="17" borderId="75" xfId="38" applyFont="1" applyFill="1" applyBorder="1" applyAlignment="1">
      <alignment horizontal="left"/>
    </xf>
    <xf numFmtId="0" fontId="70" fillId="17" borderId="29" xfId="38" applyFont="1" applyFill="1" applyBorder="1" applyAlignment="1">
      <alignment horizontal="left"/>
    </xf>
    <xf numFmtId="0" fontId="70" fillId="17" borderId="48" xfId="38" applyFont="1" applyFill="1" applyBorder="1" applyAlignment="1">
      <alignment horizontal="left"/>
    </xf>
    <xf numFmtId="2" fontId="71" fillId="17" borderId="74" xfId="18" applyNumberFormat="1" applyFont="1" applyFill="1" applyBorder="1" applyAlignment="1">
      <alignment vertical="top" wrapText="1"/>
    </xf>
    <xf numFmtId="44" fontId="56" fillId="0" borderId="22" xfId="0" applyNumberFormat="1" applyFont="1" applyFill="1" applyBorder="1"/>
    <xf numFmtId="49" fontId="45" fillId="15" borderId="24" xfId="11" applyNumberFormat="1" applyFont="1" applyFill="1" applyBorder="1" applyAlignment="1" applyProtection="1">
      <alignment horizontal="left" vertical="top"/>
      <protection hidden="1"/>
    </xf>
    <xf numFmtId="2" fontId="68" fillId="0" borderId="0" xfId="12" applyNumberFormat="1" applyFont="1" applyFill="1" applyBorder="1" applyAlignment="1">
      <alignment vertical="top"/>
    </xf>
    <xf numFmtId="2" fontId="71" fillId="17" borderId="49" xfId="0" applyNumberFormat="1" applyFont="1" applyFill="1" applyBorder="1" applyAlignment="1">
      <alignment horizontal="left" vertical="top" wrapText="1"/>
    </xf>
    <xf numFmtId="2" fontId="71" fillId="17" borderId="49" xfId="0" applyNumberFormat="1" applyFont="1" applyFill="1" applyBorder="1" applyAlignment="1">
      <alignment horizontal="center" vertical="top" wrapText="1"/>
    </xf>
    <xf numFmtId="2" fontId="68" fillId="0" borderId="0" xfId="38" applyNumberFormat="1" applyFont="1" applyFill="1" applyBorder="1" applyAlignment="1"/>
    <xf numFmtId="2" fontId="68" fillId="0" borderId="0" xfId="49" applyNumberFormat="1" applyFont="1" applyFill="1" applyBorder="1" applyAlignment="1"/>
    <xf numFmtId="2" fontId="69" fillId="0" borderId="0" xfId="38" applyNumberFormat="1" applyFont="1" applyFill="1" applyBorder="1" applyAlignment="1">
      <alignment horizontal="left"/>
    </xf>
    <xf numFmtId="0" fontId="72" fillId="16" borderId="47" xfId="36" applyFont="1" applyFill="1" applyBorder="1"/>
    <xf numFmtId="0" fontId="18" fillId="0" borderId="74" xfId="42" applyFont="1" applyBorder="1" applyAlignment="1">
      <alignment horizontal="left" vertical="top"/>
    </xf>
    <xf numFmtId="0" fontId="18" fillId="0" borderId="74" xfId="17" applyFont="1" applyBorder="1"/>
    <xf numFmtId="0" fontId="18" fillId="0" borderId="48" xfId="17" applyFont="1" applyBorder="1" applyAlignment="1">
      <alignment horizontal="center"/>
    </xf>
    <xf numFmtId="180" fontId="18" fillId="0" borderId="74" xfId="42" applyNumberFormat="1" applyFont="1" applyBorder="1" applyAlignment="1">
      <alignment horizontal="center"/>
    </xf>
    <xf numFmtId="44" fontId="18" fillId="0" borderId="74" xfId="98" applyFont="1" applyFill="1" applyBorder="1" applyAlignment="1">
      <alignment horizontal="center"/>
    </xf>
    <xf numFmtId="49" fontId="18" fillId="0" borderId="74" xfId="42" applyNumberFormat="1" applyFont="1" applyBorder="1"/>
    <xf numFmtId="2" fontId="18" fillId="0" borderId="48" xfId="17" applyNumberFormat="1" applyFont="1" applyBorder="1" applyAlignment="1">
      <alignment horizontal="right"/>
    </xf>
    <xf numFmtId="0" fontId="18" fillId="0" borderId="68" xfId="17" applyFont="1" applyBorder="1"/>
    <xf numFmtId="0" fontId="18" fillId="0" borderId="74" xfId="42" applyFont="1" applyBorder="1" applyAlignment="1">
      <alignment horizontal="left"/>
    </xf>
    <xf numFmtId="0" fontId="54" fillId="16" borderId="1" xfId="36" applyFont="1" applyFill="1" applyBorder="1"/>
    <xf numFmtId="0" fontId="46" fillId="16" borderId="48" xfId="37" applyFont="1" applyFill="1" applyBorder="1" applyAlignment="1">
      <alignment horizontal="right"/>
    </xf>
    <xf numFmtId="44" fontId="46" fillId="16" borderId="47" xfId="34" applyFont="1" applyFill="1" applyBorder="1" applyAlignment="1">
      <alignment horizontal="right"/>
    </xf>
    <xf numFmtId="2" fontId="69" fillId="0" borderId="0" xfId="38" applyNumberFormat="1" applyFont="1" applyFill="1" applyBorder="1" applyAlignment="1"/>
    <xf numFmtId="2" fontId="71" fillId="17" borderId="73" xfId="17" applyNumberFormat="1" applyFont="1" applyFill="1" applyBorder="1" applyAlignment="1">
      <alignment vertical="top" wrapText="1"/>
    </xf>
    <xf numFmtId="2" fontId="71" fillId="17" borderId="1" xfId="17" applyNumberFormat="1" applyFont="1" applyFill="1" applyBorder="1" applyAlignment="1">
      <alignment horizontal="center" vertical="top" wrapText="1"/>
    </xf>
    <xf numFmtId="2" fontId="71" fillId="17" borderId="1" xfId="7" applyNumberFormat="1" applyFont="1" applyFill="1" applyBorder="1" applyAlignment="1" applyProtection="1">
      <alignment horizontal="left" vertical="top" wrapText="1"/>
    </xf>
    <xf numFmtId="0" fontId="73" fillId="0" borderId="0" xfId="33" applyFont="1" applyFill="1"/>
    <xf numFmtId="44" fontId="56" fillId="0" borderId="48" xfId="34" applyFont="1" applyFill="1" applyBorder="1" applyAlignment="1" applyProtection="1">
      <alignment horizontal="left" vertical="top" wrapText="1"/>
    </xf>
    <xf numFmtId="0" fontId="46" fillId="0" borderId="76" xfId="193" applyFont="1" applyBorder="1" applyAlignment="1">
      <alignment horizontal="center"/>
    </xf>
    <xf numFmtId="0" fontId="46" fillId="0" borderId="49" xfId="33" applyFont="1" applyBorder="1"/>
    <xf numFmtId="0" fontId="62" fillId="0" borderId="76" xfId="193" applyFont="1" applyBorder="1" applyAlignment="1">
      <alignment horizontal="center"/>
    </xf>
    <xf numFmtId="0" fontId="62" fillId="0" borderId="49" xfId="193" applyFont="1" applyBorder="1"/>
    <xf numFmtId="4" fontId="62" fillId="0" borderId="49" xfId="193" applyNumberFormat="1" applyFont="1" applyBorder="1"/>
    <xf numFmtId="4" fontId="62" fillId="3" borderId="49" xfId="193" applyNumberFormat="1" applyFont="1" applyFill="1" applyBorder="1"/>
    <xf numFmtId="44" fontId="62" fillId="0" borderId="49" xfId="193" applyNumberFormat="1" applyFont="1" applyBorder="1"/>
    <xf numFmtId="166" fontId="46" fillId="4" borderId="49" xfId="12" applyNumberFormat="1" applyFont="1" applyFill="1" applyBorder="1" applyAlignment="1"/>
    <xf numFmtId="2" fontId="56" fillId="0" borderId="75" xfId="7" applyNumberFormat="1" applyFont="1" applyFill="1" applyBorder="1" applyAlignment="1" applyProtection="1">
      <alignment horizontal="left" vertical="top" wrapText="1"/>
    </xf>
    <xf numFmtId="2" fontId="56" fillId="0" borderId="29" xfId="7" applyNumberFormat="1" applyFont="1" applyFill="1" applyBorder="1" applyAlignment="1" applyProtection="1">
      <alignment horizontal="left" vertical="top" wrapText="1"/>
    </xf>
    <xf numFmtId="2" fontId="56" fillId="0" borderId="48" xfId="7" applyNumberFormat="1" applyFont="1" applyFill="1" applyBorder="1" applyAlignment="1" applyProtection="1">
      <alignment horizontal="left" vertical="top" wrapText="1"/>
    </xf>
    <xf numFmtId="165" fontId="46" fillId="16" borderId="47" xfId="29" applyFont="1" applyFill="1" applyBorder="1" applyAlignment="1"/>
    <xf numFmtId="166" fontId="46" fillId="16" borderId="47" xfId="12" applyNumberFormat="1" applyFont="1" applyFill="1" applyBorder="1" applyAlignment="1"/>
    <xf numFmtId="178" fontId="71" fillId="17" borderId="1" xfId="0" applyNumberFormat="1" applyFont="1" applyFill="1" applyBorder="1" applyAlignment="1" applyProtection="1">
      <alignment horizontal="left" vertical="top" wrapText="1"/>
    </xf>
    <xf numFmtId="2" fontId="71" fillId="17" borderId="1" xfId="0" applyNumberFormat="1" applyFont="1" applyFill="1" applyBorder="1" applyAlignment="1">
      <alignment vertical="top" wrapText="1"/>
    </xf>
    <xf numFmtId="2" fontId="71" fillId="17" borderId="1" xfId="0" applyNumberFormat="1" applyFont="1" applyFill="1" applyBorder="1" applyAlignment="1" applyProtection="1">
      <alignment horizontal="center" vertical="top" wrapText="1"/>
    </xf>
    <xf numFmtId="2" fontId="71" fillId="17" borderId="1" xfId="7" applyNumberFormat="1" applyFont="1" applyFill="1" applyBorder="1" applyAlignment="1" applyProtection="1">
      <alignment horizontal="center" vertical="top" wrapText="1"/>
    </xf>
    <xf numFmtId="165" fontId="64" fillId="0" borderId="48" xfId="29" applyFont="1" applyFill="1" applyBorder="1" applyAlignment="1">
      <alignment horizontal="right"/>
    </xf>
    <xf numFmtId="0" fontId="46" fillId="0" borderId="49" xfId="0" applyFont="1" applyBorder="1" applyAlignment="1">
      <alignment horizontal="center"/>
    </xf>
    <xf numFmtId="0" fontId="46" fillId="0" borderId="49" xfId="0" applyFont="1" applyBorder="1"/>
    <xf numFmtId="0" fontId="46" fillId="0" borderId="76" xfId="12" applyNumberFormat="1" applyFont="1" applyFill="1" applyBorder="1" applyAlignment="1">
      <alignment horizontal="center"/>
    </xf>
    <xf numFmtId="0" fontId="46" fillId="0" borderId="76" xfId="12" applyFont="1" applyBorder="1"/>
    <xf numFmtId="182" fontId="46" fillId="0" borderId="49" xfId="12" applyNumberFormat="1" applyFont="1" applyFill="1" applyBorder="1" applyAlignment="1">
      <alignment horizontal="center"/>
    </xf>
    <xf numFmtId="165" fontId="46" fillId="0" borderId="49" xfId="29" applyFont="1" applyFill="1" applyBorder="1" applyAlignment="1"/>
    <xf numFmtId="49" fontId="64" fillId="0" borderId="75" xfId="12" applyNumberFormat="1" applyFont="1" applyFill="1" applyBorder="1" applyAlignment="1"/>
    <xf numFmtId="49" fontId="64" fillId="0" borderId="29" xfId="12" applyNumberFormat="1" applyFont="1" applyFill="1" applyBorder="1" applyAlignment="1"/>
    <xf numFmtId="164" fontId="64" fillId="0" borderId="29" xfId="12" applyNumberFormat="1" applyFont="1" applyFill="1" applyBorder="1" applyAlignment="1"/>
    <xf numFmtId="166" fontId="64" fillId="0" borderId="48" xfId="12" applyNumberFormat="1" applyFont="1" applyFill="1" applyBorder="1" applyAlignment="1"/>
    <xf numFmtId="0" fontId="71" fillId="17" borderId="14" xfId="26" applyFont="1" applyFill="1" applyBorder="1" applyAlignment="1">
      <alignment horizontal="left"/>
    </xf>
    <xf numFmtId="0" fontId="71" fillId="17" borderId="15" xfId="26" applyFont="1" applyFill="1" applyBorder="1" applyAlignment="1">
      <alignment horizontal="center" wrapText="1"/>
    </xf>
    <xf numFmtId="0" fontId="71" fillId="17" borderId="7" xfId="26" applyFont="1" applyFill="1" applyBorder="1" applyAlignment="1">
      <alignment horizontal="center" wrapText="1"/>
    </xf>
    <xf numFmtId="185" fontId="46" fillId="15" borderId="58" xfId="7" applyNumberFormat="1" applyFont="1" applyFill="1" applyBorder="1" applyAlignment="1" applyProtection="1">
      <alignment horizontal="right" vertical="top"/>
      <protection hidden="1"/>
    </xf>
    <xf numFmtId="2" fontId="69" fillId="0" borderId="0" xfId="36" applyNumberFormat="1" applyFont="1" applyFill="1" applyBorder="1" applyAlignment="1">
      <alignment vertical="center"/>
    </xf>
    <xf numFmtId="2" fontId="71" fillId="17" borderId="32" xfId="26" applyNumberFormat="1" applyFont="1" applyFill="1" applyBorder="1" applyAlignment="1">
      <alignment horizontal="left" vertical="top" wrapText="1"/>
    </xf>
    <xf numFmtId="2" fontId="71" fillId="17" borderId="33" xfId="26" applyNumberFormat="1" applyFont="1" applyFill="1" applyBorder="1" applyAlignment="1">
      <alignment vertical="top" wrapText="1"/>
    </xf>
    <xf numFmtId="3" fontId="71" fillId="17" borderId="33" xfId="26" applyNumberFormat="1" applyFont="1" applyFill="1" applyBorder="1" applyAlignment="1">
      <alignment horizontal="center" vertical="top" wrapText="1"/>
    </xf>
    <xf numFmtId="3" fontId="71" fillId="17" borderId="33" xfId="8" applyNumberFormat="1" applyFont="1" applyFill="1" applyBorder="1" applyAlignment="1">
      <alignment horizontal="center" vertical="top" wrapText="1"/>
    </xf>
    <xf numFmtId="190" fontId="71" fillId="17" borderId="33" xfId="7" applyNumberFormat="1" applyFont="1" applyFill="1" applyBorder="1" applyAlignment="1">
      <alignment horizontal="center" vertical="top" wrapText="1"/>
    </xf>
    <xf numFmtId="166" fontId="71" fillId="17" borderId="33" xfId="7" applyFont="1" applyFill="1" applyBorder="1" applyAlignment="1">
      <alignment horizontal="center" vertical="top" wrapText="1"/>
    </xf>
    <xf numFmtId="166" fontId="71" fillId="17" borderId="35" xfId="7" applyFont="1" applyFill="1" applyBorder="1" applyAlignment="1">
      <alignment horizontal="center" vertical="top" wrapText="1"/>
    </xf>
    <xf numFmtId="44" fontId="71" fillId="17" borderId="33" xfId="34" applyFont="1" applyFill="1" applyBorder="1" applyAlignment="1">
      <alignment horizontal="center" vertical="top" wrapText="1"/>
    </xf>
    <xf numFmtId="0" fontId="71" fillId="17" borderId="33" xfId="26" applyNumberFormat="1" applyFont="1" applyFill="1" applyBorder="1" applyAlignment="1">
      <alignment horizontal="center" vertical="top" wrapText="1"/>
    </xf>
    <xf numFmtId="44" fontId="71" fillId="17" borderId="22" xfId="34" applyFont="1" applyFill="1" applyBorder="1" applyAlignment="1">
      <alignment horizontal="center" vertical="top" wrapText="1"/>
    </xf>
    <xf numFmtId="0" fontId="71" fillId="17" borderId="12" xfId="26" applyNumberFormat="1" applyFont="1" applyFill="1" applyBorder="1" applyAlignment="1">
      <alignment horizontal="center" vertical="top" wrapText="1"/>
    </xf>
    <xf numFmtId="9" fontId="46" fillId="15" borderId="13" xfId="14" applyFont="1" applyFill="1" applyBorder="1" applyAlignment="1" applyProtection="1">
      <alignment horizontal="center" vertical="top"/>
      <protection hidden="1"/>
    </xf>
    <xf numFmtId="44" fontId="56" fillId="0" borderId="74" xfId="34" applyFont="1" applyBorder="1"/>
    <xf numFmtId="0" fontId="55" fillId="0" borderId="0" xfId="17" applyFont="1" applyFill="1"/>
    <xf numFmtId="0" fontId="46" fillId="0" borderId="0" xfId="17" applyFont="1" applyFill="1"/>
    <xf numFmtId="168" fontId="46" fillId="0" borderId="0" xfId="7" applyNumberFormat="1" applyFont="1" applyFill="1"/>
    <xf numFmtId="2" fontId="69" fillId="0" borderId="0" xfId="49" applyNumberFormat="1" applyFont="1" applyFill="1" applyBorder="1" applyAlignment="1">
      <alignment horizontal="left"/>
    </xf>
    <xf numFmtId="0" fontId="44" fillId="16" borderId="16" xfId="48" applyFont="1" applyFill="1" applyBorder="1" applyAlignment="1" applyProtection="1">
      <protection hidden="1"/>
    </xf>
    <xf numFmtId="0" fontId="56" fillId="0" borderId="75" xfId="17" applyFont="1" applyBorder="1"/>
    <xf numFmtId="0" fontId="46" fillId="0" borderId="77" xfId="17" applyFont="1" applyBorder="1"/>
    <xf numFmtId="168" fontId="46" fillId="0" borderId="77" xfId="7" applyNumberFormat="1" applyFont="1" applyBorder="1"/>
    <xf numFmtId="44" fontId="56" fillId="3" borderId="74" xfId="98" applyFont="1" applyFill="1" applyBorder="1" applyAlignment="1">
      <alignment horizontal="left" vertical="top" wrapText="1"/>
    </xf>
    <xf numFmtId="2" fontId="71" fillId="17" borderId="74" xfId="17" applyNumberFormat="1" applyFont="1" applyFill="1" applyBorder="1" applyAlignment="1">
      <alignment horizontal="left" vertical="top" wrapText="1"/>
    </xf>
    <xf numFmtId="168" fontId="71" fillId="17" borderId="74" xfId="7" applyNumberFormat="1" applyFont="1" applyFill="1" applyBorder="1" applyAlignment="1">
      <alignment horizontal="center" vertical="top" wrapText="1"/>
    </xf>
    <xf numFmtId="2" fontId="71" fillId="17" borderId="74" xfId="17" applyNumberFormat="1" applyFont="1" applyFill="1" applyBorder="1" applyAlignment="1">
      <alignment horizontal="center" vertical="top" wrapText="1"/>
    </xf>
    <xf numFmtId="169" fontId="46" fillId="0" borderId="74" xfId="0" applyNumberFormat="1" applyFont="1" applyFill="1" applyBorder="1" applyAlignment="1">
      <alignment horizontal="center"/>
    </xf>
    <xf numFmtId="169" fontId="46" fillId="0" borderId="74" xfId="0" applyNumberFormat="1" applyFont="1" applyFill="1" applyBorder="1" applyAlignment="1">
      <alignment horizontal="left"/>
    </xf>
    <xf numFmtId="1" fontId="46" fillId="0" borderId="74" xfId="50" applyNumberFormat="1" applyFont="1" applyFill="1" applyBorder="1" applyAlignment="1">
      <alignment horizontal="left"/>
    </xf>
    <xf numFmtId="0" fontId="46" fillId="0" borderId="74" xfId="50" applyFont="1" applyBorder="1" applyAlignment="1">
      <alignment horizontal="left"/>
    </xf>
    <xf numFmtId="168" fontId="46" fillId="3" borderId="74" xfId="7" applyNumberFormat="1" applyFont="1" applyFill="1" applyBorder="1"/>
    <xf numFmtId="44" fontId="59" fillId="0" borderId="74" xfId="34" applyFont="1" applyFill="1" applyBorder="1" applyAlignment="1" applyProtection="1">
      <alignment horizontal="right" vertical="center"/>
      <protection hidden="1"/>
    </xf>
    <xf numFmtId="43" fontId="59" fillId="16" borderId="74" xfId="51" applyFont="1" applyFill="1" applyBorder="1" applyAlignment="1" applyProtection="1">
      <alignment horizontal="right" vertical="center"/>
      <protection hidden="1"/>
    </xf>
    <xf numFmtId="181" fontId="59" fillId="0" borderId="74" xfId="48" applyNumberFormat="1" applyFont="1" applyFill="1" applyBorder="1" applyAlignment="1" applyProtection="1">
      <alignment horizontal="right" vertical="center"/>
      <protection hidden="1"/>
    </xf>
    <xf numFmtId="168" fontId="46" fillId="0" borderId="74" xfId="7" applyNumberFormat="1" applyFont="1" applyBorder="1" applyAlignment="1">
      <alignment horizontal="left"/>
    </xf>
    <xf numFmtId="1" fontId="46" fillId="0" borderId="74" xfId="50" applyNumberFormat="1" applyFont="1" applyBorder="1" applyAlignment="1">
      <alignment horizontal="left"/>
    </xf>
    <xf numFmtId="44" fontId="56" fillId="0" borderId="74" xfId="42" applyNumberFormat="1" applyFont="1" applyBorder="1"/>
    <xf numFmtId="0" fontId="46" fillId="0" borderId="75" xfId="42" applyFont="1" applyBorder="1"/>
    <xf numFmtId="0" fontId="46" fillId="0" borderId="77" xfId="42" applyFont="1" applyBorder="1" applyAlignment="1">
      <alignment horizontal="center"/>
    </xf>
    <xf numFmtId="0" fontId="46" fillId="0" borderId="77" xfId="17" applyFont="1" applyFill="1" applyBorder="1"/>
    <xf numFmtId="0" fontId="46" fillId="0" borderId="77" xfId="42" applyFont="1" applyBorder="1"/>
    <xf numFmtId="0" fontId="46" fillId="0" borderId="77" xfId="17" applyFont="1" applyFill="1" applyBorder="1" applyAlignment="1">
      <alignment horizontal="left"/>
    </xf>
    <xf numFmtId="44" fontId="46" fillId="0" borderId="77" xfId="98" applyFont="1" applyFill="1" applyBorder="1" applyAlignment="1">
      <alignment horizontal="left"/>
    </xf>
    <xf numFmtId="44" fontId="46" fillId="0" borderId="77" xfId="98" applyFont="1" applyFill="1" applyBorder="1" applyAlignment="1">
      <alignment horizontal="center"/>
    </xf>
    <xf numFmtId="0" fontId="54" fillId="16" borderId="47" xfId="36" applyFont="1" applyFill="1" applyBorder="1"/>
    <xf numFmtId="44" fontId="46" fillId="16" borderId="47" xfId="98" applyFont="1" applyFill="1" applyBorder="1"/>
    <xf numFmtId="44" fontId="46" fillId="16" borderId="47" xfId="98" applyFont="1" applyFill="1" applyBorder="1" applyAlignment="1"/>
    <xf numFmtId="44" fontId="71" fillId="17" borderId="47" xfId="98" applyFont="1" applyFill="1" applyBorder="1" applyAlignment="1">
      <alignment vertical="top" wrapText="1"/>
    </xf>
    <xf numFmtId="0" fontId="71" fillId="17" borderId="47" xfId="42" applyFont="1" applyFill="1" applyBorder="1" applyAlignment="1">
      <alignment vertical="top" wrapText="1"/>
    </xf>
    <xf numFmtId="0" fontId="56" fillId="0" borderId="50" xfId="42" applyFont="1" applyFill="1" applyBorder="1"/>
    <xf numFmtId="0" fontId="56" fillId="0" borderId="29" xfId="42" applyFont="1" applyFill="1" applyBorder="1"/>
    <xf numFmtId="168" fontId="56" fillId="0" borderId="29" xfId="42" applyNumberFormat="1" applyFont="1" applyFill="1" applyBorder="1"/>
    <xf numFmtId="44" fontId="56" fillId="0" borderId="29" xfId="98" applyFont="1" applyFill="1" applyBorder="1"/>
    <xf numFmtId="0" fontId="56" fillId="0" borderId="48" xfId="42" applyFont="1" applyFill="1" applyBorder="1"/>
    <xf numFmtId="44" fontId="56" fillId="0" borderId="47" xfId="42" applyNumberFormat="1" applyFont="1" applyFill="1" applyBorder="1"/>
    <xf numFmtId="0" fontId="71" fillId="17" borderId="1" xfId="11" applyNumberFormat="1" applyFont="1" applyFill="1" applyBorder="1" applyAlignment="1" applyProtection="1">
      <alignment horizontal="left" wrapText="1"/>
      <protection hidden="1"/>
    </xf>
    <xf numFmtId="0" fontId="71" fillId="17" borderId="1" xfId="11" applyNumberFormat="1" applyFont="1" applyFill="1" applyBorder="1" applyAlignment="1" applyProtection="1">
      <alignment horizontal="left" textRotation="90" wrapText="1"/>
      <protection hidden="1"/>
    </xf>
    <xf numFmtId="49" fontId="45" fillId="15" borderId="0" xfId="11" applyNumberFormat="1" applyFont="1" applyFill="1" applyBorder="1" applyAlignment="1" applyProtection="1">
      <alignment horizontal="left" vertical="top"/>
      <protection hidden="1"/>
    </xf>
    <xf numFmtId="3" fontId="59" fillId="16" borderId="1" xfId="11" applyNumberFormat="1" applyFont="1" applyFill="1" applyBorder="1" applyAlignment="1" applyProtection="1">
      <alignment horizontal="left" wrapText="1"/>
      <protection hidden="1"/>
    </xf>
    <xf numFmtId="3" fontId="59" fillId="16" borderId="1" xfId="11" applyNumberFormat="1" applyFont="1" applyFill="1" applyBorder="1" applyAlignment="1" applyProtection="1">
      <alignment horizontal="left" vertical="top" wrapText="1"/>
      <protection hidden="1"/>
    </xf>
    <xf numFmtId="176" fontId="59" fillId="16" borderId="1" xfId="11" applyNumberFormat="1" applyFont="1" applyFill="1" applyBorder="1" applyAlignment="1" applyProtection="1">
      <alignment horizontal="center"/>
      <protection hidden="1"/>
    </xf>
    <xf numFmtId="3" fontId="59" fillId="16" borderId="58" xfId="11" applyNumberFormat="1" applyFont="1" applyFill="1" applyBorder="1" applyAlignment="1" applyProtection="1">
      <alignment horizontal="left" wrapText="1"/>
      <protection hidden="1"/>
    </xf>
    <xf numFmtId="3" fontId="59" fillId="16" borderId="58" xfId="11" applyNumberFormat="1" applyFont="1" applyFill="1" applyBorder="1" applyAlignment="1" applyProtection="1">
      <alignment horizontal="left" vertical="top" wrapText="1"/>
      <protection hidden="1"/>
    </xf>
    <xf numFmtId="181" fontId="46" fillId="16" borderId="58" xfId="14" applyNumberFormat="1" applyFont="1" applyFill="1" applyBorder="1" applyAlignment="1">
      <alignment horizontal="center"/>
    </xf>
    <xf numFmtId="176" fontId="59" fillId="16" borderId="58" xfId="11" applyNumberFormat="1" applyFont="1" applyFill="1" applyBorder="1" applyAlignment="1" applyProtection="1">
      <alignment horizontal="center"/>
      <protection hidden="1"/>
    </xf>
    <xf numFmtId="3" fontId="46" fillId="16" borderId="58" xfId="11" applyNumberFormat="1" applyFont="1" applyFill="1" applyBorder="1" applyAlignment="1" applyProtection="1">
      <alignment horizontal="left" vertical="top" wrapText="1"/>
      <protection hidden="1"/>
    </xf>
    <xf numFmtId="3" fontId="59" fillId="16" borderId="1" xfId="11" applyNumberFormat="1" applyFont="1" applyFill="1" applyBorder="1" applyAlignment="1" applyProtection="1">
      <alignment horizontal="center"/>
      <protection hidden="1"/>
    </xf>
    <xf numFmtId="3" fontId="59" fillId="16" borderId="58" xfId="11" applyNumberFormat="1" applyFont="1" applyFill="1" applyBorder="1" applyAlignment="1" applyProtection="1">
      <alignment horizontal="center"/>
      <protection hidden="1"/>
    </xf>
    <xf numFmtId="168" fontId="59" fillId="16" borderId="1" xfId="7" applyNumberFormat="1" applyFont="1" applyFill="1" applyBorder="1" applyAlignment="1" applyProtection="1">
      <alignment horizontal="center"/>
      <protection hidden="1"/>
    </xf>
    <xf numFmtId="168" fontId="59" fillId="16" borderId="58" xfId="7" applyNumberFormat="1" applyFont="1" applyFill="1" applyBorder="1" applyAlignment="1" applyProtection="1">
      <alignment horizontal="center"/>
      <protection hidden="1"/>
    </xf>
    <xf numFmtId="9" fontId="59" fillId="16" borderId="10" xfId="14" applyFont="1" applyFill="1" applyBorder="1" applyAlignment="1" applyProtection="1">
      <alignment horizontal="center"/>
      <protection hidden="1"/>
    </xf>
    <xf numFmtId="2" fontId="69" fillId="0" borderId="0" xfId="12" applyNumberFormat="1" applyFont="1" applyFill="1" applyBorder="1" applyAlignment="1">
      <alignment horizontal="left"/>
    </xf>
    <xf numFmtId="176" fontId="57" fillId="16" borderId="1" xfId="36" applyNumberFormat="1" applyFont="1" applyFill="1" applyBorder="1"/>
    <xf numFmtId="0" fontId="71" fillId="17" borderId="1" xfId="11" applyFont="1" applyFill="1" applyBorder="1" applyAlignment="1" applyProtection="1">
      <alignment horizontal="left"/>
      <protection hidden="1"/>
    </xf>
    <xf numFmtId="0" fontId="71" fillId="17" borderId="1" xfId="11" applyFont="1" applyFill="1" applyBorder="1" applyAlignment="1" applyProtection="1">
      <alignment horizontal="center"/>
      <protection hidden="1"/>
    </xf>
    <xf numFmtId="0" fontId="71" fillId="17" borderId="1" xfId="0" applyFont="1" applyFill="1" applyBorder="1" applyAlignment="1">
      <alignment horizontal="center"/>
    </xf>
    <xf numFmtId="0" fontId="71" fillId="17" borderId="31" xfId="11" applyFont="1" applyFill="1" applyBorder="1" applyAlignment="1" applyProtection="1">
      <protection hidden="1"/>
    </xf>
    <xf numFmtId="0" fontId="68" fillId="0" borderId="0" xfId="11" applyNumberFormat="1" applyFont="1" applyFill="1" applyBorder="1" applyAlignment="1" applyProtection="1">
      <alignment horizontal="left" vertical="center"/>
      <protection hidden="1"/>
    </xf>
    <xf numFmtId="0" fontId="71" fillId="17" borderId="4" xfId="11" applyNumberFormat="1" applyFont="1" applyFill="1" applyBorder="1" applyAlignment="1" applyProtection="1">
      <alignment horizontal="left" vertical="center"/>
      <protection hidden="1"/>
    </xf>
    <xf numFmtId="0" fontId="71" fillId="17" borderId="4" xfId="11" applyNumberFormat="1" applyFont="1" applyFill="1" applyBorder="1" applyAlignment="1" applyProtection="1">
      <alignment horizontal="left" vertical="center" wrapText="1"/>
      <protection hidden="1"/>
    </xf>
    <xf numFmtId="0" fontId="71" fillId="17" borderId="24" xfId="11" applyNumberFormat="1" applyFont="1" applyFill="1" applyBorder="1" applyAlignment="1" applyProtection="1">
      <alignment horizontal="left" vertical="center" wrapText="1"/>
      <protection hidden="1"/>
    </xf>
    <xf numFmtId="0" fontId="58" fillId="0" borderId="0" xfId="25" applyFont="1" applyFill="1"/>
    <xf numFmtId="181" fontId="59" fillId="16" borderId="1" xfId="39" applyNumberFormat="1" applyFont="1" applyFill="1" applyBorder="1" applyAlignment="1" applyProtection="1">
      <alignment horizontal="right" vertical="center"/>
      <protection hidden="1"/>
    </xf>
    <xf numFmtId="166" fontId="58" fillId="16" borderId="50" xfId="7" applyFont="1" applyFill="1" applyBorder="1"/>
    <xf numFmtId="166" fontId="58" fillId="16" borderId="30" xfId="7" applyFont="1" applyFill="1" applyBorder="1"/>
    <xf numFmtId="49" fontId="58" fillId="16" borderId="47" xfId="7" applyNumberFormat="1" applyFont="1" applyFill="1" applyBorder="1" applyAlignment="1">
      <alignment horizontal="center"/>
    </xf>
    <xf numFmtId="49" fontId="58" fillId="16" borderId="24" xfId="7" applyNumberFormat="1" applyFont="1" applyFill="1" applyBorder="1"/>
    <xf numFmtId="49" fontId="58" fillId="16" borderId="24" xfId="7" applyNumberFormat="1" applyFont="1" applyFill="1" applyBorder="1" applyAlignment="1">
      <alignment horizontal="center"/>
    </xf>
    <xf numFmtId="44" fontId="58" fillId="16" borderId="24" xfId="34" applyFont="1" applyFill="1" applyBorder="1" applyAlignment="1">
      <alignment horizontal="center"/>
    </xf>
    <xf numFmtId="166" fontId="58" fillId="16" borderId="24" xfId="7" applyFont="1" applyFill="1" applyBorder="1"/>
    <xf numFmtId="2" fontId="58" fillId="16" borderId="24" xfId="7" applyNumberFormat="1" applyFont="1" applyFill="1" applyBorder="1" applyAlignment="1">
      <alignment horizontal="center"/>
    </xf>
    <xf numFmtId="0" fontId="44" fillId="16" borderId="74" xfId="39" applyFont="1" applyFill="1" applyBorder="1" applyAlignment="1" applyProtection="1">
      <protection hidden="1"/>
    </xf>
    <xf numFmtId="181" fontId="59" fillId="16" borderId="47" xfId="39" applyNumberFormat="1" applyFont="1" applyFill="1" applyBorder="1" applyAlignment="1" applyProtection="1">
      <alignment horizontal="right" vertical="center"/>
      <protection hidden="1"/>
    </xf>
    <xf numFmtId="166" fontId="59" fillId="16" borderId="47" xfId="7" applyFont="1" applyFill="1" applyBorder="1" applyAlignment="1" applyProtection="1">
      <alignment horizontal="right" vertical="center"/>
      <protection hidden="1"/>
    </xf>
    <xf numFmtId="166" fontId="59" fillId="16" borderId="58" xfId="7" applyFont="1" applyFill="1" applyBorder="1" applyAlignment="1" applyProtection="1">
      <alignment horizontal="right" vertical="center"/>
      <protection hidden="1"/>
    </xf>
    <xf numFmtId="2" fontId="71" fillId="17" borderId="1" xfId="17" applyNumberFormat="1" applyFont="1" applyFill="1" applyBorder="1" applyAlignment="1">
      <alignment horizontal="left" vertical="top" wrapText="1"/>
    </xf>
    <xf numFmtId="2" fontId="71" fillId="17" borderId="63" xfId="17" applyNumberFormat="1" applyFont="1" applyFill="1" applyBorder="1" applyAlignment="1">
      <alignment horizontal="center" vertical="top" wrapText="1"/>
    </xf>
    <xf numFmtId="0" fontId="56" fillId="0" borderId="4" xfId="17" applyFont="1" applyFill="1" applyBorder="1"/>
    <xf numFmtId="0" fontId="56" fillId="0" borderId="5" xfId="17" applyFont="1" applyFill="1" applyBorder="1" applyAlignment="1">
      <alignment horizontal="left"/>
    </xf>
    <xf numFmtId="0" fontId="56" fillId="0" borderId="29" xfId="17" applyFont="1" applyFill="1" applyBorder="1" applyAlignment="1">
      <alignment horizontal="left"/>
    </xf>
    <xf numFmtId="166" fontId="56" fillId="0" borderId="5" xfId="17" applyNumberFormat="1" applyFont="1" applyFill="1" applyBorder="1"/>
    <xf numFmtId="166" fontId="56" fillId="0" borderId="29" xfId="17" applyNumberFormat="1" applyFont="1" applyFill="1" applyBorder="1"/>
    <xf numFmtId="181" fontId="56" fillId="0" borderId="2" xfId="17" applyNumberFormat="1" applyFont="1" applyFill="1" applyBorder="1"/>
    <xf numFmtId="49" fontId="44" fillId="15" borderId="52" xfId="11" applyNumberFormat="1" applyFont="1" applyFill="1" applyBorder="1" applyAlignment="1" applyProtection="1">
      <alignment horizontal="left" vertical="top"/>
      <protection hidden="1"/>
    </xf>
    <xf numFmtId="0" fontId="70" fillId="17" borderId="53" xfId="12" applyNumberFormat="1" applyFont="1" applyFill="1" applyBorder="1" applyAlignment="1"/>
    <xf numFmtId="0" fontId="70" fillId="17" borderId="52" xfId="12" applyNumberFormat="1" applyFont="1" applyFill="1" applyBorder="1" applyAlignment="1"/>
    <xf numFmtId="169" fontId="46" fillId="0" borderId="74" xfId="0" applyNumberFormat="1" applyFont="1" applyFill="1" applyBorder="1" applyAlignment="1">
      <alignment horizontal="center" vertical="center"/>
    </xf>
    <xf numFmtId="169" fontId="46" fillId="0" borderId="74" xfId="0" applyNumberFormat="1" applyFont="1" applyFill="1" applyBorder="1" applyAlignment="1">
      <alignment horizontal="left" vertical="center"/>
    </xf>
    <xf numFmtId="1" fontId="46" fillId="0" borderId="74" xfId="50" applyNumberFormat="1" applyFont="1" applyFill="1" applyBorder="1" applyAlignment="1">
      <alignment horizontal="left" vertical="center"/>
    </xf>
    <xf numFmtId="0" fontId="46" fillId="0" borderId="74" xfId="50" applyFont="1" applyBorder="1" applyAlignment="1">
      <alignment horizontal="left" vertical="center" wrapText="1"/>
    </xf>
    <xf numFmtId="168" fontId="46" fillId="0" borderId="74" xfId="7" applyNumberFormat="1" applyFont="1" applyBorder="1" applyAlignment="1">
      <alignment horizontal="left" vertical="center"/>
    </xf>
    <xf numFmtId="0" fontId="46" fillId="0" borderId="0" xfId="17" applyFont="1" applyAlignment="1">
      <alignment vertical="center"/>
    </xf>
    <xf numFmtId="181" fontId="59" fillId="16" borderId="74" xfId="48" applyNumberFormat="1" applyFont="1" applyFill="1" applyBorder="1" applyAlignment="1" applyProtection="1">
      <alignment horizontal="right" vertical="center"/>
      <protection hidden="1"/>
    </xf>
    <xf numFmtId="49" fontId="56" fillId="0" borderId="0" xfId="12" applyNumberFormat="1" applyFont="1"/>
    <xf numFmtId="0" fontId="46" fillId="0" borderId="0" xfId="12" applyFont="1"/>
    <xf numFmtId="181" fontId="46" fillId="16" borderId="63" xfId="14" applyNumberFormat="1" applyFont="1" applyFill="1" applyBorder="1" applyAlignment="1">
      <alignment horizontal="center"/>
    </xf>
    <xf numFmtId="9" fontId="49" fillId="0" borderId="0" xfId="12" applyNumberFormat="1" applyFont="1" applyFill="1" applyAlignment="1"/>
    <xf numFmtId="49" fontId="46" fillId="0" borderId="0" xfId="12" applyNumberFormat="1" applyFont="1"/>
    <xf numFmtId="44" fontId="46" fillId="0" borderId="0" xfId="12" applyNumberFormat="1" applyFont="1"/>
    <xf numFmtId="49" fontId="71" fillId="17" borderId="4" xfId="38" applyNumberFormat="1" applyFont="1" applyFill="1" applyBorder="1"/>
    <xf numFmtId="0" fontId="71" fillId="17" borderId="77" xfId="38" applyFont="1" applyFill="1" applyBorder="1"/>
    <xf numFmtId="9" fontId="71" fillId="17" borderId="77" xfId="14" applyFont="1" applyFill="1" applyBorder="1" applyAlignment="1">
      <alignment horizontal="center"/>
    </xf>
    <xf numFmtId="44" fontId="71" fillId="17" borderId="78" xfId="38" applyNumberFormat="1" applyFont="1" applyFill="1" applyBorder="1"/>
    <xf numFmtId="0" fontId="46" fillId="0" borderId="0" xfId="38" applyFont="1"/>
    <xf numFmtId="2" fontId="56" fillId="0" borderId="0" xfId="26" applyNumberFormat="1" applyFont="1" applyFill="1"/>
    <xf numFmtId="177" fontId="46" fillId="0" borderId="0" xfId="0" applyNumberFormat="1" applyFont="1"/>
    <xf numFmtId="0" fontId="63" fillId="0" borderId="0" xfId="12" applyFont="1" applyFill="1" applyAlignment="1"/>
    <xf numFmtId="2" fontId="71" fillId="17" borderId="1" xfId="17" applyNumberFormat="1" applyFont="1" applyFill="1" applyBorder="1" applyAlignment="1">
      <alignment horizontal="center" vertical="top" wrapText="1"/>
    </xf>
    <xf numFmtId="0" fontId="56" fillId="3" borderId="21" xfId="0" applyFont="1" applyFill="1" applyBorder="1"/>
    <xf numFmtId="168" fontId="46" fillId="0" borderId="0" xfId="7" applyNumberFormat="1" applyFont="1" applyFill="1" applyAlignment="1"/>
    <xf numFmtId="168" fontId="49" fillId="0" borderId="0" xfId="7" applyNumberFormat="1" applyFont="1" applyFill="1" applyAlignment="1"/>
    <xf numFmtId="168" fontId="49" fillId="0" borderId="0" xfId="12" applyNumberFormat="1" applyFont="1" applyFill="1" applyAlignment="1"/>
    <xf numFmtId="168" fontId="48" fillId="0" borderId="0" xfId="7" applyNumberFormat="1" applyFont="1" applyFill="1" applyAlignment="1"/>
    <xf numFmtId="168" fontId="70" fillId="17" borderId="29" xfId="38" applyNumberFormat="1" applyFont="1" applyFill="1" applyBorder="1" applyAlignment="1">
      <alignment horizontal="left"/>
    </xf>
    <xf numFmtId="168" fontId="71" fillId="17" borderId="74" xfId="18" applyNumberFormat="1" applyFont="1" applyFill="1" applyBorder="1" applyAlignment="1">
      <alignment vertical="top" wrapText="1"/>
    </xf>
    <xf numFmtId="168" fontId="46" fillId="0" borderId="1" xfId="7" applyNumberFormat="1" applyFont="1" applyBorder="1"/>
    <xf numFmtId="168" fontId="56" fillId="3" borderId="83" xfId="7" applyNumberFormat="1" applyFont="1" applyFill="1" applyBorder="1"/>
    <xf numFmtId="168" fontId="44" fillId="0" borderId="0" xfId="7" applyNumberFormat="1" applyFont="1" applyAlignment="1">
      <alignment horizontal="center"/>
    </xf>
    <xf numFmtId="168" fontId="63" fillId="0" borderId="0" xfId="7" applyNumberFormat="1" applyFont="1"/>
    <xf numFmtId="166" fontId="46" fillId="0" borderId="3" xfId="7" applyFont="1" applyFill="1" applyBorder="1" applyAlignment="1" applyProtection="1">
      <alignment horizontal="right" vertical="top"/>
      <protection hidden="1"/>
    </xf>
    <xf numFmtId="49" fontId="46" fillId="0" borderId="0" xfId="7" applyNumberFormat="1" applyFont="1" applyAlignment="1">
      <alignment horizontal="center"/>
    </xf>
    <xf numFmtId="49" fontId="71" fillId="17" borderId="1" xfId="7" applyNumberFormat="1" applyFont="1" applyFill="1" applyBorder="1" applyAlignment="1">
      <alignment horizontal="center" vertical="top" wrapText="1"/>
    </xf>
    <xf numFmtId="49" fontId="59" fillId="0" borderId="1" xfId="7" applyNumberFormat="1" applyFont="1" applyFill="1" applyBorder="1" applyAlignment="1" applyProtection="1">
      <alignment horizontal="center" vertical="center"/>
      <protection hidden="1"/>
    </xf>
    <xf numFmtId="49" fontId="59" fillId="0" borderId="58" xfId="7" applyNumberFormat="1" applyFont="1" applyFill="1" applyBorder="1" applyAlignment="1" applyProtection="1">
      <alignment horizontal="center" vertical="center"/>
      <protection hidden="1"/>
    </xf>
    <xf numFmtId="49" fontId="56" fillId="0" borderId="5" xfId="7" applyNumberFormat="1" applyFont="1" applyFill="1" applyBorder="1" applyAlignment="1">
      <alignment horizontal="center"/>
    </xf>
    <xf numFmtId="49" fontId="56" fillId="0" borderId="4" xfId="12" applyNumberFormat="1" applyFont="1" applyBorder="1"/>
    <xf numFmtId="0" fontId="56" fillId="0" borderId="77" xfId="12" applyFont="1" applyBorder="1"/>
    <xf numFmtId="49" fontId="56" fillId="0" borderId="77" xfId="12" applyNumberFormat="1" applyFont="1" applyBorder="1"/>
    <xf numFmtId="44" fontId="56" fillId="0" borderId="78" xfId="12" applyNumberFormat="1" applyFont="1" applyBorder="1"/>
    <xf numFmtId="0" fontId="46" fillId="0" borderId="0" xfId="11" applyFont="1" applyFill="1" applyBorder="1" applyAlignment="1" applyProtection="1">
      <alignment horizontal="right" vertical="justify"/>
      <protection hidden="1"/>
    </xf>
    <xf numFmtId="188" fontId="50" fillId="0" borderId="0" xfId="12" quotePrefix="1" applyNumberFormat="1" applyFont="1" applyAlignment="1">
      <alignment horizontal="left"/>
    </xf>
    <xf numFmtId="0" fontId="57" fillId="0" borderId="0" xfId="36" applyFont="1" applyAlignment="1">
      <alignment horizontal="center"/>
    </xf>
    <xf numFmtId="165" fontId="64" fillId="0" borderId="78" xfId="29" applyFont="1" applyFill="1" applyBorder="1" applyAlignment="1">
      <alignment horizontal="right"/>
    </xf>
    <xf numFmtId="166" fontId="64" fillId="0" borderId="78" xfId="12" applyNumberFormat="1" applyFont="1" applyBorder="1"/>
    <xf numFmtId="164" fontId="64" fillId="0" borderId="77" xfId="12" applyNumberFormat="1" applyFont="1" applyBorder="1"/>
    <xf numFmtId="182" fontId="64" fillId="0" borderId="77" xfId="12" applyNumberFormat="1" applyFont="1" applyBorder="1" applyAlignment="1">
      <alignment horizontal="center"/>
    </xf>
    <xf numFmtId="49" fontId="64" fillId="0" borderId="77" xfId="12" applyNumberFormat="1" applyFont="1" applyBorder="1"/>
    <xf numFmtId="0" fontId="57" fillId="0" borderId="77" xfId="36" applyFont="1" applyBorder="1"/>
    <xf numFmtId="0" fontId="46" fillId="0" borderId="77" xfId="23" applyFont="1" applyBorder="1"/>
    <xf numFmtId="49" fontId="64" fillId="0" borderId="4" xfId="12" applyNumberFormat="1" applyFont="1" applyBorder="1"/>
    <xf numFmtId="43" fontId="46" fillId="0" borderId="49" xfId="29" applyNumberFormat="1" applyFont="1" applyFill="1" applyBorder="1" applyAlignment="1"/>
    <xf numFmtId="182" fontId="46" fillId="0" borderId="49" xfId="12" applyNumberFormat="1" applyFont="1" applyBorder="1" applyAlignment="1">
      <alignment horizontal="center"/>
    </xf>
    <xf numFmtId="0" fontId="46" fillId="0" borderId="84" xfId="12" applyFont="1" applyBorder="1"/>
    <xf numFmtId="0" fontId="46" fillId="0" borderId="84" xfId="12" applyFont="1" applyBorder="1" applyAlignment="1">
      <alignment horizontal="left"/>
    </xf>
    <xf numFmtId="0" fontId="46" fillId="3" borderId="49" xfId="0" applyFont="1" applyFill="1" applyBorder="1" applyAlignment="1">
      <alignment horizontal="left"/>
    </xf>
    <xf numFmtId="43" fontId="46" fillId="0" borderId="1" xfId="29" applyNumberFormat="1" applyFont="1" applyFill="1" applyBorder="1" applyAlignment="1"/>
    <xf numFmtId="166" fontId="46" fillId="16" borderId="1" xfId="12" applyNumberFormat="1" applyFont="1" applyFill="1" applyBorder="1"/>
    <xf numFmtId="182" fontId="46" fillId="0" borderId="1" xfId="12" applyNumberFormat="1" applyFont="1" applyBorder="1" applyAlignment="1">
      <alignment horizontal="center"/>
    </xf>
    <xf numFmtId="0" fontId="46" fillId="0" borderId="4" xfId="12" applyFont="1" applyBorder="1"/>
    <xf numFmtId="0" fontId="46" fillId="0" borderId="4" xfId="12" applyFont="1" applyBorder="1" applyAlignment="1">
      <alignment horizontal="left"/>
    </xf>
    <xf numFmtId="0" fontId="46" fillId="0" borderId="0" xfId="37" applyFont="1"/>
    <xf numFmtId="2" fontId="71" fillId="17" borderId="1" xfId="0" applyNumberFormat="1" applyFont="1" applyFill="1" applyBorder="1" applyAlignment="1">
      <alignment horizontal="left" vertical="top" wrapText="1"/>
    </xf>
    <xf numFmtId="2" fontId="48" fillId="0" borderId="0" xfId="36" applyNumberFormat="1" applyFont="1" applyAlignment="1">
      <alignment vertical="center"/>
    </xf>
    <xf numFmtId="0" fontId="49" fillId="0" borderId="0" xfId="36" applyFont="1" applyAlignment="1">
      <alignment horizontal="center" vertical="center"/>
    </xf>
    <xf numFmtId="2" fontId="48" fillId="0" borderId="0" xfId="38" applyNumberFormat="1" applyFont="1"/>
    <xf numFmtId="2" fontId="49" fillId="0" borderId="0" xfId="36" applyNumberFormat="1" applyFont="1" applyAlignment="1">
      <alignment vertical="center"/>
    </xf>
    <xf numFmtId="181" fontId="46" fillId="16" borderId="1" xfId="14" applyNumberFormat="1" applyFont="1" applyFill="1" applyBorder="1" applyAlignment="1">
      <alignment horizontal="center"/>
    </xf>
    <xf numFmtId="0" fontId="49" fillId="0" borderId="0" xfId="38" applyFont="1" applyAlignment="1">
      <alignment horizontal="left"/>
    </xf>
    <xf numFmtId="49" fontId="50" fillId="0" borderId="0" xfId="38" applyNumberFormat="1" applyFont="1" applyAlignment="1">
      <alignment horizontal="left"/>
    </xf>
    <xf numFmtId="0" fontId="49" fillId="0" borderId="0" xfId="38" applyFont="1" applyAlignment="1">
      <alignment horizontal="center"/>
    </xf>
    <xf numFmtId="2" fontId="49" fillId="0" borderId="0" xfId="38" applyNumberFormat="1" applyFont="1" applyAlignment="1">
      <alignment horizontal="left"/>
    </xf>
    <xf numFmtId="2" fontId="49" fillId="0" borderId="0" xfId="38" applyNumberFormat="1" applyFont="1"/>
    <xf numFmtId="0" fontId="62" fillId="0" borderId="74" xfId="33" applyFont="1" applyBorder="1" applyAlignment="1">
      <alignment horizontal="center"/>
    </xf>
    <xf numFmtId="49" fontId="46" fillId="16" borderId="47" xfId="98" applyNumberFormat="1" applyFont="1" applyFill="1" applyBorder="1" applyAlignment="1">
      <alignment horizontal="center"/>
    </xf>
    <xf numFmtId="49" fontId="68" fillId="0" borderId="0" xfId="12" applyNumberFormat="1" applyFont="1"/>
    <xf numFmtId="1" fontId="50" fillId="0" borderId="0" xfId="12" applyNumberFormat="1" applyFont="1" applyAlignment="1">
      <alignment horizontal="left"/>
    </xf>
    <xf numFmtId="49" fontId="46" fillId="0" borderId="47" xfId="11" applyNumberFormat="1" applyFont="1" applyBorder="1" applyAlignment="1" applyProtection="1">
      <alignment horizontal="left"/>
      <protection hidden="1"/>
    </xf>
    <xf numFmtId="0" fontId="71" fillId="17" borderId="50" xfId="11" applyNumberFormat="1" applyFont="1" applyFill="1" applyBorder="1" applyAlignment="1" applyProtection="1">
      <alignment horizontal="left" vertical="center" wrapText="1"/>
      <protection hidden="1"/>
    </xf>
    <xf numFmtId="179" fontId="58" fillId="3" borderId="0" xfId="25" applyNumberFormat="1" applyFont="1" applyFill="1" applyBorder="1" applyProtection="1"/>
    <xf numFmtId="179" fontId="58" fillId="0" borderId="0" xfId="25" applyNumberFormat="1" applyFont="1" applyFill="1" applyBorder="1" applyProtection="1"/>
    <xf numFmtId="0" fontId="61" fillId="0" borderId="47" xfId="25" applyFont="1" applyBorder="1" applyAlignment="1">
      <alignment horizontal="center"/>
    </xf>
    <xf numFmtId="49" fontId="58" fillId="3" borderId="11" xfId="25" applyNumberFormat="1" applyFont="1" applyFill="1" applyBorder="1"/>
    <xf numFmtId="2" fontId="71" fillId="17" borderId="1" xfId="0" applyNumberFormat="1" applyFont="1" applyFill="1" applyBorder="1" applyAlignment="1">
      <alignment horizontal="left" vertical="top" wrapText="1"/>
    </xf>
    <xf numFmtId="2" fontId="71" fillId="17" borderId="1" xfId="17" applyNumberFormat="1" applyFont="1" applyFill="1" applyBorder="1" applyAlignment="1">
      <alignment horizontal="center" vertical="top" wrapText="1"/>
    </xf>
    <xf numFmtId="2" fontId="69" fillId="0" borderId="0" xfId="12" applyNumberFormat="1" applyFont="1"/>
    <xf numFmtId="2" fontId="71" fillId="17" borderId="1" xfId="0" applyNumberFormat="1" applyFont="1" applyFill="1" applyBorder="1" applyAlignment="1">
      <alignment horizontal="left" vertical="top" wrapText="1"/>
    </xf>
    <xf numFmtId="2" fontId="71" fillId="17" borderId="1" xfId="17" applyNumberFormat="1" applyFont="1" applyFill="1" applyBorder="1" applyAlignment="1">
      <alignment horizontal="center" vertical="top" wrapText="1"/>
    </xf>
    <xf numFmtId="49" fontId="55" fillId="15" borderId="1" xfId="11" applyNumberFormat="1" applyFont="1" applyFill="1" applyBorder="1" applyAlignment="1" applyProtection="1">
      <alignment horizontal="left" vertical="top"/>
      <protection hidden="1"/>
    </xf>
    <xf numFmtId="0" fontId="63" fillId="0" borderId="0" xfId="0" applyFont="1"/>
    <xf numFmtId="0" fontId="55" fillId="0" borderId="0" xfId="0" applyFont="1"/>
    <xf numFmtId="2" fontId="68" fillId="0" borderId="0" xfId="12" applyNumberFormat="1" applyFont="1"/>
    <xf numFmtId="2" fontId="68" fillId="0" borderId="0" xfId="12" applyNumberFormat="1" applyFont="1" applyAlignment="1">
      <alignment vertical="top"/>
    </xf>
    <xf numFmtId="0" fontId="55" fillId="0" borderId="0" xfId="0" applyFont="1" applyAlignment="1">
      <alignment vertical="top" wrapText="1"/>
    </xf>
    <xf numFmtId="2" fontId="55" fillId="17" borderId="49" xfId="0" applyNumberFormat="1" applyFont="1" applyFill="1" applyBorder="1" applyAlignment="1">
      <alignment horizontal="left" vertical="top" wrapText="1"/>
    </xf>
    <xf numFmtId="2" fontId="55" fillId="17" borderId="49" xfId="0" applyNumberFormat="1" applyFont="1" applyFill="1" applyBorder="1" applyAlignment="1">
      <alignment horizontal="center" vertical="top" wrapText="1"/>
    </xf>
    <xf numFmtId="169" fontId="46" fillId="0" borderId="1" xfId="0" applyNumberFormat="1" applyFont="1" applyBorder="1" applyAlignment="1">
      <alignment horizontal="left"/>
    </xf>
    <xf numFmtId="49" fontId="46" fillId="0" borderId="1" xfId="0" applyNumberFormat="1" applyFont="1" applyBorder="1" applyAlignment="1">
      <alignment horizontal="left"/>
    </xf>
    <xf numFmtId="0" fontId="63" fillId="0" borderId="1" xfId="7" applyNumberFormat="1" applyFont="1" applyFill="1" applyBorder="1" applyAlignment="1"/>
    <xf numFmtId="0" fontId="63" fillId="0" borderId="1" xfId="0" applyFont="1" applyBorder="1"/>
    <xf numFmtId="180" fontId="46" fillId="0" borderId="1" xfId="0" applyNumberFormat="1" applyFont="1" applyBorder="1" applyAlignment="1">
      <alignment horizontal="center"/>
    </xf>
    <xf numFmtId="0" fontId="46" fillId="18" borderId="1" xfId="0" applyFont="1" applyFill="1" applyBorder="1"/>
    <xf numFmtId="41" fontId="0" fillId="0" borderId="0" xfId="0" applyNumberFormat="1"/>
    <xf numFmtId="43" fontId="0" fillId="0" borderId="0" xfId="0" applyNumberFormat="1"/>
    <xf numFmtId="2" fontId="71" fillId="17" borderId="73" xfId="17" applyNumberFormat="1" applyFont="1" applyFill="1" applyBorder="1" applyAlignment="1">
      <alignment vertical="top"/>
    </xf>
    <xf numFmtId="0" fontId="62" fillId="0" borderId="78" xfId="33" applyFont="1" applyBorder="1"/>
    <xf numFmtId="2" fontId="71" fillId="17" borderId="1" xfId="0" applyNumberFormat="1" applyFont="1" applyFill="1" applyBorder="1" applyAlignment="1">
      <alignment horizontal="center" vertical="top" wrapText="1"/>
    </xf>
    <xf numFmtId="41" fontId="46" fillId="0" borderId="1" xfId="0" applyNumberFormat="1" applyFont="1" applyBorder="1"/>
    <xf numFmtId="43" fontId="46" fillId="16" borderId="1" xfId="0" applyNumberFormat="1" applyFont="1" applyFill="1" applyBorder="1"/>
    <xf numFmtId="43" fontId="46" fillId="0" borderId="1" xfId="0" applyNumberFormat="1" applyFont="1" applyBorder="1"/>
    <xf numFmtId="0" fontId="46" fillId="0" borderId="32" xfId="0" applyFont="1" applyBorder="1"/>
    <xf numFmtId="41" fontId="46" fillId="0" borderId="33" xfId="0" applyNumberFormat="1" applyFont="1" applyBorder="1"/>
    <xf numFmtId="43" fontId="46" fillId="0" borderId="33" xfId="0" applyNumberFormat="1" applyFont="1" applyBorder="1"/>
    <xf numFmtId="44" fontId="46" fillId="0" borderId="35" xfId="0" applyNumberFormat="1" applyFont="1" applyBorder="1"/>
    <xf numFmtId="44" fontId="56" fillId="0" borderId="83" xfId="0" applyNumberFormat="1" applyFont="1" applyBorder="1"/>
    <xf numFmtId="2" fontId="71" fillId="17" borderId="50" xfId="0" applyNumberFormat="1" applyFont="1" applyFill="1" applyBorder="1" applyAlignment="1">
      <alignment horizontal="left" vertical="top" wrapText="1"/>
    </xf>
    <xf numFmtId="0" fontId="46" fillId="0" borderId="50" xfId="0" applyFont="1" applyBorder="1"/>
    <xf numFmtId="0" fontId="46" fillId="0" borderId="35" xfId="0" applyFont="1" applyBorder="1"/>
    <xf numFmtId="2" fontId="71" fillId="17" borderId="77" xfId="0" applyNumberFormat="1" applyFont="1" applyFill="1" applyBorder="1" applyAlignment="1">
      <alignment horizontal="left" vertical="top" wrapText="1"/>
    </xf>
    <xf numFmtId="0" fontId="46" fillId="0" borderId="77" xfId="0" applyFont="1" applyBorder="1"/>
    <xf numFmtId="0" fontId="46" fillId="0" borderId="17" xfId="0" applyFont="1" applyBorder="1"/>
    <xf numFmtId="0" fontId="70" fillId="17" borderId="77" xfId="38" applyFont="1" applyFill="1" applyBorder="1" applyAlignment="1">
      <alignment horizontal="left"/>
    </xf>
    <xf numFmtId="2" fontId="71" fillId="17" borderId="1" xfId="18" applyNumberFormat="1" applyFont="1" applyFill="1" applyBorder="1" applyAlignment="1">
      <alignment vertical="top" wrapText="1"/>
    </xf>
    <xf numFmtId="0" fontId="46" fillId="0" borderId="85" xfId="0" applyFont="1" applyBorder="1"/>
    <xf numFmtId="0" fontId="46" fillId="0" borderId="86" xfId="0" applyFont="1" applyBorder="1"/>
    <xf numFmtId="41" fontId="46" fillId="0" borderId="49" xfId="0" applyNumberFormat="1" applyFont="1" applyBorder="1"/>
    <xf numFmtId="43" fontId="46" fillId="0" borderId="49" xfId="0" applyNumberFormat="1" applyFont="1" applyBorder="1"/>
    <xf numFmtId="44" fontId="46" fillId="0" borderId="49" xfId="0" applyNumberFormat="1" applyFont="1" applyBorder="1"/>
    <xf numFmtId="0" fontId="62" fillId="0" borderId="0" xfId="33" applyFont="1" applyBorder="1"/>
    <xf numFmtId="0" fontId="62" fillId="0" borderId="0" xfId="33" applyFont="1" applyBorder="1" applyAlignment="1">
      <alignment horizontal="center"/>
    </xf>
    <xf numFmtId="0" fontId="46" fillId="0" borderId="33" xfId="0" applyFont="1" applyBorder="1"/>
    <xf numFmtId="0" fontId="62" fillId="0" borderId="48" xfId="33" applyFont="1" applyBorder="1" applyAlignment="1">
      <alignment vertical="center"/>
    </xf>
    <xf numFmtId="0" fontId="46" fillId="16" borderId="48" xfId="37" applyFont="1" applyFill="1" applyBorder="1" applyAlignment="1">
      <alignment horizontal="right" vertical="center"/>
    </xf>
    <xf numFmtId="49" fontId="46" fillId="0" borderId="1" xfId="0" applyNumberFormat="1" applyFont="1" applyBorder="1" applyAlignment="1">
      <alignment horizontal="center"/>
    </xf>
    <xf numFmtId="49" fontId="46" fillId="0" borderId="49" xfId="0" applyNumberFormat="1" applyFont="1" applyBorder="1" applyAlignment="1">
      <alignment horizontal="center"/>
    </xf>
    <xf numFmtId="0" fontId="74" fillId="0" borderId="74" xfId="33" applyFont="1" applyBorder="1" applyAlignment="1">
      <alignment horizontal="center"/>
    </xf>
    <xf numFmtId="181" fontId="75" fillId="16" borderId="1" xfId="39" applyNumberFormat="1" applyFont="1" applyFill="1" applyBorder="1" applyAlignment="1" applyProtection="1">
      <alignment horizontal="right" vertical="center"/>
      <protection hidden="1"/>
    </xf>
    <xf numFmtId="44" fontId="59" fillId="0" borderId="63" xfId="7" applyNumberFormat="1" applyFont="1" applyFill="1" applyBorder="1" applyAlignment="1" applyProtection="1">
      <alignment horizontal="right" vertical="center"/>
      <protection hidden="1"/>
    </xf>
    <xf numFmtId="0" fontId="71" fillId="17" borderId="1" xfId="17" applyFont="1" applyFill="1" applyBorder="1" applyAlignment="1">
      <alignment vertical="justify"/>
    </xf>
    <xf numFmtId="2" fontId="71" fillId="17" borderId="1" xfId="17" applyNumberFormat="1" applyFont="1" applyFill="1" applyBorder="1" applyAlignment="1">
      <alignment horizontal="center" vertical="justify"/>
    </xf>
    <xf numFmtId="0" fontId="46" fillId="0" borderId="1" xfId="17" applyFont="1" applyFill="1" applyBorder="1" applyAlignment="1"/>
    <xf numFmtId="44" fontId="46" fillId="16" borderId="1" xfId="34" applyFont="1" applyFill="1" applyBorder="1"/>
    <xf numFmtId="0" fontId="53" fillId="16" borderId="24" xfId="0" applyFont="1" applyFill="1" applyBorder="1" applyAlignment="1">
      <alignment horizontal="center" vertical="center" wrapText="1"/>
    </xf>
    <xf numFmtId="2" fontId="69" fillId="16" borderId="0" xfId="38" applyNumberFormat="1" applyFont="1" applyFill="1"/>
    <xf numFmtId="0" fontId="46" fillId="16" borderId="0" xfId="22" applyFont="1" applyFill="1"/>
    <xf numFmtId="14" fontId="53" fillId="16" borderId="24" xfId="0" applyNumberFormat="1" applyFont="1" applyFill="1" applyBorder="1" applyAlignment="1">
      <alignment horizontal="center" vertical="center" wrapText="1"/>
    </xf>
    <xf numFmtId="49" fontId="71" fillId="17" borderId="79" xfId="38" applyNumberFormat="1" applyFont="1" applyFill="1" applyBorder="1" applyAlignment="1">
      <alignment horizontal="left" vertical="top" wrapText="1"/>
    </xf>
    <xf numFmtId="49" fontId="71" fillId="17" borderId="80" xfId="38" applyNumberFormat="1" applyFont="1" applyFill="1" applyBorder="1" applyAlignment="1">
      <alignment horizontal="left" vertical="top" wrapText="1"/>
    </xf>
    <xf numFmtId="49" fontId="71" fillId="17" borderId="81" xfId="38" applyNumberFormat="1" applyFont="1" applyFill="1" applyBorder="1" applyAlignment="1">
      <alignment horizontal="left" vertical="top" wrapText="1"/>
    </xf>
    <xf numFmtId="49" fontId="71" fillId="17" borderId="82" xfId="38" applyNumberFormat="1" applyFont="1" applyFill="1" applyBorder="1" applyAlignment="1">
      <alignment horizontal="left" vertical="top" wrapText="1"/>
    </xf>
    <xf numFmtId="49" fontId="71" fillId="17" borderId="6" xfId="38" applyNumberFormat="1" applyFont="1" applyFill="1" applyBorder="1" applyAlignment="1">
      <alignment horizontal="left" vertical="top" wrapText="1"/>
    </xf>
    <xf numFmtId="49" fontId="71" fillId="17" borderId="34" xfId="38" applyNumberFormat="1" applyFont="1" applyFill="1" applyBorder="1" applyAlignment="1">
      <alignment horizontal="left" vertical="top" wrapText="1"/>
    </xf>
    <xf numFmtId="0" fontId="70" fillId="17" borderId="4" xfId="38" applyFont="1" applyFill="1" applyBorder="1" applyAlignment="1">
      <alignment horizontal="center"/>
    </xf>
    <xf numFmtId="0" fontId="70" fillId="17" borderId="77" xfId="38" applyFont="1" applyFill="1" applyBorder="1" applyAlignment="1">
      <alignment horizontal="center"/>
    </xf>
    <xf numFmtId="0" fontId="70" fillId="17" borderId="78" xfId="38" applyFont="1" applyFill="1" applyBorder="1" applyAlignment="1">
      <alignment horizontal="center"/>
    </xf>
    <xf numFmtId="166" fontId="71" fillId="17" borderId="75" xfId="7" applyFont="1" applyFill="1" applyBorder="1" applyAlignment="1">
      <alignment horizontal="center" vertical="top" wrapText="1"/>
    </xf>
    <xf numFmtId="166" fontId="71" fillId="17" borderId="29" xfId="7" applyFont="1" applyFill="1" applyBorder="1" applyAlignment="1">
      <alignment horizontal="center" vertical="top" wrapText="1"/>
    </xf>
    <xf numFmtId="166" fontId="71" fillId="17" borderId="48" xfId="7" applyFont="1" applyFill="1" applyBorder="1" applyAlignment="1">
      <alignment horizontal="center" vertical="top" wrapText="1"/>
    </xf>
    <xf numFmtId="2" fontId="71" fillId="17" borderId="1" xfId="0" applyNumberFormat="1" applyFont="1" applyFill="1" applyBorder="1" applyAlignment="1">
      <alignment horizontal="left" vertical="top" wrapText="1"/>
    </xf>
    <xf numFmtId="0" fontId="62" fillId="0" borderId="1" xfId="193" applyFont="1" applyBorder="1" applyAlignment="1">
      <alignment horizontal="left"/>
    </xf>
    <xf numFmtId="0" fontId="55" fillId="16" borderId="1" xfId="36" applyFont="1" applyFill="1" applyBorder="1" applyAlignment="1">
      <alignment horizontal="left"/>
    </xf>
    <xf numFmtId="0" fontId="46" fillId="0" borderId="1" xfId="17" applyFont="1" applyFill="1" applyBorder="1" applyAlignment="1">
      <alignment horizontal="left"/>
    </xf>
    <xf numFmtId="2" fontId="71" fillId="17" borderId="1" xfId="17" applyNumberFormat="1" applyFont="1" applyFill="1" applyBorder="1" applyAlignment="1">
      <alignment horizontal="center" vertical="top" wrapText="1"/>
    </xf>
    <xf numFmtId="0" fontId="71" fillId="17" borderId="19" xfId="11" applyFont="1" applyFill="1" applyBorder="1" applyAlignment="1" applyProtection="1">
      <alignment horizontal="center"/>
      <protection hidden="1"/>
    </xf>
    <xf numFmtId="0" fontId="71" fillId="17" borderId="18" xfId="11" applyFont="1" applyFill="1" applyBorder="1" applyAlignment="1" applyProtection="1">
      <alignment horizontal="center"/>
      <protection hidden="1"/>
    </xf>
    <xf numFmtId="0" fontId="70" fillId="17" borderId="4" xfId="11" applyNumberFormat="1" applyFont="1" applyFill="1" applyBorder="1" applyAlignment="1" applyProtection="1">
      <alignment horizontal="left" vertical="top" wrapText="1"/>
      <protection hidden="1"/>
    </xf>
    <xf numFmtId="0" fontId="70" fillId="17" borderId="77" xfId="11" applyNumberFormat="1" applyFont="1" applyFill="1" applyBorder="1" applyAlignment="1" applyProtection="1">
      <alignment horizontal="left" vertical="top" wrapText="1"/>
      <protection hidden="1"/>
    </xf>
    <xf numFmtId="0" fontId="62" fillId="0" borderId="50" xfId="33" applyFont="1" applyBorder="1" applyAlignment="1">
      <alignment horizontal="left" wrapText="1"/>
    </xf>
    <xf numFmtId="0" fontId="62" fillId="0" borderId="78" xfId="33" applyFont="1" applyBorder="1" applyAlignment="1">
      <alignment horizontal="left" wrapText="1"/>
    </xf>
  </cellXfs>
  <cellStyles count="209">
    <cellStyle name="Bad" xfId="60" xr:uid="{00000000-0005-0000-0000-000000000000}"/>
    <cellStyle name="Calculation" xfId="61" xr:uid="{00000000-0005-0000-0000-000001000000}"/>
    <cellStyle name="Calculation 10" xfId="197" xr:uid="{00000000-0005-0000-0000-000002000000}"/>
    <cellStyle name="Calculation 11" xfId="196" xr:uid="{00000000-0005-0000-0000-000003000000}"/>
    <cellStyle name="Calculation 12" xfId="199" xr:uid="{00000000-0005-0000-0000-000004000000}"/>
    <cellStyle name="Calculation 2" xfId="100" xr:uid="{00000000-0005-0000-0000-000005000000}"/>
    <cellStyle name="Calculation 2 2" xfId="101" xr:uid="{00000000-0005-0000-0000-000006000000}"/>
    <cellStyle name="Calculation 3" xfId="102" xr:uid="{00000000-0005-0000-0000-000007000000}"/>
    <cellStyle name="Calculation 3 2" xfId="103" xr:uid="{00000000-0005-0000-0000-000008000000}"/>
    <cellStyle name="Calculation 4" xfId="104" xr:uid="{00000000-0005-0000-0000-000009000000}"/>
    <cellStyle name="Calculation 4 2" xfId="105" xr:uid="{00000000-0005-0000-0000-00000A000000}"/>
    <cellStyle name="Calculation 5" xfId="106" xr:uid="{00000000-0005-0000-0000-00000B000000}"/>
    <cellStyle name="Calculation 5 2" xfId="107" xr:uid="{00000000-0005-0000-0000-00000C000000}"/>
    <cellStyle name="Calculation 6" xfId="108" xr:uid="{00000000-0005-0000-0000-00000D000000}"/>
    <cellStyle name="Calculation 6 2" xfId="109" xr:uid="{00000000-0005-0000-0000-00000E000000}"/>
    <cellStyle name="Calculation 7" xfId="110" xr:uid="{00000000-0005-0000-0000-00000F000000}"/>
    <cellStyle name="Calculation 7 2" xfId="111" xr:uid="{00000000-0005-0000-0000-000010000000}"/>
    <cellStyle name="Calculation 8" xfId="112" xr:uid="{00000000-0005-0000-0000-000011000000}"/>
    <cellStyle name="Calculation 8 2" xfId="113" xr:uid="{00000000-0005-0000-0000-000012000000}"/>
    <cellStyle name="Calculation 9" xfId="114" xr:uid="{00000000-0005-0000-0000-000013000000}"/>
    <cellStyle name="Check Cell" xfId="62" xr:uid="{00000000-0005-0000-0000-000014000000}"/>
    <cellStyle name="Comma [0]" xfId="1" xr:uid="{00000000-0005-0000-0000-000015000000}"/>
    <cellStyle name="Comma_AA BCR/ Basis ruimtestaat 13.0" xfId="2" xr:uid="{00000000-0005-0000-0000-000016000000}"/>
    <cellStyle name="Currency [0]" xfId="63" xr:uid="{00000000-0005-0000-0000-000018000000}"/>
    <cellStyle name="Currency_2.objekten aanbestedi#B9BC8.xls" xfId="90" xr:uid="{00000000-0005-0000-0000-000019000000}"/>
    <cellStyle name="Currency_CALCULATIEBLAD.XLS" xfId="35" xr:uid="{00000000-0005-0000-0000-00001A000000}"/>
    <cellStyle name="Euro" xfId="3" xr:uid="{00000000-0005-0000-0000-00001B000000}"/>
    <cellStyle name="Euro 2" xfId="4" xr:uid="{00000000-0005-0000-0000-00001C000000}"/>
    <cellStyle name="Euro 3" xfId="44" xr:uid="{00000000-0005-0000-0000-00001D000000}"/>
    <cellStyle name="Euro 3 2" xfId="87" xr:uid="{00000000-0005-0000-0000-00001E000000}"/>
    <cellStyle name="Euro 4" xfId="47" xr:uid="{00000000-0005-0000-0000-00001F000000}"/>
    <cellStyle name="Euro 5" xfId="55" xr:uid="{00000000-0005-0000-0000-000020000000}"/>
    <cellStyle name="Euro_Roto Smeets Hilversum v-1" xfId="5" xr:uid="{00000000-0005-0000-0000-000021000000}"/>
    <cellStyle name="Explanatory Text" xfId="64" xr:uid="{00000000-0005-0000-0000-000022000000}"/>
    <cellStyle name="Followed Hyperlink_Aantal groepen per school.xls" xfId="6" xr:uid="{00000000-0005-0000-0000-000023000000}"/>
    <cellStyle name="Good" xfId="65" xr:uid="{00000000-0005-0000-0000-000024000000}"/>
    <cellStyle name="Heading 1" xfId="66" xr:uid="{00000000-0005-0000-0000-000025000000}"/>
    <cellStyle name="Heading 2" xfId="67" xr:uid="{00000000-0005-0000-0000-000026000000}"/>
    <cellStyle name="Heading 3" xfId="68" xr:uid="{00000000-0005-0000-0000-000027000000}"/>
    <cellStyle name="Heading 4" xfId="69" xr:uid="{00000000-0005-0000-0000-000028000000}"/>
    <cellStyle name="Input" xfId="70" xr:uid="{00000000-0005-0000-0000-000029000000}"/>
    <cellStyle name="Input 10" xfId="201" xr:uid="{00000000-0005-0000-0000-00002A000000}"/>
    <cellStyle name="Input 11" xfId="200" xr:uid="{00000000-0005-0000-0000-00002B000000}"/>
    <cellStyle name="Input 12" xfId="194" xr:uid="{00000000-0005-0000-0000-00002C000000}"/>
    <cellStyle name="Input 2" xfId="115" xr:uid="{00000000-0005-0000-0000-00002D000000}"/>
    <cellStyle name="Input 2 2" xfId="116" xr:uid="{00000000-0005-0000-0000-00002E000000}"/>
    <cellStyle name="Input 3" xfId="117" xr:uid="{00000000-0005-0000-0000-00002F000000}"/>
    <cellStyle name="Input 3 2" xfId="118" xr:uid="{00000000-0005-0000-0000-000030000000}"/>
    <cellStyle name="Input 4" xfId="119" xr:uid="{00000000-0005-0000-0000-000031000000}"/>
    <cellStyle name="Input 4 2" xfId="120" xr:uid="{00000000-0005-0000-0000-000032000000}"/>
    <cellStyle name="Input 5" xfId="121" xr:uid="{00000000-0005-0000-0000-000033000000}"/>
    <cellStyle name="Input 5 2" xfId="122" xr:uid="{00000000-0005-0000-0000-000034000000}"/>
    <cellStyle name="Input 6" xfId="123" xr:uid="{00000000-0005-0000-0000-000035000000}"/>
    <cellStyle name="Input 6 2" xfId="124" xr:uid="{00000000-0005-0000-0000-000036000000}"/>
    <cellStyle name="Input 7" xfId="125" xr:uid="{00000000-0005-0000-0000-000037000000}"/>
    <cellStyle name="Input 7 2" xfId="126" xr:uid="{00000000-0005-0000-0000-000038000000}"/>
    <cellStyle name="Input 8" xfId="127" xr:uid="{00000000-0005-0000-0000-000039000000}"/>
    <cellStyle name="Input 8 2" xfId="128" xr:uid="{00000000-0005-0000-0000-00003A000000}"/>
    <cellStyle name="Input 9" xfId="129" xr:uid="{00000000-0005-0000-0000-00003B000000}"/>
    <cellStyle name="Komma" xfId="7" builtinId="3"/>
    <cellStyle name="Komma [0] 2" xfId="52" xr:uid="{00000000-0005-0000-0000-00003D000000}"/>
    <cellStyle name="Komma [0] 3" xfId="91" xr:uid="{00000000-0005-0000-0000-00003E000000}"/>
    <cellStyle name="Komma 2" xfId="8" xr:uid="{00000000-0005-0000-0000-00003F000000}"/>
    <cellStyle name="Komma 3" xfId="32" xr:uid="{00000000-0005-0000-0000-000040000000}"/>
    <cellStyle name="Komma 3 2" xfId="43" xr:uid="{00000000-0005-0000-0000-000041000000}"/>
    <cellStyle name="Komma 4" xfId="51" xr:uid="{00000000-0005-0000-0000-000042000000}"/>
    <cellStyle name="Komma 4 2" xfId="89" xr:uid="{00000000-0005-0000-0000-000043000000}"/>
    <cellStyle name="Komma 5" xfId="59" xr:uid="{00000000-0005-0000-0000-000044000000}"/>
    <cellStyle name="Komma 6" xfId="85" xr:uid="{00000000-0005-0000-0000-000045000000}"/>
    <cellStyle name="Komma 6 2" xfId="207" xr:uid="{00000000-0005-0000-0000-000046000000}"/>
    <cellStyle name="kop" xfId="9" xr:uid="{00000000-0005-0000-0000-000047000000}"/>
    <cellStyle name="Koppen_rekenblad" xfId="71" xr:uid="{00000000-0005-0000-0000-000048000000}"/>
    <cellStyle name="koppenrekenblad2" xfId="72" xr:uid="{00000000-0005-0000-0000-000049000000}"/>
    <cellStyle name="Linked Cell" xfId="73" xr:uid="{00000000-0005-0000-0000-00004A000000}"/>
    <cellStyle name="m2" xfId="74" xr:uid="{00000000-0005-0000-0000-00004B000000}"/>
    <cellStyle name="Neutral" xfId="75" xr:uid="{00000000-0005-0000-0000-00004C000000}"/>
    <cellStyle name="Normaal 2" xfId="45" xr:uid="{00000000-0005-0000-0000-00004D000000}"/>
    <cellStyle name="Normaal_Basis Inventarisatielijst. xls.xls" xfId="10" xr:uid="{00000000-0005-0000-0000-00004E000000}"/>
    <cellStyle name="Normal_ KLM-CTR(STA)-Recap.xls" xfId="11" xr:uid="{00000000-0005-0000-0000-00004F000000}"/>
    <cellStyle name="Normal_AFRPPRIJS.xls" xfId="36" xr:uid="{00000000-0005-0000-0000-000050000000}"/>
    <cellStyle name="Normal_CALCULATIEBLAD.XLS" xfId="12" xr:uid="{00000000-0005-0000-0000-000051000000}"/>
    <cellStyle name="Normal_CALCULATIEBLAD.XLS 2" xfId="38" xr:uid="{00000000-0005-0000-0000-000052000000}"/>
    <cellStyle name="Normal_CALCULATIEBLAD.XLS 3" xfId="49" xr:uid="{00000000-0005-0000-0000-000053000000}"/>
    <cellStyle name="Normal_Uurtarieven 2000 LEVERANCIER" xfId="39" xr:uid="{00000000-0005-0000-0000-000054000000}"/>
    <cellStyle name="Normal_Uurtarieven 2000 LEVERANCIER 2" xfId="48" xr:uid="{00000000-0005-0000-0000-000055000000}"/>
    <cellStyle name="Normal_Workbook1_AFRPPRIJS.xls" xfId="40" xr:uid="{00000000-0005-0000-0000-000056000000}"/>
    <cellStyle name="Note" xfId="76" xr:uid="{00000000-0005-0000-0000-000057000000}"/>
    <cellStyle name="Note 10" xfId="130" xr:uid="{00000000-0005-0000-0000-000058000000}"/>
    <cellStyle name="Note 10 2" xfId="131" xr:uid="{00000000-0005-0000-0000-000059000000}"/>
    <cellStyle name="Note 11" xfId="132" xr:uid="{00000000-0005-0000-0000-00005A000000}"/>
    <cellStyle name="Note 12" xfId="202" xr:uid="{00000000-0005-0000-0000-00005B000000}"/>
    <cellStyle name="Note 13" xfId="198" xr:uid="{00000000-0005-0000-0000-00005C000000}"/>
    <cellStyle name="Note 14" xfId="208" xr:uid="{00000000-0005-0000-0000-00005D000000}"/>
    <cellStyle name="Note 2" xfId="133" xr:uid="{00000000-0005-0000-0000-00005E000000}"/>
    <cellStyle name="Note 2 2" xfId="134" xr:uid="{00000000-0005-0000-0000-00005F000000}"/>
    <cellStyle name="Note 3" xfId="135" xr:uid="{00000000-0005-0000-0000-000060000000}"/>
    <cellStyle name="Note 3 2" xfId="136" xr:uid="{00000000-0005-0000-0000-000061000000}"/>
    <cellStyle name="Note 4" xfId="137" xr:uid="{00000000-0005-0000-0000-000062000000}"/>
    <cellStyle name="Note 4 2" xfId="138" xr:uid="{00000000-0005-0000-0000-000063000000}"/>
    <cellStyle name="Note 5" xfId="139" xr:uid="{00000000-0005-0000-0000-000064000000}"/>
    <cellStyle name="Note 5 2" xfId="140" xr:uid="{00000000-0005-0000-0000-000065000000}"/>
    <cellStyle name="Note 6" xfId="141" xr:uid="{00000000-0005-0000-0000-000066000000}"/>
    <cellStyle name="Note 6 2" xfId="142" xr:uid="{00000000-0005-0000-0000-000067000000}"/>
    <cellStyle name="Note 7" xfId="143" xr:uid="{00000000-0005-0000-0000-000068000000}"/>
    <cellStyle name="Note 7 2" xfId="144" xr:uid="{00000000-0005-0000-0000-000069000000}"/>
    <cellStyle name="Note 8" xfId="145" xr:uid="{00000000-0005-0000-0000-00006A000000}"/>
    <cellStyle name="Note 8 2" xfId="146" xr:uid="{00000000-0005-0000-0000-00006B000000}"/>
    <cellStyle name="Note 9" xfId="147" xr:uid="{00000000-0005-0000-0000-00006C000000}"/>
    <cellStyle name="Note 9 2" xfId="148" xr:uid="{00000000-0005-0000-0000-00006D000000}"/>
    <cellStyle name="Ongedefinieerd" xfId="13" xr:uid="{00000000-0005-0000-0000-00006E000000}"/>
    <cellStyle name="Ongedefinieerd 2" xfId="53" xr:uid="{00000000-0005-0000-0000-00006F000000}"/>
    <cellStyle name="Output" xfId="77" xr:uid="{00000000-0005-0000-0000-000070000000}"/>
    <cellStyle name="Output 10" xfId="149" xr:uid="{00000000-0005-0000-0000-000071000000}"/>
    <cellStyle name="Output 10 2" xfId="150" xr:uid="{00000000-0005-0000-0000-000072000000}"/>
    <cellStyle name="Output 11" xfId="151" xr:uid="{00000000-0005-0000-0000-000073000000}"/>
    <cellStyle name="Output 12" xfId="203" xr:uid="{00000000-0005-0000-0000-000074000000}"/>
    <cellStyle name="Output 13" xfId="190" xr:uid="{00000000-0005-0000-0000-000075000000}"/>
    <cellStyle name="Output 14" xfId="191" xr:uid="{00000000-0005-0000-0000-000076000000}"/>
    <cellStyle name="Output 2" xfId="152" xr:uid="{00000000-0005-0000-0000-000077000000}"/>
    <cellStyle name="Output 2 2" xfId="153" xr:uid="{00000000-0005-0000-0000-000078000000}"/>
    <cellStyle name="Output 3" xfId="154" xr:uid="{00000000-0005-0000-0000-000079000000}"/>
    <cellStyle name="Output 3 2" xfId="155" xr:uid="{00000000-0005-0000-0000-00007A000000}"/>
    <cellStyle name="Output 4" xfId="156" xr:uid="{00000000-0005-0000-0000-00007B000000}"/>
    <cellStyle name="Output 4 2" xfId="157" xr:uid="{00000000-0005-0000-0000-00007C000000}"/>
    <cellStyle name="Output 5" xfId="158" xr:uid="{00000000-0005-0000-0000-00007D000000}"/>
    <cellStyle name="Output 5 2" xfId="159" xr:uid="{00000000-0005-0000-0000-00007E000000}"/>
    <cellStyle name="Output 6" xfId="160" xr:uid="{00000000-0005-0000-0000-00007F000000}"/>
    <cellStyle name="Output 6 2" xfId="161" xr:uid="{00000000-0005-0000-0000-000080000000}"/>
    <cellStyle name="Output 7" xfId="162" xr:uid="{00000000-0005-0000-0000-000081000000}"/>
    <cellStyle name="Output 7 2" xfId="163" xr:uid="{00000000-0005-0000-0000-000082000000}"/>
    <cellStyle name="Output 8" xfId="164" xr:uid="{00000000-0005-0000-0000-000083000000}"/>
    <cellStyle name="Output 8 2" xfId="165" xr:uid="{00000000-0005-0000-0000-000084000000}"/>
    <cellStyle name="Output 9" xfId="166" xr:uid="{00000000-0005-0000-0000-000085000000}"/>
    <cellStyle name="Output 9 2" xfId="167" xr:uid="{00000000-0005-0000-0000-000086000000}"/>
    <cellStyle name="Procent 2" xfId="14" xr:uid="{00000000-0005-0000-0000-000087000000}"/>
    <cellStyle name="Procent 2 2" xfId="15" xr:uid="{00000000-0005-0000-0000-000088000000}"/>
    <cellStyle name="Procent 2 3" xfId="56" xr:uid="{00000000-0005-0000-0000-000089000000}"/>
    <cellStyle name="Procent 3" xfId="16" xr:uid="{00000000-0005-0000-0000-00008A000000}"/>
    <cellStyle name="Procent 3 2" xfId="92" xr:uid="{00000000-0005-0000-0000-00008B000000}"/>
    <cellStyle name="Procent 4" xfId="57" xr:uid="{00000000-0005-0000-0000-00008C000000}"/>
    <cellStyle name="Procent 4 2" xfId="88" xr:uid="{00000000-0005-0000-0000-00008D000000}"/>
    <cellStyle name="Procent 5" xfId="84" xr:uid="{00000000-0005-0000-0000-00008E000000}"/>
    <cellStyle name="Procent 5 2" xfId="206" xr:uid="{00000000-0005-0000-0000-00008F000000}"/>
    <cellStyle name="Ruimtestaat_Koppen" xfId="78" xr:uid="{00000000-0005-0000-0000-000090000000}"/>
    <cellStyle name="Standaard" xfId="0" builtinId="0"/>
    <cellStyle name="Standaard 10" xfId="31" xr:uid="{00000000-0005-0000-0000-000092000000}"/>
    <cellStyle name="Standaard 10 2" xfId="42" xr:uid="{00000000-0005-0000-0000-000093000000}"/>
    <cellStyle name="Standaard 11" xfId="33" xr:uid="{00000000-0005-0000-0000-000094000000}"/>
    <cellStyle name="Standaard 11 2" xfId="86" xr:uid="{00000000-0005-0000-0000-000095000000}"/>
    <cellStyle name="Standaard 11 3" xfId="168" xr:uid="{00000000-0005-0000-0000-000096000000}"/>
    <cellStyle name="Standaard 11 4" xfId="169" xr:uid="{00000000-0005-0000-0000-000097000000}"/>
    <cellStyle name="Standaard 11 5" xfId="170" xr:uid="{00000000-0005-0000-0000-000098000000}"/>
    <cellStyle name="Standaard 11 6" xfId="193" xr:uid="{00000000-0005-0000-0000-000099000000}"/>
    <cellStyle name="Standaard 12" xfId="46" xr:uid="{00000000-0005-0000-0000-00009A000000}"/>
    <cellStyle name="Standaard 13" xfId="50" xr:uid="{00000000-0005-0000-0000-00009B000000}"/>
    <cellStyle name="Standaard 14" xfId="83" xr:uid="{00000000-0005-0000-0000-00009C000000}"/>
    <cellStyle name="Standaard 14 2" xfId="205" xr:uid="{00000000-0005-0000-0000-00009D000000}"/>
    <cellStyle name="Standaard 2" xfId="17" xr:uid="{00000000-0005-0000-0000-00009E000000}"/>
    <cellStyle name="Standaard 2 2" xfId="18" xr:uid="{00000000-0005-0000-0000-00009F000000}"/>
    <cellStyle name="Standaard 2 2 2" xfId="19" xr:uid="{00000000-0005-0000-0000-0000A0000000}"/>
    <cellStyle name="Standaard 2 2 2 2" xfId="20" xr:uid="{00000000-0005-0000-0000-0000A1000000}"/>
    <cellStyle name="Standaard 2 2 3" xfId="93" xr:uid="{00000000-0005-0000-0000-0000A2000000}"/>
    <cellStyle name="Standaard 2 3" xfId="21" xr:uid="{00000000-0005-0000-0000-0000A3000000}"/>
    <cellStyle name="Standaard 2 3 2" xfId="94" xr:uid="{00000000-0005-0000-0000-0000A4000000}"/>
    <cellStyle name="Standaard 2 4" xfId="79" xr:uid="{00000000-0005-0000-0000-0000A5000000}"/>
    <cellStyle name="Standaard 2 5" xfId="95" xr:uid="{00000000-0005-0000-0000-0000A6000000}"/>
    <cellStyle name="Standaard 3" xfId="22" xr:uid="{00000000-0005-0000-0000-0000A7000000}"/>
    <cellStyle name="Standaard 3 2" xfId="96" xr:uid="{00000000-0005-0000-0000-0000A8000000}"/>
    <cellStyle name="Standaard 4" xfId="23" xr:uid="{00000000-0005-0000-0000-0000A9000000}"/>
    <cellStyle name="Standaard 4 2" xfId="97" xr:uid="{00000000-0005-0000-0000-0000AA000000}"/>
    <cellStyle name="Standaard 5" xfId="24" xr:uid="{00000000-0005-0000-0000-0000AB000000}"/>
    <cellStyle name="Standaard 5 2" xfId="41" xr:uid="{00000000-0005-0000-0000-0000AC000000}"/>
    <cellStyle name="Standaard 5 3" xfId="54" xr:uid="{00000000-0005-0000-0000-0000AD000000}"/>
    <cellStyle name="Standaard 6" xfId="25" xr:uid="{00000000-0005-0000-0000-0000AE000000}"/>
    <cellStyle name="Standaard 7" xfId="26" xr:uid="{00000000-0005-0000-0000-0000AF000000}"/>
    <cellStyle name="Standaard 8" xfId="27" xr:uid="{00000000-0005-0000-0000-0000B0000000}"/>
    <cellStyle name="Standaard 9" xfId="28" xr:uid="{00000000-0005-0000-0000-0000B1000000}"/>
    <cellStyle name="Standaard_Blad1" xfId="37" xr:uid="{00000000-0005-0000-0000-0000B2000000}"/>
    <cellStyle name="Title" xfId="80" xr:uid="{00000000-0005-0000-0000-0000B3000000}"/>
    <cellStyle name="Total" xfId="81" xr:uid="{00000000-0005-0000-0000-0000B4000000}"/>
    <cellStyle name="Total 10" xfId="171" xr:uid="{00000000-0005-0000-0000-0000B5000000}"/>
    <cellStyle name="Total 10 2" xfId="172" xr:uid="{00000000-0005-0000-0000-0000B6000000}"/>
    <cellStyle name="Total 11" xfId="173" xr:uid="{00000000-0005-0000-0000-0000B7000000}"/>
    <cellStyle name="Total 12" xfId="204" xr:uid="{00000000-0005-0000-0000-0000B8000000}"/>
    <cellStyle name="Total 13" xfId="195" xr:uid="{00000000-0005-0000-0000-0000B9000000}"/>
    <cellStyle name="Total 14" xfId="192" xr:uid="{00000000-0005-0000-0000-0000BA000000}"/>
    <cellStyle name="Total 2" xfId="174" xr:uid="{00000000-0005-0000-0000-0000BB000000}"/>
    <cellStyle name="Total 2 2" xfId="175" xr:uid="{00000000-0005-0000-0000-0000BC000000}"/>
    <cellStyle name="Total 3" xfId="176" xr:uid="{00000000-0005-0000-0000-0000BD000000}"/>
    <cellStyle name="Total 3 2" xfId="177" xr:uid="{00000000-0005-0000-0000-0000BE000000}"/>
    <cellStyle name="Total 4" xfId="178" xr:uid="{00000000-0005-0000-0000-0000BF000000}"/>
    <cellStyle name="Total 4 2" xfId="179" xr:uid="{00000000-0005-0000-0000-0000C0000000}"/>
    <cellStyle name="Total 5" xfId="180" xr:uid="{00000000-0005-0000-0000-0000C1000000}"/>
    <cellStyle name="Total 5 2" xfId="181" xr:uid="{00000000-0005-0000-0000-0000C2000000}"/>
    <cellStyle name="Total 6" xfId="182" xr:uid="{00000000-0005-0000-0000-0000C3000000}"/>
    <cellStyle name="Total 6 2" xfId="183" xr:uid="{00000000-0005-0000-0000-0000C4000000}"/>
    <cellStyle name="Total 7" xfId="184" xr:uid="{00000000-0005-0000-0000-0000C5000000}"/>
    <cellStyle name="Total 7 2" xfId="185" xr:uid="{00000000-0005-0000-0000-0000C6000000}"/>
    <cellStyle name="Total 8" xfId="186" xr:uid="{00000000-0005-0000-0000-0000C7000000}"/>
    <cellStyle name="Total 8 2" xfId="187" xr:uid="{00000000-0005-0000-0000-0000C8000000}"/>
    <cellStyle name="Total 9" xfId="188" xr:uid="{00000000-0005-0000-0000-0000C9000000}"/>
    <cellStyle name="Total 9 2" xfId="189" xr:uid="{00000000-0005-0000-0000-0000CA000000}"/>
    <cellStyle name="Valuta" xfId="34" builtinId="4"/>
    <cellStyle name="Valuta 2" xfId="29" xr:uid="{00000000-0005-0000-0000-0000CC000000}"/>
    <cellStyle name="Valuta 2 2" xfId="58" xr:uid="{00000000-0005-0000-0000-0000CD000000}"/>
    <cellStyle name="Valuta 3" xfId="30" xr:uid="{00000000-0005-0000-0000-0000CE000000}"/>
    <cellStyle name="Valuta 4" xfId="98" xr:uid="{00000000-0005-0000-0000-0000CF000000}"/>
    <cellStyle name="Valuta 4 2" xfId="99" xr:uid="{00000000-0005-0000-0000-0000D0000000}"/>
    <cellStyle name="Warning Text" xfId="82" xr:uid="{00000000-0005-0000-0000-0000D1000000}"/>
  </cellStyles>
  <dxfs count="0"/>
  <tableStyles count="0" defaultTableStyle="TableStyleMedium9"/>
  <colors>
    <mruColors>
      <color rgb="FF0AAAFF"/>
      <color rgb="FFCC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HD%20PB%20Rob%20ATIR%20Werkdocumenten\%20%20ATIR%20in%20%20behandeling\Tarieven%202004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Validaties"/>
      <sheetName val="atir_x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H40"/>
  <sheetViews>
    <sheetView showGridLines="0" zoomScaleNormal="100" workbookViewId="0">
      <selection activeCell="F32" sqref="F32"/>
    </sheetView>
  </sheetViews>
  <sheetFormatPr defaultColWidth="9.140625" defaultRowHeight="13.5"/>
  <cols>
    <col min="1" max="1" width="27.140625" style="7" customWidth="1"/>
    <col min="2" max="2" width="34.85546875" style="7" customWidth="1"/>
    <col min="3" max="3" width="20" style="7" customWidth="1"/>
    <col min="4" max="4" width="68.7109375" style="7" customWidth="1"/>
    <col min="5" max="16384" width="9.140625" style="7"/>
  </cols>
  <sheetData>
    <row r="1" spans="1:8">
      <c r="A1" s="526" t="s">
        <v>2</v>
      </c>
      <c r="B1" s="5"/>
      <c r="C1" s="5"/>
      <c r="D1" s="6"/>
      <c r="E1" s="6"/>
      <c r="F1" s="6"/>
      <c r="G1" s="6"/>
      <c r="H1" s="6"/>
    </row>
    <row r="2" spans="1:8">
      <c r="A2" s="8"/>
      <c r="B2" s="5"/>
      <c r="C2" s="5"/>
      <c r="D2" s="6"/>
      <c r="E2" s="6"/>
      <c r="F2" s="6"/>
      <c r="G2" s="6"/>
      <c r="H2" s="6"/>
    </row>
    <row r="3" spans="1:8" ht="17.25">
      <c r="A3" s="349" t="s">
        <v>3</v>
      </c>
      <c r="B3" s="350" t="str">
        <f>'1-Inschrijfstaat'!B3</f>
        <v>GVB Infra B.V.</v>
      </c>
      <c r="C3" s="10"/>
      <c r="D3" s="11"/>
      <c r="E3" s="11"/>
      <c r="F3" s="11"/>
      <c r="G3" s="6"/>
      <c r="H3" s="6"/>
    </row>
    <row r="4" spans="1:8" ht="17.25">
      <c r="A4" s="349" t="s">
        <v>8</v>
      </c>
      <c r="B4" s="350" t="str">
        <f ca="1">MID(CELL("bestandsnaam",$D$10),SEARCH("]",CELL("bestandsnaam",$D$10),1)+1,256)</f>
        <v>Mutatieblad</v>
      </c>
      <c r="C4" s="10"/>
      <c r="D4" s="11"/>
      <c r="E4" s="11"/>
      <c r="F4" s="11"/>
      <c r="G4" s="6"/>
      <c r="H4" s="6"/>
    </row>
    <row r="5" spans="1:8" ht="17.25">
      <c r="A5" s="349" t="s">
        <v>4</v>
      </c>
      <c r="B5" s="350" t="s">
        <v>1080</v>
      </c>
      <c r="C5" s="10"/>
      <c r="D5" s="11"/>
      <c r="E5" s="11"/>
      <c r="F5" s="11"/>
      <c r="G5" s="12"/>
      <c r="H5" s="6"/>
    </row>
    <row r="6" spans="1:8" ht="17.25">
      <c r="A6" s="349" t="s">
        <v>9</v>
      </c>
      <c r="B6" s="350" t="str">
        <f>'1-Inschrijfstaat'!B6</f>
        <v>2021-03</v>
      </c>
      <c r="C6" s="10"/>
      <c r="D6" s="11"/>
      <c r="E6" s="11"/>
      <c r="F6" s="11"/>
      <c r="G6" s="12"/>
      <c r="H6" s="6"/>
    </row>
    <row r="7" spans="1:8" ht="17.25">
      <c r="A7" s="349" t="s">
        <v>6</v>
      </c>
      <c r="B7" s="350" t="str">
        <f>'1-Inschrijfstaat'!B7</f>
        <v>Naam dienstverlener</v>
      </c>
      <c r="C7" s="13"/>
      <c r="D7" s="14"/>
      <c r="E7" s="11"/>
      <c r="F7" s="11"/>
      <c r="G7" s="12"/>
      <c r="H7" s="12"/>
    </row>
    <row r="8" spans="1:8" ht="17.25">
      <c r="A8" s="349" t="s">
        <v>7</v>
      </c>
      <c r="B8" s="15" t="str">
        <f>'1-Inschrijfstaat'!B8</f>
        <v>1 juni 2021</v>
      </c>
      <c r="C8" s="16"/>
      <c r="D8" s="11"/>
      <c r="E8" s="11"/>
      <c r="F8" s="11"/>
      <c r="G8" s="12"/>
      <c r="H8" s="12"/>
    </row>
    <row r="9" spans="1:8" ht="17.25">
      <c r="A9" s="349" t="s">
        <v>0</v>
      </c>
      <c r="B9" s="16" t="str">
        <f>'1-Inschrijfstaat'!B9</f>
        <v>2 Technische schoonmaak</v>
      </c>
      <c r="C9" s="16"/>
      <c r="D9" s="11"/>
      <c r="E9" s="11"/>
      <c r="F9" s="11"/>
      <c r="G9" s="12"/>
      <c r="H9" s="12"/>
    </row>
    <row r="12" spans="1:8" ht="15.75">
      <c r="A12" s="527" t="s">
        <v>1404</v>
      </c>
      <c r="B12" s="528" t="s">
        <v>1405</v>
      </c>
      <c r="C12" s="528" t="s">
        <v>1406</v>
      </c>
      <c r="D12" s="528" t="s">
        <v>1407</v>
      </c>
    </row>
    <row r="13" spans="1:8">
      <c r="A13" s="17"/>
      <c r="B13" s="18"/>
      <c r="C13" s="17"/>
      <c r="D13" s="18"/>
    </row>
    <row r="14" spans="1:8">
      <c r="A14" s="17"/>
      <c r="B14" s="18"/>
      <c r="C14" s="17"/>
      <c r="D14" s="18"/>
    </row>
    <row r="15" spans="1:8" s="21" customFormat="1">
      <c r="A15" s="19"/>
      <c r="B15" s="20"/>
      <c r="C15" s="19"/>
      <c r="D15" s="20"/>
    </row>
    <row r="16" spans="1:8">
      <c r="A16" s="19"/>
      <c r="B16" s="20"/>
      <c r="C16" s="19"/>
      <c r="D16" s="22"/>
    </row>
    <row r="17" spans="1:4">
      <c r="A17" s="17"/>
      <c r="B17" s="18"/>
      <c r="C17" s="17"/>
      <c r="D17" s="18"/>
    </row>
    <row r="18" spans="1:4">
      <c r="A18" s="17"/>
      <c r="B18" s="18"/>
      <c r="C18" s="17"/>
      <c r="D18" s="18"/>
    </row>
    <row r="19" spans="1:4">
      <c r="A19" s="17"/>
      <c r="B19" s="18"/>
      <c r="C19" s="17"/>
      <c r="D19" s="18"/>
    </row>
    <row r="20" spans="1:4">
      <c r="A20" s="17"/>
      <c r="B20" s="18"/>
      <c r="C20" s="17"/>
      <c r="D20" s="18"/>
    </row>
    <row r="21" spans="1:4">
      <c r="A21" s="17"/>
      <c r="B21" s="18"/>
      <c r="C21" s="17"/>
      <c r="D21" s="18"/>
    </row>
    <row r="22" spans="1:4">
      <c r="A22" s="17"/>
      <c r="B22" s="18"/>
      <c r="C22" s="17"/>
      <c r="D22" s="18"/>
    </row>
    <row r="23" spans="1:4">
      <c r="A23" s="17"/>
      <c r="B23" s="18"/>
      <c r="C23" s="17"/>
      <c r="D23" s="18"/>
    </row>
    <row r="24" spans="1:4">
      <c r="A24" s="17"/>
      <c r="B24" s="18"/>
      <c r="C24" s="17"/>
      <c r="D24" s="18"/>
    </row>
    <row r="25" spans="1:4">
      <c r="A25" s="17"/>
      <c r="B25" s="18"/>
      <c r="C25" s="17"/>
      <c r="D25" s="18"/>
    </row>
    <row r="26" spans="1:4">
      <c r="A26" s="17"/>
      <c r="B26" s="18"/>
      <c r="C26" s="17"/>
      <c r="D26" s="18"/>
    </row>
    <row r="27" spans="1:4">
      <c r="A27" s="17"/>
      <c r="B27" s="18"/>
      <c r="C27" s="17"/>
      <c r="D27" s="18"/>
    </row>
    <row r="28" spans="1:4">
      <c r="A28" s="17"/>
      <c r="B28" s="18"/>
      <c r="C28" s="17"/>
      <c r="D28" s="18"/>
    </row>
    <row r="29" spans="1:4">
      <c r="A29" s="17"/>
      <c r="B29" s="18"/>
      <c r="C29" s="17"/>
      <c r="D29" s="18"/>
    </row>
    <row r="30" spans="1:4">
      <c r="A30" s="17"/>
      <c r="B30" s="18"/>
      <c r="C30" s="17"/>
      <c r="D30" s="18"/>
    </row>
    <row r="31" spans="1:4">
      <c r="A31" s="17"/>
      <c r="B31" s="18"/>
      <c r="C31" s="17"/>
      <c r="D31" s="18"/>
    </row>
    <row r="32" spans="1:4">
      <c r="A32" s="17"/>
      <c r="B32" s="18"/>
      <c r="C32" s="17"/>
      <c r="D32" s="18"/>
    </row>
    <row r="33" spans="1:4">
      <c r="A33" s="17"/>
      <c r="B33" s="18"/>
      <c r="C33" s="17"/>
      <c r="D33" s="18"/>
    </row>
    <row r="34" spans="1:4">
      <c r="A34" s="17"/>
      <c r="B34" s="18"/>
      <c r="C34" s="17"/>
      <c r="D34" s="18"/>
    </row>
    <row r="35" spans="1:4">
      <c r="A35" s="17"/>
      <c r="B35" s="18"/>
      <c r="C35" s="17"/>
      <c r="D35" s="18"/>
    </row>
    <row r="36" spans="1:4">
      <c r="A36" s="17"/>
      <c r="B36" s="18"/>
      <c r="C36" s="17"/>
      <c r="D36" s="18"/>
    </row>
    <row r="37" spans="1:4">
      <c r="A37" s="17"/>
      <c r="B37" s="18"/>
      <c r="C37" s="17"/>
      <c r="D37" s="18"/>
    </row>
    <row r="38" spans="1:4">
      <c r="A38" s="17"/>
      <c r="B38" s="18"/>
      <c r="C38" s="17"/>
      <c r="D38" s="18"/>
    </row>
    <row r="39" spans="1:4">
      <c r="A39" s="17"/>
      <c r="B39" s="18"/>
      <c r="C39" s="17"/>
      <c r="D39" s="18"/>
    </row>
    <row r="40" spans="1:4">
      <c r="A40" s="17"/>
      <c r="B40" s="18"/>
      <c r="C40" s="17"/>
      <c r="D40" s="18"/>
    </row>
  </sheetData>
  <pageMargins left="0.7" right="0.7" top="0.75" bottom="0.75" header="0.3" footer="0.3"/>
  <pageSetup paperSize="9" scale="5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838"/>
  <sheetViews>
    <sheetView showGridLines="0" zoomScaleNormal="100" workbookViewId="0">
      <pane xSplit="1" ySplit="16" topLeftCell="B17" activePane="bottomRight" state="frozen"/>
      <selection activeCell="F32" sqref="F32"/>
      <selection pane="topRight" activeCell="F32" sqref="F32"/>
      <selection pane="bottomLeft" activeCell="F32" sqref="F32"/>
      <selection pane="bottomRight" activeCell="G4" sqref="G4"/>
    </sheetView>
  </sheetViews>
  <sheetFormatPr defaultColWidth="9.140625" defaultRowHeight="13.5"/>
  <cols>
    <col min="1" max="1" width="0.28515625" style="7" customWidth="1"/>
    <col min="2" max="2" width="30.42578125" style="7" customWidth="1"/>
    <col min="3" max="3" width="22.28515625" style="7" customWidth="1"/>
    <col min="4" max="4" width="18.42578125" style="7" bestFit="1" customWidth="1"/>
    <col min="5" max="5" width="9.140625" style="7"/>
    <col min="6" max="6" width="24.5703125" style="7" customWidth="1"/>
    <col min="7" max="7" width="37.42578125" style="7" customWidth="1"/>
    <col min="8" max="8" width="10.42578125" style="7" customWidth="1"/>
    <col min="9" max="9" width="10.28515625" style="7" customWidth="1"/>
    <col min="10" max="10" width="9.140625" style="7"/>
    <col min="11" max="11" width="26.42578125" style="7" customWidth="1"/>
    <col min="12" max="13" width="10" style="7" bestFit="1" customWidth="1"/>
    <col min="14" max="14" width="14.5703125" style="7" customWidth="1"/>
    <col min="15" max="16384" width="9.140625" style="7"/>
  </cols>
  <sheetData>
    <row r="1" spans="2:19" ht="63.75">
      <c r="B1" s="372" t="s">
        <v>2</v>
      </c>
      <c r="G1" s="670" t="s">
        <v>1312</v>
      </c>
      <c r="H1" s="671" t="s">
        <v>2065</v>
      </c>
      <c r="I1" s="671" t="s">
        <v>2064</v>
      </c>
    </row>
    <row r="2" spans="2:19">
      <c r="G2" s="672" t="s">
        <v>1179</v>
      </c>
      <c r="H2" s="673">
        <v>0</v>
      </c>
      <c r="I2" s="673">
        <v>0</v>
      </c>
      <c r="J2" s="143"/>
    </row>
    <row r="3" spans="2:19" ht="17.25">
      <c r="B3" s="369" t="s">
        <v>3</v>
      </c>
      <c r="C3" s="371" t="str">
        <f>'1-Inschrijfstaat'!B3</f>
        <v>GVB Infra B.V.</v>
      </c>
      <c r="G3" s="672" t="s">
        <v>1173</v>
      </c>
      <c r="H3" s="673">
        <v>0</v>
      </c>
      <c r="I3" s="673">
        <v>0</v>
      </c>
      <c r="J3" s="143"/>
      <c r="K3" s="144"/>
      <c r="L3" s="145"/>
      <c r="M3" s="145"/>
      <c r="N3" s="145"/>
    </row>
    <row r="4" spans="2:19" ht="17.25">
      <c r="B4" s="369" t="s">
        <v>1098</v>
      </c>
      <c r="C4" s="350" t="str">
        <f ca="1">MID(CELL("bestandsnaam",$D$11),SEARCH("]",CELL("bestandsnaam",$D$11),1)+1,256)</f>
        <v>9-Glasstaat</v>
      </c>
      <c r="G4" s="672" t="s">
        <v>1181</v>
      </c>
      <c r="H4" s="673">
        <v>0</v>
      </c>
      <c r="I4" s="673">
        <v>0</v>
      </c>
      <c r="J4" s="143"/>
      <c r="O4" s="146"/>
      <c r="P4" s="146"/>
      <c r="Q4" s="146"/>
      <c r="R4" s="146"/>
      <c r="S4" s="146"/>
    </row>
    <row r="5" spans="2:19" ht="17.25">
      <c r="B5" s="369" t="s">
        <v>4</v>
      </c>
      <c r="C5" s="371" t="str">
        <f>'1-Inschrijfstaat'!B5</f>
        <v>Diverse</v>
      </c>
      <c r="G5" s="672" t="s">
        <v>1170</v>
      </c>
      <c r="H5" s="673">
        <v>0</v>
      </c>
      <c r="I5" s="673">
        <v>0</v>
      </c>
      <c r="J5" s="143"/>
    </row>
    <row r="6" spans="2:19" ht="17.25">
      <c r="B6" s="370" t="s">
        <v>9</v>
      </c>
      <c r="C6" s="371" t="str">
        <f>'1-Inschrijfstaat'!B6</f>
        <v>2021-03</v>
      </c>
      <c r="G6" s="672" t="s">
        <v>1175</v>
      </c>
      <c r="H6" s="673">
        <v>0</v>
      </c>
      <c r="I6" s="673">
        <v>0</v>
      </c>
      <c r="J6" s="143"/>
    </row>
    <row r="7" spans="2:19" ht="17.25">
      <c r="B7" s="369" t="s">
        <v>6</v>
      </c>
      <c r="C7" s="371" t="str">
        <f>'1-Inschrijfstaat'!B7</f>
        <v>Naam dienstverlener</v>
      </c>
      <c r="G7" s="672" t="s">
        <v>1231</v>
      </c>
      <c r="H7" s="673">
        <v>0</v>
      </c>
      <c r="I7" s="673">
        <v>0</v>
      </c>
      <c r="J7" s="143"/>
    </row>
    <row r="8" spans="2:19" ht="15.75">
      <c r="B8" s="369" t="s">
        <v>7</v>
      </c>
      <c r="C8" s="15" t="str">
        <f>'1-Inschrijfstaat'!B8</f>
        <v>1 juni 2021</v>
      </c>
      <c r="G8" s="672" t="s">
        <v>1222</v>
      </c>
      <c r="H8" s="673">
        <v>0</v>
      </c>
      <c r="I8" s="673">
        <v>0</v>
      </c>
      <c r="J8" s="143"/>
      <c r="N8" s="148"/>
    </row>
    <row r="9" spans="2:19" ht="15.75">
      <c r="B9" s="359" t="s">
        <v>0</v>
      </c>
      <c r="C9" s="16" t="str">
        <f>'1-Inschrijfstaat'!B9</f>
        <v>2 Technische schoonmaak</v>
      </c>
      <c r="G9" s="672" t="s">
        <v>1225</v>
      </c>
      <c r="H9" s="673">
        <v>0</v>
      </c>
      <c r="I9" s="673">
        <v>0</v>
      </c>
      <c r="J9" s="143"/>
      <c r="N9" s="148"/>
    </row>
    <row r="10" spans="2:19" ht="17.25">
      <c r="B10" s="370" t="s">
        <v>1087</v>
      </c>
      <c r="C10" s="440" t="s">
        <v>2068</v>
      </c>
      <c r="G10" s="672" t="s">
        <v>1185</v>
      </c>
      <c r="H10" s="673">
        <v>0</v>
      </c>
      <c r="I10" s="673">
        <v>0</v>
      </c>
      <c r="J10" s="143"/>
      <c r="N10" s="148"/>
    </row>
    <row r="11" spans="2:19" ht="15.75">
      <c r="B11" s="51"/>
      <c r="C11" s="149"/>
      <c r="G11" s="672" t="s">
        <v>1187</v>
      </c>
      <c r="H11" s="673">
        <v>0</v>
      </c>
      <c r="I11" s="673">
        <v>0</v>
      </c>
      <c r="J11" s="143"/>
      <c r="K11" s="147"/>
      <c r="L11" s="148"/>
      <c r="M11" s="148"/>
      <c r="N11" s="148"/>
    </row>
    <row r="12" spans="2:19" ht="15.75">
      <c r="B12" s="51"/>
      <c r="C12" s="149"/>
      <c r="G12" s="672" t="s">
        <v>1182</v>
      </c>
      <c r="H12" s="673">
        <v>0</v>
      </c>
      <c r="I12" s="673">
        <v>0</v>
      </c>
      <c r="J12" s="143"/>
      <c r="K12" s="147"/>
      <c r="L12" s="148"/>
      <c r="M12" s="148"/>
      <c r="N12" s="148"/>
    </row>
    <row r="13" spans="2:19" ht="15.75">
      <c r="B13" s="51"/>
      <c r="C13" s="149"/>
      <c r="G13" s="672" t="s">
        <v>1184</v>
      </c>
      <c r="H13" s="673">
        <v>0</v>
      </c>
      <c r="I13" s="673">
        <v>0</v>
      </c>
      <c r="J13" s="143"/>
      <c r="K13" s="147"/>
      <c r="L13" s="148"/>
      <c r="M13" s="148"/>
      <c r="N13" s="148"/>
    </row>
    <row r="14" spans="2:19" ht="15.75">
      <c r="B14" s="51"/>
      <c r="C14" s="149"/>
      <c r="G14" s="672" t="s">
        <v>1172</v>
      </c>
      <c r="H14" s="673">
        <v>0</v>
      </c>
      <c r="I14" s="673">
        <v>0</v>
      </c>
      <c r="J14" s="143"/>
      <c r="K14" s="147"/>
      <c r="L14" s="148"/>
      <c r="M14" s="148"/>
      <c r="N14" s="148"/>
    </row>
    <row r="15" spans="2:19">
      <c r="B15" s="150"/>
      <c r="C15" s="151"/>
      <c r="D15" s="150"/>
      <c r="F15" s="152"/>
      <c r="G15" s="152"/>
      <c r="H15" s="153"/>
      <c r="I15" s="150"/>
      <c r="J15" s="147"/>
      <c r="K15" s="147"/>
      <c r="L15" s="148"/>
      <c r="M15" s="148"/>
      <c r="N15" s="148"/>
    </row>
    <row r="16" spans="2:19" ht="51">
      <c r="B16" s="363" t="s">
        <v>2026</v>
      </c>
      <c r="C16" s="363" t="s">
        <v>2002</v>
      </c>
      <c r="D16" s="363" t="s">
        <v>13</v>
      </c>
      <c r="E16" s="363" t="s">
        <v>2033</v>
      </c>
      <c r="F16" s="363" t="s">
        <v>2027</v>
      </c>
      <c r="G16" s="363" t="s">
        <v>2028</v>
      </c>
      <c r="H16" s="363" t="s">
        <v>2029</v>
      </c>
      <c r="I16" s="363" t="s">
        <v>2030</v>
      </c>
      <c r="J16" s="363" t="s">
        <v>2031</v>
      </c>
      <c r="K16" s="363" t="s">
        <v>2032</v>
      </c>
      <c r="L16" s="363" t="s">
        <v>2066</v>
      </c>
      <c r="M16" s="363" t="s">
        <v>2066</v>
      </c>
      <c r="N16" s="363" t="s">
        <v>1314</v>
      </c>
    </row>
    <row r="17" spans="1:14" s="1" customFormat="1" ht="12.75">
      <c r="A17" s="1" t="str">
        <f>CONCATENATE(C17,H17)</f>
        <v>1022</v>
      </c>
      <c r="B17" s="374" t="s">
        <v>1176</v>
      </c>
      <c r="C17" s="3">
        <v>102</v>
      </c>
      <c r="D17" s="373" t="s">
        <v>180</v>
      </c>
      <c r="E17" s="4" t="s">
        <v>491</v>
      </c>
      <c r="F17" s="374" t="s">
        <v>1173</v>
      </c>
      <c r="G17" s="374" t="s">
        <v>1177</v>
      </c>
      <c r="H17" s="375">
        <v>2</v>
      </c>
      <c r="I17" s="379">
        <v>5.65</v>
      </c>
      <c r="J17" s="376" t="s">
        <v>1171</v>
      </c>
      <c r="K17" s="376"/>
      <c r="L17" s="377">
        <f t="shared" ref="L17:L80" si="0">IF(J17="ja",VLOOKUP(F17,Glassoort2,2,0))*I17</f>
        <v>0</v>
      </c>
      <c r="M17" s="377">
        <f t="shared" ref="M17:M80" si="1">IF(J17="nee",VLOOKUP(F17,Glassoort2,3,0))*I17</f>
        <v>0</v>
      </c>
      <c r="N17" s="377">
        <f>(M17*H17)+(L17*H17)</f>
        <v>0</v>
      </c>
    </row>
    <row r="18" spans="1:14" s="1" customFormat="1" ht="12.75">
      <c r="A18" s="1" t="str">
        <f>CONCATENATE(C18,H18)</f>
        <v>1022</v>
      </c>
      <c r="B18" s="374" t="s">
        <v>1176</v>
      </c>
      <c r="C18" s="3">
        <v>102</v>
      </c>
      <c r="D18" s="373" t="s">
        <v>180</v>
      </c>
      <c r="E18" s="4" t="s">
        <v>491</v>
      </c>
      <c r="F18" s="374" t="s">
        <v>1173</v>
      </c>
      <c r="G18" s="374" t="s">
        <v>1178</v>
      </c>
      <c r="H18" s="375">
        <v>2</v>
      </c>
      <c r="I18" s="379">
        <v>5.65</v>
      </c>
      <c r="J18" s="376" t="s">
        <v>1171</v>
      </c>
      <c r="K18" s="376"/>
      <c r="L18" s="377">
        <f t="shared" si="0"/>
        <v>0</v>
      </c>
      <c r="M18" s="377">
        <f t="shared" si="1"/>
        <v>0</v>
      </c>
      <c r="N18" s="377">
        <f t="shared" ref="N18:N81" si="2">(M18*H18)+(L18*H18)</f>
        <v>0</v>
      </c>
    </row>
    <row r="19" spans="1:14" s="1" customFormat="1" ht="12.75">
      <c r="B19" s="374" t="s">
        <v>1176</v>
      </c>
      <c r="C19" s="3">
        <v>103</v>
      </c>
      <c r="D19" s="373" t="s">
        <v>180</v>
      </c>
      <c r="E19" s="4"/>
      <c r="F19" s="374" t="s">
        <v>1173</v>
      </c>
      <c r="G19" s="374" t="s">
        <v>1946</v>
      </c>
      <c r="H19" s="375">
        <v>2</v>
      </c>
      <c r="I19" s="379">
        <v>75.989999999999995</v>
      </c>
      <c r="J19" s="376" t="s">
        <v>1171</v>
      </c>
      <c r="K19" s="376"/>
      <c r="L19" s="377">
        <f t="shared" si="0"/>
        <v>0</v>
      </c>
      <c r="M19" s="377">
        <f t="shared" si="1"/>
        <v>0</v>
      </c>
      <c r="N19" s="377">
        <f t="shared" si="2"/>
        <v>0</v>
      </c>
    </row>
    <row r="20" spans="1:14" s="1" customFormat="1" ht="12.75">
      <c r="B20" s="374" t="s">
        <v>1176</v>
      </c>
      <c r="C20" s="3">
        <v>104</v>
      </c>
      <c r="D20" s="373" t="s">
        <v>180</v>
      </c>
      <c r="E20" s="4"/>
      <c r="F20" s="374" t="s">
        <v>1173</v>
      </c>
      <c r="G20" s="374" t="s">
        <v>1946</v>
      </c>
      <c r="H20" s="375">
        <v>2</v>
      </c>
      <c r="I20" s="379">
        <v>75.989999999999995</v>
      </c>
      <c r="J20" s="376" t="s">
        <v>1171</v>
      </c>
      <c r="K20" s="376"/>
      <c r="L20" s="377">
        <f t="shared" si="0"/>
        <v>0</v>
      </c>
      <c r="M20" s="377">
        <f t="shared" si="1"/>
        <v>0</v>
      </c>
      <c r="N20" s="377">
        <f t="shared" si="2"/>
        <v>0</v>
      </c>
    </row>
    <row r="21" spans="1:14" s="1" customFormat="1" ht="12.75">
      <c r="A21" s="1" t="str">
        <f t="shared" ref="A21:A26" si="3">CONCATENATE(C21,H21)</f>
        <v>1022</v>
      </c>
      <c r="B21" s="374" t="s">
        <v>1176</v>
      </c>
      <c r="C21" s="3">
        <v>102</v>
      </c>
      <c r="D21" s="373" t="s">
        <v>180</v>
      </c>
      <c r="E21" s="4" t="s">
        <v>362</v>
      </c>
      <c r="F21" s="374" t="s">
        <v>1179</v>
      </c>
      <c r="G21" s="374" t="s">
        <v>1180</v>
      </c>
      <c r="H21" s="375">
        <v>2</v>
      </c>
      <c r="I21" s="379">
        <f>1.1*1.5*50%+1.3*1.9+2.7*3.7*50%+1*3.5+2.7*3.5*50%+2.8*1.8*50%</f>
        <v>19.035</v>
      </c>
      <c r="J21" s="376" t="s">
        <v>1171</v>
      </c>
      <c r="K21" s="376"/>
      <c r="L21" s="377">
        <f t="shared" si="0"/>
        <v>0</v>
      </c>
      <c r="M21" s="377">
        <f t="shared" si="1"/>
        <v>0</v>
      </c>
      <c r="N21" s="377">
        <f t="shared" si="2"/>
        <v>0</v>
      </c>
    </row>
    <row r="22" spans="1:14" s="1" customFormat="1" ht="12.75">
      <c r="A22" s="1" t="str">
        <f t="shared" si="3"/>
        <v>1022</v>
      </c>
      <c r="B22" s="374" t="s">
        <v>1176</v>
      </c>
      <c r="C22" s="3">
        <v>102</v>
      </c>
      <c r="D22" s="373" t="s">
        <v>180</v>
      </c>
      <c r="E22" s="4" t="s">
        <v>362</v>
      </c>
      <c r="F22" s="374" t="s">
        <v>1181</v>
      </c>
      <c r="G22" s="374" t="s">
        <v>1180</v>
      </c>
      <c r="H22" s="375">
        <v>2</v>
      </c>
      <c r="I22" s="379">
        <f>1.1*1.5*50%+1.3*1.9+2.7*3.7*50%+1*3.5+2.7*3.5*50%+2.8*1.8*50%</f>
        <v>19.035</v>
      </c>
      <c r="J22" s="376" t="s">
        <v>1171</v>
      </c>
      <c r="K22" s="376"/>
      <c r="L22" s="377">
        <f t="shared" si="0"/>
        <v>0</v>
      </c>
      <c r="M22" s="377">
        <f t="shared" si="1"/>
        <v>0</v>
      </c>
      <c r="N22" s="377">
        <f t="shared" si="2"/>
        <v>0</v>
      </c>
    </row>
    <row r="23" spans="1:14" s="1" customFormat="1" ht="12.75">
      <c r="A23" s="1" t="str">
        <f t="shared" si="3"/>
        <v>1022</v>
      </c>
      <c r="B23" s="374" t="s">
        <v>1176</v>
      </c>
      <c r="C23" s="3">
        <v>102</v>
      </c>
      <c r="D23" s="373" t="s">
        <v>180</v>
      </c>
      <c r="E23" s="4" t="s">
        <v>99</v>
      </c>
      <c r="F23" s="374" t="s">
        <v>1182</v>
      </c>
      <c r="G23" s="374" t="s">
        <v>1183</v>
      </c>
      <c r="H23" s="375">
        <v>2</v>
      </c>
      <c r="I23" s="379">
        <v>6.42</v>
      </c>
      <c r="J23" s="376" t="s">
        <v>1171</v>
      </c>
      <c r="K23" s="376"/>
      <c r="L23" s="377">
        <f t="shared" si="0"/>
        <v>0</v>
      </c>
      <c r="M23" s="377">
        <f t="shared" si="1"/>
        <v>0</v>
      </c>
      <c r="N23" s="377">
        <f t="shared" si="2"/>
        <v>0</v>
      </c>
    </row>
    <row r="24" spans="1:14" s="1" customFormat="1" ht="12.75">
      <c r="A24" s="1" t="str">
        <f t="shared" si="3"/>
        <v>1022</v>
      </c>
      <c r="B24" s="374" t="s">
        <v>1176</v>
      </c>
      <c r="C24" s="3">
        <v>102</v>
      </c>
      <c r="D24" s="373" t="s">
        <v>180</v>
      </c>
      <c r="E24" s="4" t="s">
        <v>99</v>
      </c>
      <c r="F24" s="374" t="s">
        <v>1184</v>
      </c>
      <c r="G24" s="374" t="s">
        <v>1183</v>
      </c>
      <c r="H24" s="375">
        <v>2</v>
      </c>
      <c r="I24" s="379">
        <v>6.42</v>
      </c>
      <c r="J24" s="376" t="s">
        <v>1171</v>
      </c>
      <c r="K24" s="376"/>
      <c r="L24" s="377">
        <f t="shared" si="0"/>
        <v>0</v>
      </c>
      <c r="M24" s="377">
        <f t="shared" si="1"/>
        <v>0</v>
      </c>
      <c r="N24" s="377">
        <f t="shared" si="2"/>
        <v>0</v>
      </c>
    </row>
    <row r="25" spans="1:14" s="1" customFormat="1" ht="12.75">
      <c r="A25" s="1" t="str">
        <f t="shared" si="3"/>
        <v>1022</v>
      </c>
      <c r="B25" s="374" t="s">
        <v>1176</v>
      </c>
      <c r="C25" s="3">
        <v>102</v>
      </c>
      <c r="D25" s="373" t="s">
        <v>180</v>
      </c>
      <c r="E25" s="4" t="s">
        <v>99</v>
      </c>
      <c r="F25" s="374" t="s">
        <v>1185</v>
      </c>
      <c r="G25" s="374" t="s">
        <v>1186</v>
      </c>
      <c r="H25" s="375">
        <v>2</v>
      </c>
      <c r="I25" s="379">
        <v>1.92</v>
      </c>
      <c r="J25" s="376" t="s">
        <v>1171</v>
      </c>
      <c r="K25" s="376"/>
      <c r="L25" s="377">
        <f t="shared" si="0"/>
        <v>0</v>
      </c>
      <c r="M25" s="377">
        <f t="shared" si="1"/>
        <v>0</v>
      </c>
      <c r="N25" s="377">
        <f t="shared" si="2"/>
        <v>0</v>
      </c>
    </row>
    <row r="26" spans="1:14" s="1" customFormat="1" ht="12.75">
      <c r="A26" s="1" t="str">
        <f t="shared" si="3"/>
        <v>1022</v>
      </c>
      <c r="B26" s="374" t="s">
        <v>1176</v>
      </c>
      <c r="C26" s="3">
        <v>102</v>
      </c>
      <c r="D26" s="373" t="s">
        <v>180</v>
      </c>
      <c r="E26" s="4" t="s">
        <v>99</v>
      </c>
      <c r="F26" s="374" t="s">
        <v>1187</v>
      </c>
      <c r="G26" s="374" t="s">
        <v>1186</v>
      </c>
      <c r="H26" s="375">
        <v>2</v>
      </c>
      <c r="I26" s="379">
        <v>1.92</v>
      </c>
      <c r="J26" s="376" t="s">
        <v>1171</v>
      </c>
      <c r="K26" s="376"/>
      <c r="L26" s="377">
        <f t="shared" si="0"/>
        <v>0</v>
      </c>
      <c r="M26" s="377">
        <f t="shared" si="1"/>
        <v>0</v>
      </c>
      <c r="N26" s="377">
        <f t="shared" si="2"/>
        <v>0</v>
      </c>
    </row>
    <row r="27" spans="1:14" s="1" customFormat="1" ht="12.75">
      <c r="B27" s="374" t="s">
        <v>1176</v>
      </c>
      <c r="C27" s="3">
        <v>102</v>
      </c>
      <c r="D27" s="373" t="s">
        <v>180</v>
      </c>
      <c r="E27" s="4" t="s">
        <v>1188</v>
      </c>
      <c r="F27" s="374" t="s">
        <v>1182</v>
      </c>
      <c r="G27" s="374" t="s">
        <v>1183</v>
      </c>
      <c r="H27" s="375">
        <v>2</v>
      </c>
      <c r="I27" s="379">
        <v>11.84</v>
      </c>
      <c r="J27" s="376" t="s">
        <v>1171</v>
      </c>
      <c r="K27" s="376"/>
      <c r="L27" s="377">
        <f t="shared" si="0"/>
        <v>0</v>
      </c>
      <c r="M27" s="377">
        <f t="shared" si="1"/>
        <v>0</v>
      </c>
      <c r="N27" s="377">
        <f t="shared" si="2"/>
        <v>0</v>
      </c>
    </row>
    <row r="28" spans="1:14" s="1" customFormat="1" ht="12.75">
      <c r="B28" s="374" t="s">
        <v>1176</v>
      </c>
      <c r="C28" s="3">
        <v>102</v>
      </c>
      <c r="D28" s="373" t="s">
        <v>180</v>
      </c>
      <c r="E28" s="4" t="s">
        <v>1188</v>
      </c>
      <c r="F28" s="374" t="s">
        <v>1184</v>
      </c>
      <c r="G28" s="374" t="s">
        <v>1183</v>
      </c>
      <c r="H28" s="375">
        <v>2</v>
      </c>
      <c r="I28" s="379">
        <v>11.84</v>
      </c>
      <c r="J28" s="376" t="s">
        <v>1171</v>
      </c>
      <c r="K28" s="376"/>
      <c r="L28" s="377">
        <f t="shared" si="0"/>
        <v>0</v>
      </c>
      <c r="M28" s="377">
        <f t="shared" si="1"/>
        <v>0</v>
      </c>
      <c r="N28" s="377">
        <f t="shared" si="2"/>
        <v>0</v>
      </c>
    </row>
    <row r="29" spans="1:14" s="1" customFormat="1" ht="12.75">
      <c r="A29" s="1" t="str">
        <f t="shared" ref="A29:A51" si="4">CONCATENATE(C29,H29)</f>
        <v>1022</v>
      </c>
      <c r="B29" s="374" t="s">
        <v>1176</v>
      </c>
      <c r="C29" s="3">
        <v>102</v>
      </c>
      <c r="D29" s="373" t="s">
        <v>180</v>
      </c>
      <c r="E29" s="4" t="s">
        <v>1188</v>
      </c>
      <c r="F29" s="374" t="s">
        <v>1185</v>
      </c>
      <c r="G29" s="374" t="s">
        <v>1186</v>
      </c>
      <c r="H29" s="375">
        <v>2</v>
      </c>
      <c r="I29" s="379">
        <v>1.92</v>
      </c>
      <c r="J29" s="376" t="s">
        <v>1171</v>
      </c>
      <c r="K29" s="376"/>
      <c r="L29" s="377">
        <f t="shared" si="0"/>
        <v>0</v>
      </c>
      <c r="M29" s="377">
        <f t="shared" si="1"/>
        <v>0</v>
      </c>
      <c r="N29" s="377">
        <f t="shared" si="2"/>
        <v>0</v>
      </c>
    </row>
    <row r="30" spans="1:14" s="1" customFormat="1" ht="12.75">
      <c r="A30" s="1" t="str">
        <f t="shared" si="4"/>
        <v>1022</v>
      </c>
      <c r="B30" s="374" t="s">
        <v>1176</v>
      </c>
      <c r="C30" s="3">
        <v>102</v>
      </c>
      <c r="D30" s="373" t="s">
        <v>180</v>
      </c>
      <c r="E30" s="4" t="s">
        <v>1188</v>
      </c>
      <c r="F30" s="374" t="s">
        <v>1187</v>
      </c>
      <c r="G30" s="374" t="s">
        <v>1186</v>
      </c>
      <c r="H30" s="375">
        <v>2</v>
      </c>
      <c r="I30" s="379">
        <v>1.92</v>
      </c>
      <c r="J30" s="376" t="s">
        <v>1171</v>
      </c>
      <c r="K30" s="376"/>
      <c r="L30" s="377">
        <f t="shared" si="0"/>
        <v>0</v>
      </c>
      <c r="M30" s="377">
        <f t="shared" si="1"/>
        <v>0</v>
      </c>
      <c r="N30" s="377">
        <f t="shared" si="2"/>
        <v>0</v>
      </c>
    </row>
    <row r="31" spans="1:14" s="1" customFormat="1" ht="12.75">
      <c r="A31" s="1" t="str">
        <f t="shared" si="4"/>
        <v>1022</v>
      </c>
      <c r="B31" s="374" t="s">
        <v>1176</v>
      </c>
      <c r="C31" s="3">
        <v>102</v>
      </c>
      <c r="D31" s="373" t="s">
        <v>180</v>
      </c>
      <c r="E31" s="4" t="s">
        <v>924</v>
      </c>
      <c r="F31" s="374" t="s">
        <v>1173</v>
      </c>
      <c r="G31" s="374" t="s">
        <v>1189</v>
      </c>
      <c r="H31" s="375">
        <v>2</v>
      </c>
      <c r="I31" s="379">
        <v>0.7</v>
      </c>
      <c r="J31" s="376" t="s">
        <v>1171</v>
      </c>
      <c r="K31" s="376" t="s">
        <v>1947</v>
      </c>
      <c r="L31" s="377">
        <f t="shared" si="0"/>
        <v>0</v>
      </c>
      <c r="M31" s="377">
        <f t="shared" si="1"/>
        <v>0</v>
      </c>
      <c r="N31" s="377">
        <f t="shared" si="2"/>
        <v>0</v>
      </c>
    </row>
    <row r="32" spans="1:14" s="1" customFormat="1" ht="12.75">
      <c r="A32" s="1" t="str">
        <f t="shared" si="4"/>
        <v>1022</v>
      </c>
      <c r="B32" s="374" t="s">
        <v>1176</v>
      </c>
      <c r="C32" s="3">
        <v>102</v>
      </c>
      <c r="D32" s="373" t="s">
        <v>180</v>
      </c>
      <c r="E32" s="4" t="s">
        <v>924</v>
      </c>
      <c r="F32" s="374" t="s">
        <v>1173</v>
      </c>
      <c r="G32" s="374" t="s">
        <v>1190</v>
      </c>
      <c r="H32" s="375">
        <v>2</v>
      </c>
      <c r="I32" s="379">
        <v>0.7</v>
      </c>
      <c r="J32" s="376" t="s">
        <v>1171</v>
      </c>
      <c r="K32" s="376" t="s">
        <v>1947</v>
      </c>
      <c r="L32" s="377">
        <f t="shared" si="0"/>
        <v>0</v>
      </c>
      <c r="M32" s="377">
        <f t="shared" si="1"/>
        <v>0</v>
      </c>
      <c r="N32" s="377">
        <f t="shared" si="2"/>
        <v>0</v>
      </c>
    </row>
    <row r="33" spans="1:14" s="1" customFormat="1" ht="12.75">
      <c r="A33" s="1" t="str">
        <f t="shared" si="4"/>
        <v>1022</v>
      </c>
      <c r="B33" s="374" t="s">
        <v>1176</v>
      </c>
      <c r="C33" s="3">
        <v>102</v>
      </c>
      <c r="D33" s="373" t="s">
        <v>180</v>
      </c>
      <c r="E33" s="4" t="s">
        <v>100</v>
      </c>
      <c r="F33" s="374" t="s">
        <v>1182</v>
      </c>
      <c r="G33" s="374" t="s">
        <v>1183</v>
      </c>
      <c r="H33" s="375">
        <v>2</v>
      </c>
      <c r="I33" s="379">
        <v>6.42</v>
      </c>
      <c r="J33" s="376" t="s">
        <v>1171</v>
      </c>
      <c r="K33" s="376"/>
      <c r="L33" s="377">
        <f t="shared" si="0"/>
        <v>0</v>
      </c>
      <c r="M33" s="377">
        <f t="shared" si="1"/>
        <v>0</v>
      </c>
      <c r="N33" s="377">
        <f t="shared" si="2"/>
        <v>0</v>
      </c>
    </row>
    <row r="34" spans="1:14" s="1" customFormat="1" ht="12.75">
      <c r="A34" s="1" t="str">
        <f t="shared" si="4"/>
        <v>1022</v>
      </c>
      <c r="B34" s="374" t="s">
        <v>1176</v>
      </c>
      <c r="C34" s="3">
        <v>102</v>
      </c>
      <c r="D34" s="373" t="s">
        <v>180</v>
      </c>
      <c r="E34" s="4" t="s">
        <v>100</v>
      </c>
      <c r="F34" s="374" t="s">
        <v>1184</v>
      </c>
      <c r="G34" s="374" t="s">
        <v>1183</v>
      </c>
      <c r="H34" s="375">
        <v>2</v>
      </c>
      <c r="I34" s="379">
        <v>6.42</v>
      </c>
      <c r="J34" s="376" t="s">
        <v>1171</v>
      </c>
      <c r="K34" s="376"/>
      <c r="L34" s="377">
        <f t="shared" si="0"/>
        <v>0</v>
      </c>
      <c r="M34" s="377">
        <f t="shared" si="1"/>
        <v>0</v>
      </c>
      <c r="N34" s="377">
        <f t="shared" si="2"/>
        <v>0</v>
      </c>
    </row>
    <row r="35" spans="1:14" s="1" customFormat="1" ht="12.75">
      <c r="A35" s="1" t="str">
        <f t="shared" si="4"/>
        <v>1022</v>
      </c>
      <c r="B35" s="374" t="s">
        <v>1176</v>
      </c>
      <c r="C35" s="3">
        <v>102</v>
      </c>
      <c r="D35" s="373" t="s">
        <v>180</v>
      </c>
      <c r="E35" s="4" t="s">
        <v>100</v>
      </c>
      <c r="F35" s="374" t="s">
        <v>1185</v>
      </c>
      <c r="G35" s="374" t="s">
        <v>1186</v>
      </c>
      <c r="H35" s="375">
        <v>2</v>
      </c>
      <c r="I35" s="379">
        <v>1.92</v>
      </c>
      <c r="J35" s="376" t="s">
        <v>1171</v>
      </c>
      <c r="K35" s="376"/>
      <c r="L35" s="377">
        <f t="shared" si="0"/>
        <v>0</v>
      </c>
      <c r="M35" s="377">
        <f t="shared" si="1"/>
        <v>0</v>
      </c>
      <c r="N35" s="377">
        <f t="shared" si="2"/>
        <v>0</v>
      </c>
    </row>
    <row r="36" spans="1:14" s="1" customFormat="1" ht="12.75">
      <c r="A36" s="1" t="str">
        <f t="shared" si="4"/>
        <v>1022</v>
      </c>
      <c r="B36" s="374" t="s">
        <v>1176</v>
      </c>
      <c r="C36" s="3">
        <v>102</v>
      </c>
      <c r="D36" s="373" t="s">
        <v>180</v>
      </c>
      <c r="E36" s="4" t="s">
        <v>100</v>
      </c>
      <c r="F36" s="374" t="s">
        <v>1187</v>
      </c>
      <c r="G36" s="374" t="s">
        <v>1186</v>
      </c>
      <c r="H36" s="375">
        <v>2</v>
      </c>
      <c r="I36" s="379">
        <v>1.92</v>
      </c>
      <c r="J36" s="376" t="s">
        <v>1171</v>
      </c>
      <c r="K36" s="376"/>
      <c r="L36" s="377">
        <f t="shared" si="0"/>
        <v>0</v>
      </c>
      <c r="M36" s="377">
        <f t="shared" si="1"/>
        <v>0</v>
      </c>
      <c r="N36" s="377">
        <f t="shared" si="2"/>
        <v>0</v>
      </c>
    </row>
    <row r="37" spans="1:14" s="1" customFormat="1" ht="12.75">
      <c r="A37" s="1" t="str">
        <f t="shared" si="4"/>
        <v>1022</v>
      </c>
      <c r="B37" s="374" t="s">
        <v>1176</v>
      </c>
      <c r="C37" s="3">
        <v>102</v>
      </c>
      <c r="D37" s="373" t="s">
        <v>180</v>
      </c>
      <c r="E37" s="4" t="s">
        <v>505</v>
      </c>
      <c r="F37" s="374" t="s">
        <v>1173</v>
      </c>
      <c r="G37" s="374" t="s">
        <v>1191</v>
      </c>
      <c r="H37" s="375">
        <v>2</v>
      </c>
      <c r="I37" s="379">
        <v>9.15</v>
      </c>
      <c r="J37" s="376" t="s">
        <v>1171</v>
      </c>
      <c r="K37" s="376" t="s">
        <v>1948</v>
      </c>
      <c r="L37" s="377">
        <f t="shared" si="0"/>
        <v>0</v>
      </c>
      <c r="M37" s="377">
        <f t="shared" si="1"/>
        <v>0</v>
      </c>
      <c r="N37" s="377">
        <f t="shared" si="2"/>
        <v>0</v>
      </c>
    </row>
    <row r="38" spans="1:14" s="1" customFormat="1" ht="12.75">
      <c r="A38" s="1" t="str">
        <f t="shared" si="4"/>
        <v>1022</v>
      </c>
      <c r="B38" s="374" t="s">
        <v>1176</v>
      </c>
      <c r="C38" s="3">
        <v>102</v>
      </c>
      <c r="D38" s="373" t="s">
        <v>180</v>
      </c>
      <c r="E38" s="4" t="s">
        <v>505</v>
      </c>
      <c r="F38" s="374" t="s">
        <v>1173</v>
      </c>
      <c r="G38" s="374" t="s">
        <v>1192</v>
      </c>
      <c r="H38" s="375">
        <v>2</v>
      </c>
      <c r="I38" s="379">
        <v>9.15</v>
      </c>
      <c r="J38" s="376" t="s">
        <v>1171</v>
      </c>
      <c r="K38" s="376" t="s">
        <v>1948</v>
      </c>
      <c r="L38" s="377">
        <f t="shared" si="0"/>
        <v>0</v>
      </c>
      <c r="M38" s="377">
        <f t="shared" si="1"/>
        <v>0</v>
      </c>
      <c r="N38" s="377">
        <f t="shared" si="2"/>
        <v>0</v>
      </c>
    </row>
    <row r="39" spans="1:14" s="1" customFormat="1" ht="12.75">
      <c r="A39" s="1" t="str">
        <f t="shared" si="4"/>
        <v>1022</v>
      </c>
      <c r="B39" s="374" t="s">
        <v>1176</v>
      </c>
      <c r="C39" s="3">
        <v>102</v>
      </c>
      <c r="D39" s="373" t="s">
        <v>180</v>
      </c>
      <c r="E39" s="4" t="s">
        <v>1193</v>
      </c>
      <c r="F39" s="374" t="s">
        <v>1182</v>
      </c>
      <c r="G39" s="374" t="s">
        <v>1183</v>
      </c>
      <c r="H39" s="375">
        <v>2</v>
      </c>
      <c r="I39" s="379">
        <f>0.35*1.8+0.7*1.5+0.7*1.5+0.7*1.6</f>
        <v>3.8499999999999996</v>
      </c>
      <c r="J39" s="376" t="s">
        <v>1171</v>
      </c>
      <c r="K39" s="376"/>
      <c r="L39" s="377">
        <f t="shared" si="0"/>
        <v>0</v>
      </c>
      <c r="M39" s="377">
        <f t="shared" si="1"/>
        <v>0</v>
      </c>
      <c r="N39" s="377">
        <f t="shared" si="2"/>
        <v>0</v>
      </c>
    </row>
    <row r="40" spans="1:14" s="1" customFormat="1" ht="12.75">
      <c r="A40" s="1" t="str">
        <f t="shared" si="4"/>
        <v>1022</v>
      </c>
      <c r="B40" s="374" t="s">
        <v>1176</v>
      </c>
      <c r="C40" s="3">
        <v>102</v>
      </c>
      <c r="D40" s="373" t="s">
        <v>180</v>
      </c>
      <c r="E40" s="4" t="s">
        <v>1193</v>
      </c>
      <c r="F40" s="374" t="s">
        <v>1184</v>
      </c>
      <c r="G40" s="374" t="s">
        <v>1183</v>
      </c>
      <c r="H40" s="375">
        <v>2</v>
      </c>
      <c r="I40" s="379">
        <f>0.35*1.8+0.7*1.5+0.7*1.5+0.7*1.6</f>
        <v>3.8499999999999996</v>
      </c>
      <c r="J40" s="376" t="s">
        <v>1171</v>
      </c>
      <c r="K40" s="376"/>
      <c r="L40" s="377">
        <f t="shared" si="0"/>
        <v>0</v>
      </c>
      <c r="M40" s="377">
        <f t="shared" si="1"/>
        <v>0</v>
      </c>
      <c r="N40" s="377">
        <f t="shared" si="2"/>
        <v>0</v>
      </c>
    </row>
    <row r="41" spans="1:14" s="1" customFormat="1" ht="12.75">
      <c r="A41" s="1" t="str">
        <f t="shared" si="4"/>
        <v>1022</v>
      </c>
      <c r="B41" s="374" t="s">
        <v>1176</v>
      </c>
      <c r="C41" s="3">
        <v>102</v>
      </c>
      <c r="D41" s="373" t="s">
        <v>180</v>
      </c>
      <c r="E41" s="4" t="s">
        <v>1193</v>
      </c>
      <c r="F41" s="374" t="s">
        <v>1185</v>
      </c>
      <c r="G41" s="374" t="s">
        <v>1186</v>
      </c>
      <c r="H41" s="375">
        <v>2</v>
      </c>
      <c r="I41" s="379">
        <v>1.92</v>
      </c>
      <c r="J41" s="376" t="s">
        <v>1171</v>
      </c>
      <c r="K41" s="376"/>
      <c r="L41" s="377">
        <f t="shared" si="0"/>
        <v>0</v>
      </c>
      <c r="M41" s="377">
        <f t="shared" si="1"/>
        <v>0</v>
      </c>
      <c r="N41" s="377">
        <f t="shared" si="2"/>
        <v>0</v>
      </c>
    </row>
    <row r="42" spans="1:14" s="1" customFormat="1" ht="12.75">
      <c r="A42" s="1" t="str">
        <f t="shared" si="4"/>
        <v>1022</v>
      </c>
      <c r="B42" s="374" t="s">
        <v>1176</v>
      </c>
      <c r="C42" s="3">
        <v>102</v>
      </c>
      <c r="D42" s="373" t="s">
        <v>180</v>
      </c>
      <c r="E42" s="4" t="s">
        <v>1193</v>
      </c>
      <c r="F42" s="374" t="s">
        <v>1187</v>
      </c>
      <c r="G42" s="374" t="s">
        <v>1186</v>
      </c>
      <c r="H42" s="375">
        <v>2</v>
      </c>
      <c r="I42" s="379">
        <v>1.92</v>
      </c>
      <c r="J42" s="376" t="s">
        <v>1171</v>
      </c>
      <c r="K42" s="376"/>
      <c r="L42" s="377">
        <f t="shared" si="0"/>
        <v>0</v>
      </c>
      <c r="M42" s="377">
        <f t="shared" si="1"/>
        <v>0</v>
      </c>
      <c r="N42" s="377">
        <f t="shared" si="2"/>
        <v>0</v>
      </c>
    </row>
    <row r="43" spans="1:14" s="1" customFormat="1" ht="12.75">
      <c r="A43" s="1" t="str">
        <f t="shared" si="4"/>
        <v>1022</v>
      </c>
      <c r="B43" s="374" t="s">
        <v>1176</v>
      </c>
      <c r="C43" s="3">
        <v>102</v>
      </c>
      <c r="D43" s="373" t="s">
        <v>180</v>
      </c>
      <c r="E43" s="4" t="s">
        <v>864</v>
      </c>
      <c r="F43" s="374" t="s">
        <v>1173</v>
      </c>
      <c r="G43" s="374" t="s">
        <v>1194</v>
      </c>
      <c r="H43" s="375">
        <v>2</v>
      </c>
      <c r="I43" s="379">
        <v>26.66</v>
      </c>
      <c r="J43" s="376" t="s">
        <v>1171</v>
      </c>
      <c r="K43" s="376"/>
      <c r="L43" s="377">
        <f t="shared" si="0"/>
        <v>0</v>
      </c>
      <c r="M43" s="377">
        <f t="shared" si="1"/>
        <v>0</v>
      </c>
      <c r="N43" s="377">
        <f t="shared" si="2"/>
        <v>0</v>
      </c>
    </row>
    <row r="44" spans="1:14" s="1" customFormat="1" ht="12.75">
      <c r="A44" s="1" t="str">
        <f t="shared" si="4"/>
        <v>1022</v>
      </c>
      <c r="B44" s="374" t="s">
        <v>1176</v>
      </c>
      <c r="C44" s="3">
        <v>102</v>
      </c>
      <c r="D44" s="373" t="s">
        <v>180</v>
      </c>
      <c r="E44" s="4" t="s">
        <v>864</v>
      </c>
      <c r="F44" s="374" t="s">
        <v>1170</v>
      </c>
      <c r="G44" s="374" t="s">
        <v>1194</v>
      </c>
      <c r="H44" s="375">
        <v>2</v>
      </c>
      <c r="I44" s="379">
        <v>26.66</v>
      </c>
      <c r="J44" s="376" t="s">
        <v>1171</v>
      </c>
      <c r="K44" s="376"/>
      <c r="L44" s="377">
        <f t="shared" si="0"/>
        <v>0</v>
      </c>
      <c r="M44" s="377">
        <f t="shared" si="1"/>
        <v>0</v>
      </c>
      <c r="N44" s="377">
        <f t="shared" si="2"/>
        <v>0</v>
      </c>
    </row>
    <row r="45" spans="1:14" s="1" customFormat="1" ht="12.75">
      <c r="A45" s="1" t="str">
        <f t="shared" si="4"/>
        <v>10226</v>
      </c>
      <c r="B45" s="374" t="s">
        <v>1176</v>
      </c>
      <c r="C45" s="3">
        <v>102</v>
      </c>
      <c r="D45" s="373" t="s">
        <v>180</v>
      </c>
      <c r="E45" s="4"/>
      <c r="F45" s="374" t="s">
        <v>1172</v>
      </c>
      <c r="G45" s="374" t="s">
        <v>1320</v>
      </c>
      <c r="H45" s="375">
        <v>26</v>
      </c>
      <c r="I45" s="379">
        <v>43.86</v>
      </c>
      <c r="J45" s="376" t="s">
        <v>1171</v>
      </c>
      <c r="K45" s="376" t="s">
        <v>1321</v>
      </c>
      <c r="L45" s="377">
        <f t="shared" si="0"/>
        <v>0</v>
      </c>
      <c r="M45" s="377">
        <f t="shared" si="1"/>
        <v>0</v>
      </c>
      <c r="N45" s="377">
        <f t="shared" si="2"/>
        <v>0</v>
      </c>
    </row>
    <row r="46" spans="1:14" s="1" customFormat="1" ht="12.75">
      <c r="A46" s="1" t="str">
        <f t="shared" si="4"/>
        <v>1032</v>
      </c>
      <c r="B46" s="374" t="s">
        <v>1195</v>
      </c>
      <c r="C46" s="3">
        <v>103</v>
      </c>
      <c r="D46" s="373" t="s">
        <v>180</v>
      </c>
      <c r="E46" s="4" t="s">
        <v>362</v>
      </c>
      <c r="F46" s="374" t="s">
        <v>1173</v>
      </c>
      <c r="G46" s="374" t="s">
        <v>1196</v>
      </c>
      <c r="H46" s="375">
        <v>2</v>
      </c>
      <c r="I46" s="379">
        <v>48.02</v>
      </c>
      <c r="J46" s="376" t="s">
        <v>1171</v>
      </c>
      <c r="K46" s="376" t="s">
        <v>1949</v>
      </c>
      <c r="L46" s="377">
        <f t="shared" si="0"/>
        <v>0</v>
      </c>
      <c r="M46" s="377">
        <f t="shared" si="1"/>
        <v>0</v>
      </c>
      <c r="N46" s="377">
        <f t="shared" si="2"/>
        <v>0</v>
      </c>
    </row>
    <row r="47" spans="1:14" s="1" customFormat="1" ht="12.75">
      <c r="A47" s="1" t="str">
        <f t="shared" si="4"/>
        <v>1032</v>
      </c>
      <c r="B47" s="374" t="s">
        <v>1195</v>
      </c>
      <c r="C47" s="3">
        <v>103</v>
      </c>
      <c r="D47" s="373" t="s">
        <v>180</v>
      </c>
      <c r="E47" s="4" t="s">
        <v>362</v>
      </c>
      <c r="F47" s="374" t="s">
        <v>1179</v>
      </c>
      <c r="G47" s="374" t="s">
        <v>1196</v>
      </c>
      <c r="H47" s="375">
        <v>2</v>
      </c>
      <c r="I47" s="379">
        <f>1.95*6</f>
        <v>11.7</v>
      </c>
      <c r="J47" s="376" t="s">
        <v>1171</v>
      </c>
      <c r="K47" s="376"/>
      <c r="L47" s="377">
        <f t="shared" si="0"/>
        <v>0</v>
      </c>
      <c r="M47" s="377">
        <f t="shared" si="1"/>
        <v>0</v>
      </c>
      <c r="N47" s="377">
        <f t="shared" si="2"/>
        <v>0</v>
      </c>
    </row>
    <row r="48" spans="1:14" s="1" customFormat="1" ht="12.75">
      <c r="A48" s="1" t="str">
        <f t="shared" si="4"/>
        <v>1032</v>
      </c>
      <c r="B48" s="374" t="s">
        <v>1195</v>
      </c>
      <c r="C48" s="3">
        <v>103</v>
      </c>
      <c r="D48" s="373" t="s">
        <v>180</v>
      </c>
      <c r="E48" s="4" t="s">
        <v>362</v>
      </c>
      <c r="F48" s="374" t="s">
        <v>1170</v>
      </c>
      <c r="G48" s="374" t="s">
        <v>1197</v>
      </c>
      <c r="H48" s="375">
        <v>2</v>
      </c>
      <c r="I48" s="379">
        <v>48.02</v>
      </c>
      <c r="J48" s="376" t="s">
        <v>1171</v>
      </c>
      <c r="K48" s="376" t="s">
        <v>1949</v>
      </c>
      <c r="L48" s="377">
        <f t="shared" si="0"/>
        <v>0</v>
      </c>
      <c r="M48" s="377">
        <f t="shared" si="1"/>
        <v>0</v>
      </c>
      <c r="N48" s="377">
        <f t="shared" si="2"/>
        <v>0</v>
      </c>
    </row>
    <row r="49" spans="1:14" s="1" customFormat="1" ht="12.75">
      <c r="A49" s="1" t="str">
        <f t="shared" si="4"/>
        <v>1032</v>
      </c>
      <c r="B49" s="374" t="s">
        <v>1195</v>
      </c>
      <c r="C49" s="3">
        <v>103</v>
      </c>
      <c r="D49" s="373" t="s">
        <v>180</v>
      </c>
      <c r="E49" s="4" t="s">
        <v>362</v>
      </c>
      <c r="F49" s="374" t="s">
        <v>1181</v>
      </c>
      <c r="G49" s="374" t="s">
        <v>1197</v>
      </c>
      <c r="H49" s="375">
        <v>2</v>
      </c>
      <c r="I49" s="379">
        <f>1.95*6</f>
        <v>11.7</v>
      </c>
      <c r="J49" s="376" t="s">
        <v>1171</v>
      </c>
      <c r="K49" s="376"/>
      <c r="L49" s="377">
        <f t="shared" si="0"/>
        <v>0</v>
      </c>
      <c r="M49" s="377">
        <f t="shared" si="1"/>
        <v>0</v>
      </c>
      <c r="N49" s="377">
        <f t="shared" si="2"/>
        <v>0</v>
      </c>
    </row>
    <row r="50" spans="1:14" s="1" customFormat="1" ht="12.75">
      <c r="A50" s="1" t="str">
        <f t="shared" si="4"/>
        <v>1032</v>
      </c>
      <c r="B50" s="374" t="s">
        <v>1195</v>
      </c>
      <c r="C50" s="3">
        <v>103</v>
      </c>
      <c r="D50" s="373" t="s">
        <v>180</v>
      </c>
      <c r="E50" s="4" t="s">
        <v>1198</v>
      </c>
      <c r="F50" s="374" t="s">
        <v>1182</v>
      </c>
      <c r="G50" s="374" t="s">
        <v>1183</v>
      </c>
      <c r="H50" s="375">
        <v>2</v>
      </c>
      <c r="I50" s="379">
        <v>11.71</v>
      </c>
      <c r="J50" s="376" t="s">
        <v>1171</v>
      </c>
      <c r="K50" s="376"/>
      <c r="L50" s="377">
        <f t="shared" si="0"/>
        <v>0</v>
      </c>
      <c r="M50" s="377">
        <f t="shared" si="1"/>
        <v>0</v>
      </c>
      <c r="N50" s="377">
        <f t="shared" si="2"/>
        <v>0</v>
      </c>
    </row>
    <row r="51" spans="1:14" s="1" customFormat="1" ht="12.75">
      <c r="A51" s="1" t="str">
        <f t="shared" si="4"/>
        <v>1032</v>
      </c>
      <c r="B51" s="374" t="s">
        <v>1195</v>
      </c>
      <c r="C51" s="3">
        <v>103</v>
      </c>
      <c r="D51" s="373" t="s">
        <v>180</v>
      </c>
      <c r="E51" s="4" t="s">
        <v>1198</v>
      </c>
      <c r="F51" s="374" t="s">
        <v>1184</v>
      </c>
      <c r="G51" s="374" t="s">
        <v>1183</v>
      </c>
      <c r="H51" s="375">
        <v>2</v>
      </c>
      <c r="I51" s="379">
        <v>11.71</v>
      </c>
      <c r="J51" s="376" t="s">
        <v>1171</v>
      </c>
      <c r="K51" s="376"/>
      <c r="L51" s="377">
        <f t="shared" si="0"/>
        <v>0</v>
      </c>
      <c r="M51" s="377">
        <f t="shared" si="1"/>
        <v>0</v>
      </c>
      <c r="N51" s="377">
        <f t="shared" si="2"/>
        <v>0</v>
      </c>
    </row>
    <row r="52" spans="1:14" s="1" customFormat="1" ht="12.75">
      <c r="B52" s="374" t="s">
        <v>1195</v>
      </c>
      <c r="C52" s="3">
        <v>103</v>
      </c>
      <c r="D52" s="373" t="s">
        <v>180</v>
      </c>
      <c r="E52" s="4" t="s">
        <v>1198</v>
      </c>
      <c r="F52" s="374" t="s">
        <v>1185</v>
      </c>
      <c r="G52" s="374" t="s">
        <v>1186</v>
      </c>
      <c r="H52" s="375">
        <v>2</v>
      </c>
      <c r="I52" s="379">
        <v>1.92</v>
      </c>
      <c r="J52" s="376" t="s">
        <v>1171</v>
      </c>
      <c r="K52" s="376"/>
      <c r="L52" s="377">
        <f t="shared" si="0"/>
        <v>0</v>
      </c>
      <c r="M52" s="377">
        <f t="shared" si="1"/>
        <v>0</v>
      </c>
      <c r="N52" s="377">
        <f t="shared" si="2"/>
        <v>0</v>
      </c>
    </row>
    <row r="53" spans="1:14" s="1" customFormat="1" ht="12.75">
      <c r="B53" s="374" t="s">
        <v>1195</v>
      </c>
      <c r="C53" s="3">
        <v>103</v>
      </c>
      <c r="D53" s="373" t="s">
        <v>180</v>
      </c>
      <c r="E53" s="4" t="s">
        <v>1198</v>
      </c>
      <c r="F53" s="374" t="s">
        <v>1187</v>
      </c>
      <c r="G53" s="374" t="s">
        <v>1186</v>
      </c>
      <c r="H53" s="375">
        <v>2</v>
      </c>
      <c r="I53" s="379">
        <v>1.92</v>
      </c>
      <c r="J53" s="376" t="s">
        <v>1171</v>
      </c>
      <c r="K53" s="376"/>
      <c r="L53" s="377">
        <f t="shared" si="0"/>
        <v>0</v>
      </c>
      <c r="M53" s="377">
        <f t="shared" si="1"/>
        <v>0</v>
      </c>
      <c r="N53" s="377">
        <f t="shared" si="2"/>
        <v>0</v>
      </c>
    </row>
    <row r="54" spans="1:14" s="1" customFormat="1" ht="12.75">
      <c r="A54" s="1" t="str">
        <f t="shared" ref="A54:A64" si="5">CONCATENATE(C54,H54)</f>
        <v>1032</v>
      </c>
      <c r="B54" s="374" t="s">
        <v>1195</v>
      </c>
      <c r="C54" s="3">
        <v>103</v>
      </c>
      <c r="D54" s="373" t="s">
        <v>180</v>
      </c>
      <c r="E54" s="4" t="s">
        <v>482</v>
      </c>
      <c r="F54" s="374" t="s">
        <v>1173</v>
      </c>
      <c r="G54" s="374" t="s">
        <v>1199</v>
      </c>
      <c r="H54" s="375">
        <v>2</v>
      </c>
      <c r="I54" s="379">
        <v>19</v>
      </c>
      <c r="J54" s="376" t="s">
        <v>1171</v>
      </c>
      <c r="K54" s="376"/>
      <c r="L54" s="377">
        <f t="shared" si="0"/>
        <v>0</v>
      </c>
      <c r="M54" s="377">
        <f t="shared" si="1"/>
        <v>0</v>
      </c>
      <c r="N54" s="377">
        <f t="shared" si="2"/>
        <v>0</v>
      </c>
    </row>
    <row r="55" spans="1:14" s="1" customFormat="1" ht="12.75">
      <c r="A55" s="1" t="str">
        <f t="shared" si="5"/>
        <v>1032</v>
      </c>
      <c r="B55" s="374" t="s">
        <v>1195</v>
      </c>
      <c r="C55" s="3">
        <v>103</v>
      </c>
      <c r="D55" s="373" t="s">
        <v>180</v>
      </c>
      <c r="E55" s="4" t="s">
        <v>764</v>
      </c>
      <c r="F55" s="374" t="s">
        <v>1173</v>
      </c>
      <c r="G55" s="374" t="s">
        <v>1200</v>
      </c>
      <c r="H55" s="375">
        <v>2</v>
      </c>
      <c r="I55" s="379">
        <v>19.5</v>
      </c>
      <c r="J55" s="376" t="s">
        <v>1171</v>
      </c>
      <c r="K55" s="376"/>
      <c r="L55" s="377">
        <f t="shared" si="0"/>
        <v>0</v>
      </c>
      <c r="M55" s="377">
        <f t="shared" si="1"/>
        <v>0</v>
      </c>
      <c r="N55" s="377">
        <f t="shared" si="2"/>
        <v>0</v>
      </c>
    </row>
    <row r="56" spans="1:14" s="1" customFormat="1" ht="12.75">
      <c r="A56" s="1" t="str">
        <f t="shared" si="5"/>
        <v>1032</v>
      </c>
      <c r="B56" s="374" t="s">
        <v>1195</v>
      </c>
      <c r="C56" s="3">
        <v>103</v>
      </c>
      <c r="D56" s="373" t="s">
        <v>180</v>
      </c>
      <c r="E56" s="4" t="s">
        <v>377</v>
      </c>
      <c r="F56" s="374" t="s">
        <v>1173</v>
      </c>
      <c r="G56" s="374" t="s">
        <v>1201</v>
      </c>
      <c r="H56" s="375">
        <v>2</v>
      </c>
      <c r="I56" s="379">
        <v>48.44</v>
      </c>
      <c r="J56" s="376" t="s">
        <v>1171</v>
      </c>
      <c r="K56" s="376" t="s">
        <v>1950</v>
      </c>
      <c r="L56" s="377">
        <f t="shared" si="0"/>
        <v>0</v>
      </c>
      <c r="M56" s="377">
        <f t="shared" si="1"/>
        <v>0</v>
      </c>
      <c r="N56" s="377">
        <f t="shared" si="2"/>
        <v>0</v>
      </c>
    </row>
    <row r="57" spans="1:14" s="1" customFormat="1" ht="12.75">
      <c r="A57" s="1" t="str">
        <f t="shared" si="5"/>
        <v>1032</v>
      </c>
      <c r="B57" s="374" t="s">
        <v>1195</v>
      </c>
      <c r="C57" s="3">
        <v>103</v>
      </c>
      <c r="D57" s="373" t="s">
        <v>180</v>
      </c>
      <c r="E57" s="4" t="s">
        <v>377</v>
      </c>
      <c r="F57" s="374" t="s">
        <v>1170</v>
      </c>
      <c r="G57" s="374" t="s">
        <v>1202</v>
      </c>
      <c r="H57" s="375">
        <v>2</v>
      </c>
      <c r="I57" s="379">
        <v>48.44</v>
      </c>
      <c r="J57" s="376" t="s">
        <v>1171</v>
      </c>
      <c r="K57" s="376" t="s">
        <v>1950</v>
      </c>
      <c r="L57" s="377">
        <f t="shared" si="0"/>
        <v>0</v>
      </c>
      <c r="M57" s="377">
        <f t="shared" si="1"/>
        <v>0</v>
      </c>
      <c r="N57" s="377">
        <f t="shared" si="2"/>
        <v>0</v>
      </c>
    </row>
    <row r="58" spans="1:14" s="1" customFormat="1" ht="12.75">
      <c r="A58" s="1" t="str">
        <f t="shared" si="5"/>
        <v>1032</v>
      </c>
      <c r="B58" s="374" t="s">
        <v>1195</v>
      </c>
      <c r="C58" s="3">
        <v>103</v>
      </c>
      <c r="D58" s="373" t="s">
        <v>180</v>
      </c>
      <c r="E58" s="4" t="s">
        <v>487</v>
      </c>
      <c r="F58" s="374" t="s">
        <v>1173</v>
      </c>
      <c r="G58" s="374" t="s">
        <v>1203</v>
      </c>
      <c r="H58" s="375">
        <v>2</v>
      </c>
      <c r="I58" s="379">
        <v>34.5</v>
      </c>
      <c r="J58" s="376" t="s">
        <v>1171</v>
      </c>
      <c r="K58" s="376"/>
      <c r="L58" s="377">
        <f t="shared" si="0"/>
        <v>0</v>
      </c>
      <c r="M58" s="377">
        <f t="shared" si="1"/>
        <v>0</v>
      </c>
      <c r="N58" s="377">
        <f t="shared" si="2"/>
        <v>0</v>
      </c>
    </row>
    <row r="59" spans="1:14" s="1" customFormat="1" ht="12.75">
      <c r="A59" s="1" t="str">
        <f t="shared" si="5"/>
        <v>1032</v>
      </c>
      <c r="B59" s="374" t="s">
        <v>1195</v>
      </c>
      <c r="C59" s="3">
        <v>103</v>
      </c>
      <c r="D59" s="373" t="s">
        <v>180</v>
      </c>
      <c r="E59" s="4" t="s">
        <v>481</v>
      </c>
      <c r="F59" s="374" t="s">
        <v>1173</v>
      </c>
      <c r="G59" s="374" t="s">
        <v>1204</v>
      </c>
      <c r="H59" s="375">
        <v>2</v>
      </c>
      <c r="I59" s="379">
        <v>34.5</v>
      </c>
      <c r="J59" s="376" t="s">
        <v>1171</v>
      </c>
      <c r="K59" s="376"/>
      <c r="L59" s="377">
        <f t="shared" si="0"/>
        <v>0</v>
      </c>
      <c r="M59" s="377">
        <f t="shared" si="1"/>
        <v>0</v>
      </c>
      <c r="N59" s="377">
        <f t="shared" si="2"/>
        <v>0</v>
      </c>
    </row>
    <row r="60" spans="1:14" s="1" customFormat="1" ht="12.75">
      <c r="A60" s="1" t="str">
        <f t="shared" si="5"/>
        <v>1032</v>
      </c>
      <c r="B60" s="374" t="s">
        <v>1195</v>
      </c>
      <c r="C60" s="3">
        <v>103</v>
      </c>
      <c r="D60" s="373" t="s">
        <v>180</v>
      </c>
      <c r="E60" s="4" t="s">
        <v>483</v>
      </c>
      <c r="F60" s="374" t="s">
        <v>1173</v>
      </c>
      <c r="G60" s="374" t="s">
        <v>1205</v>
      </c>
      <c r="H60" s="375">
        <v>2</v>
      </c>
      <c r="I60" s="379">
        <v>22.5</v>
      </c>
      <c r="J60" s="376" t="s">
        <v>1171</v>
      </c>
      <c r="K60" s="376"/>
      <c r="L60" s="377">
        <f t="shared" si="0"/>
        <v>0</v>
      </c>
      <c r="M60" s="377">
        <f t="shared" si="1"/>
        <v>0</v>
      </c>
      <c r="N60" s="377">
        <f t="shared" si="2"/>
        <v>0</v>
      </c>
    </row>
    <row r="61" spans="1:14" s="1" customFormat="1" ht="12.75">
      <c r="A61" s="1" t="str">
        <f t="shared" si="5"/>
        <v>1032</v>
      </c>
      <c r="B61" s="374" t="s">
        <v>1195</v>
      </c>
      <c r="C61" s="3">
        <v>103</v>
      </c>
      <c r="D61" s="373" t="s">
        <v>180</v>
      </c>
      <c r="E61" s="4" t="s">
        <v>367</v>
      </c>
      <c r="F61" s="374" t="s">
        <v>1173</v>
      </c>
      <c r="G61" s="374" t="s">
        <v>1206</v>
      </c>
      <c r="H61" s="375">
        <v>2</v>
      </c>
      <c r="I61" s="379">
        <f>(2.5*10.8)+(5.6*1.8)+(3.3*2.3)+(3.3*2.3)+(10.7*2.5)+(6*(1.8*1))+(2*(1.1*1))</f>
        <v>92.009999999999991</v>
      </c>
      <c r="J61" s="376" t="s">
        <v>1171</v>
      </c>
      <c r="K61" s="376"/>
      <c r="L61" s="377">
        <f t="shared" si="0"/>
        <v>0</v>
      </c>
      <c r="M61" s="377">
        <f t="shared" si="1"/>
        <v>0</v>
      </c>
      <c r="N61" s="377">
        <f t="shared" si="2"/>
        <v>0</v>
      </c>
    </row>
    <row r="62" spans="1:14" s="1" customFormat="1" ht="12.75">
      <c r="A62" s="1" t="str">
        <f t="shared" si="5"/>
        <v>1032</v>
      </c>
      <c r="B62" s="374" t="s">
        <v>1195</v>
      </c>
      <c r="C62" s="3">
        <v>103</v>
      </c>
      <c r="D62" s="373" t="s">
        <v>180</v>
      </c>
      <c r="E62" s="4" t="s">
        <v>367</v>
      </c>
      <c r="F62" s="374" t="s">
        <v>1170</v>
      </c>
      <c r="G62" s="374" t="s">
        <v>1206</v>
      </c>
      <c r="H62" s="375">
        <v>2</v>
      </c>
      <c r="I62" s="379">
        <f>(2.5*10.8)+(5.6*1.8)+(3.3*2.3)+(3.3*2.3)+(10.7*2.5)+(6*(1.8*1))+(2*(1.1*1))</f>
        <v>92.009999999999991</v>
      </c>
      <c r="J62" s="376" t="s">
        <v>1171</v>
      </c>
      <c r="K62" s="376"/>
      <c r="L62" s="377">
        <f t="shared" si="0"/>
        <v>0</v>
      </c>
      <c r="M62" s="377">
        <f t="shared" si="1"/>
        <v>0</v>
      </c>
      <c r="N62" s="377">
        <f t="shared" si="2"/>
        <v>0</v>
      </c>
    </row>
    <row r="63" spans="1:14" s="1" customFormat="1" ht="12.75">
      <c r="A63" s="1" t="str">
        <f t="shared" si="5"/>
        <v>1032</v>
      </c>
      <c r="B63" s="374" t="s">
        <v>1195</v>
      </c>
      <c r="C63" s="3">
        <v>103</v>
      </c>
      <c r="D63" s="373" t="s">
        <v>180</v>
      </c>
      <c r="E63" s="4" t="s">
        <v>820</v>
      </c>
      <c r="F63" s="374" t="s">
        <v>1173</v>
      </c>
      <c r="G63" s="374" t="s">
        <v>1207</v>
      </c>
      <c r="H63" s="375">
        <v>2</v>
      </c>
      <c r="I63" s="379">
        <f>(2.8+2.2+2.8+2.2)*2.7</f>
        <v>27</v>
      </c>
      <c r="J63" s="376" t="s">
        <v>1171</v>
      </c>
      <c r="K63" s="376"/>
      <c r="L63" s="377">
        <f t="shared" si="0"/>
        <v>0</v>
      </c>
      <c r="M63" s="377">
        <f t="shared" si="1"/>
        <v>0</v>
      </c>
      <c r="N63" s="377">
        <f t="shared" si="2"/>
        <v>0</v>
      </c>
    </row>
    <row r="64" spans="1:14" s="1" customFormat="1" ht="12.75">
      <c r="A64" s="1" t="str">
        <f t="shared" si="5"/>
        <v>1032</v>
      </c>
      <c r="B64" s="374" t="s">
        <v>1195</v>
      </c>
      <c r="C64" s="3">
        <v>103</v>
      </c>
      <c r="D64" s="373" t="s">
        <v>180</v>
      </c>
      <c r="E64" s="4" t="s">
        <v>820</v>
      </c>
      <c r="F64" s="374" t="s">
        <v>1173</v>
      </c>
      <c r="G64" s="374" t="s">
        <v>1208</v>
      </c>
      <c r="H64" s="375">
        <v>2</v>
      </c>
      <c r="I64" s="379">
        <f>(2.8+2.2+2.8+2.2)*2.7</f>
        <v>27</v>
      </c>
      <c r="J64" s="376" t="s">
        <v>1171</v>
      </c>
      <c r="K64" s="376"/>
      <c r="L64" s="377">
        <f t="shared" si="0"/>
        <v>0</v>
      </c>
      <c r="M64" s="377">
        <f t="shared" si="1"/>
        <v>0</v>
      </c>
      <c r="N64" s="377">
        <f t="shared" si="2"/>
        <v>0</v>
      </c>
    </row>
    <row r="65" spans="1:14" s="1" customFormat="1" ht="12.75">
      <c r="B65" s="374" t="s">
        <v>1195</v>
      </c>
      <c r="C65" s="3">
        <v>103</v>
      </c>
      <c r="D65" s="373" t="s">
        <v>180</v>
      </c>
      <c r="E65" s="4" t="s">
        <v>51</v>
      </c>
      <c r="F65" s="374" t="s">
        <v>1182</v>
      </c>
      <c r="G65" s="374"/>
      <c r="H65" s="375">
        <v>2</v>
      </c>
      <c r="I65" s="379">
        <v>6.71</v>
      </c>
      <c r="J65" s="376" t="s">
        <v>1171</v>
      </c>
      <c r="K65" s="376"/>
      <c r="L65" s="377">
        <f t="shared" si="0"/>
        <v>0</v>
      </c>
      <c r="M65" s="377">
        <f t="shared" si="1"/>
        <v>0</v>
      </c>
      <c r="N65" s="377">
        <f t="shared" si="2"/>
        <v>0</v>
      </c>
    </row>
    <row r="66" spans="1:14" s="1" customFormat="1" ht="12.75">
      <c r="B66" s="374" t="s">
        <v>1195</v>
      </c>
      <c r="C66" s="3">
        <v>103</v>
      </c>
      <c r="D66" s="373" t="s">
        <v>180</v>
      </c>
      <c r="E66" s="4" t="s">
        <v>51</v>
      </c>
      <c r="F66" s="374" t="s">
        <v>1184</v>
      </c>
      <c r="G66" s="374"/>
      <c r="H66" s="375">
        <v>2</v>
      </c>
      <c r="I66" s="379">
        <v>6.71</v>
      </c>
      <c r="J66" s="376" t="s">
        <v>1171</v>
      </c>
      <c r="K66" s="376"/>
      <c r="L66" s="377">
        <f t="shared" si="0"/>
        <v>0</v>
      </c>
      <c r="M66" s="377">
        <f t="shared" si="1"/>
        <v>0</v>
      </c>
      <c r="N66" s="377">
        <f t="shared" si="2"/>
        <v>0</v>
      </c>
    </row>
    <row r="67" spans="1:14" s="1" customFormat="1" ht="12.75">
      <c r="B67" s="374" t="s">
        <v>1195</v>
      </c>
      <c r="C67" s="3">
        <v>103</v>
      </c>
      <c r="D67" s="373" t="s">
        <v>180</v>
      </c>
      <c r="E67" s="4" t="s">
        <v>51</v>
      </c>
      <c r="F67" s="374" t="s">
        <v>1185</v>
      </c>
      <c r="G67" s="374"/>
      <c r="H67" s="375">
        <v>2</v>
      </c>
      <c r="I67" s="379">
        <v>1.92</v>
      </c>
      <c r="J67" s="376" t="s">
        <v>1171</v>
      </c>
      <c r="K67" s="376"/>
      <c r="L67" s="377">
        <f t="shared" si="0"/>
        <v>0</v>
      </c>
      <c r="M67" s="377">
        <f t="shared" si="1"/>
        <v>0</v>
      </c>
      <c r="N67" s="377">
        <f t="shared" si="2"/>
        <v>0</v>
      </c>
    </row>
    <row r="68" spans="1:14" s="1" customFormat="1" ht="12.75">
      <c r="B68" s="374" t="s">
        <v>1195</v>
      </c>
      <c r="C68" s="3">
        <v>103</v>
      </c>
      <c r="D68" s="373" t="s">
        <v>180</v>
      </c>
      <c r="E68" s="4" t="s">
        <v>51</v>
      </c>
      <c r="F68" s="374" t="s">
        <v>1187</v>
      </c>
      <c r="G68" s="374"/>
      <c r="H68" s="375">
        <v>2</v>
      </c>
      <c r="I68" s="379">
        <v>1.92</v>
      </c>
      <c r="J68" s="376" t="s">
        <v>1171</v>
      </c>
      <c r="K68" s="376"/>
      <c r="L68" s="377">
        <f t="shared" si="0"/>
        <v>0</v>
      </c>
      <c r="M68" s="377">
        <f t="shared" si="1"/>
        <v>0</v>
      </c>
      <c r="N68" s="377">
        <f t="shared" si="2"/>
        <v>0</v>
      </c>
    </row>
    <row r="69" spans="1:14" s="1" customFormat="1" ht="12.75">
      <c r="A69" s="1" t="str">
        <f t="shared" ref="A69:A79" si="6">CONCATENATE(C69,H69)</f>
        <v>10326</v>
      </c>
      <c r="B69" s="374" t="s">
        <v>1195</v>
      </c>
      <c r="C69" s="3">
        <v>103</v>
      </c>
      <c r="D69" s="373" t="s">
        <v>180</v>
      </c>
      <c r="E69" s="4"/>
      <c r="F69" s="374" t="s">
        <v>1172</v>
      </c>
      <c r="G69" s="374" t="s">
        <v>1320</v>
      </c>
      <c r="H69" s="375">
        <v>26</v>
      </c>
      <c r="I69" s="379">
        <v>34.51</v>
      </c>
      <c r="J69" s="376" t="s">
        <v>1171</v>
      </c>
      <c r="K69" s="376" t="s">
        <v>1321</v>
      </c>
      <c r="L69" s="377">
        <f t="shared" si="0"/>
        <v>0</v>
      </c>
      <c r="M69" s="377">
        <f t="shared" si="1"/>
        <v>0</v>
      </c>
      <c r="N69" s="377">
        <f t="shared" si="2"/>
        <v>0</v>
      </c>
    </row>
    <row r="70" spans="1:14" s="1" customFormat="1" ht="12.75">
      <c r="A70" s="1" t="str">
        <f t="shared" si="6"/>
        <v>1042</v>
      </c>
      <c r="B70" s="374" t="s">
        <v>1209</v>
      </c>
      <c r="C70" s="3">
        <v>104</v>
      </c>
      <c r="D70" s="373" t="s">
        <v>180</v>
      </c>
      <c r="E70" s="4" t="s">
        <v>372</v>
      </c>
      <c r="F70" s="374" t="s">
        <v>1170</v>
      </c>
      <c r="G70" s="374" t="s">
        <v>1210</v>
      </c>
      <c r="H70" s="375">
        <v>2</v>
      </c>
      <c r="I70" s="379">
        <v>38.07</v>
      </c>
      <c r="J70" s="376" t="s">
        <v>1171</v>
      </c>
      <c r="K70" s="376"/>
      <c r="L70" s="377">
        <f t="shared" si="0"/>
        <v>0</v>
      </c>
      <c r="M70" s="377">
        <f t="shared" si="1"/>
        <v>0</v>
      </c>
      <c r="N70" s="377">
        <f t="shared" si="2"/>
        <v>0</v>
      </c>
    </row>
    <row r="71" spans="1:14" s="1" customFormat="1" ht="12.75">
      <c r="A71" s="1" t="str">
        <f t="shared" si="6"/>
        <v>1042</v>
      </c>
      <c r="B71" s="374" t="s">
        <v>1209</v>
      </c>
      <c r="C71" s="3">
        <v>104</v>
      </c>
      <c r="D71" s="373" t="s">
        <v>180</v>
      </c>
      <c r="E71" s="4" t="s">
        <v>372</v>
      </c>
      <c r="F71" s="374" t="s">
        <v>1173</v>
      </c>
      <c r="G71" s="374" t="s">
        <v>1211</v>
      </c>
      <c r="H71" s="375">
        <v>2</v>
      </c>
      <c r="I71" s="379">
        <v>38.07</v>
      </c>
      <c r="J71" s="376" t="s">
        <v>1171</v>
      </c>
      <c r="K71" s="376"/>
      <c r="L71" s="377">
        <f t="shared" si="0"/>
        <v>0</v>
      </c>
      <c r="M71" s="377">
        <f t="shared" si="1"/>
        <v>0</v>
      </c>
      <c r="N71" s="377">
        <f t="shared" si="2"/>
        <v>0</v>
      </c>
    </row>
    <row r="72" spans="1:14" s="1" customFormat="1" ht="12.75">
      <c r="A72" s="1" t="str">
        <f t="shared" si="6"/>
        <v>1042</v>
      </c>
      <c r="B72" s="374" t="s">
        <v>1209</v>
      </c>
      <c r="C72" s="3">
        <v>104</v>
      </c>
      <c r="D72" s="373" t="s">
        <v>180</v>
      </c>
      <c r="E72" s="4" t="s">
        <v>363</v>
      </c>
      <c r="F72" s="374" t="s">
        <v>1170</v>
      </c>
      <c r="G72" s="374" t="s">
        <v>1210</v>
      </c>
      <c r="H72" s="375">
        <v>2</v>
      </c>
      <c r="I72" s="379">
        <v>58.74</v>
      </c>
      <c r="J72" s="376" t="s">
        <v>1171</v>
      </c>
      <c r="K72" s="376"/>
      <c r="L72" s="377">
        <f t="shared" si="0"/>
        <v>0</v>
      </c>
      <c r="M72" s="377">
        <f t="shared" si="1"/>
        <v>0</v>
      </c>
      <c r="N72" s="377">
        <f t="shared" si="2"/>
        <v>0</v>
      </c>
    </row>
    <row r="73" spans="1:14" s="1" customFormat="1" ht="12.75">
      <c r="A73" s="1" t="str">
        <f t="shared" si="6"/>
        <v>1042</v>
      </c>
      <c r="B73" s="374" t="s">
        <v>1209</v>
      </c>
      <c r="C73" s="3">
        <v>104</v>
      </c>
      <c r="D73" s="373" t="s">
        <v>180</v>
      </c>
      <c r="E73" s="4" t="s">
        <v>363</v>
      </c>
      <c r="F73" s="374" t="s">
        <v>1173</v>
      </c>
      <c r="G73" s="374" t="s">
        <v>1211</v>
      </c>
      <c r="H73" s="375">
        <v>2</v>
      </c>
      <c r="I73" s="379">
        <v>58.07</v>
      </c>
      <c r="J73" s="376" t="s">
        <v>1171</v>
      </c>
      <c r="K73" s="376"/>
      <c r="L73" s="377">
        <f t="shared" si="0"/>
        <v>0</v>
      </c>
      <c r="M73" s="377">
        <f t="shared" si="1"/>
        <v>0</v>
      </c>
      <c r="N73" s="377">
        <f t="shared" si="2"/>
        <v>0</v>
      </c>
    </row>
    <row r="74" spans="1:14" s="1" customFormat="1" ht="12.75">
      <c r="A74" s="1" t="str">
        <f t="shared" si="6"/>
        <v>1042</v>
      </c>
      <c r="B74" s="374" t="s">
        <v>1209</v>
      </c>
      <c r="C74" s="3">
        <v>104</v>
      </c>
      <c r="D74" s="373" t="s">
        <v>180</v>
      </c>
      <c r="E74" s="4" t="s">
        <v>1198</v>
      </c>
      <c r="F74" s="374" t="s">
        <v>1182</v>
      </c>
      <c r="G74" s="374" t="s">
        <v>1183</v>
      </c>
      <c r="H74" s="375">
        <v>2</v>
      </c>
      <c r="I74" s="379">
        <v>15.07</v>
      </c>
      <c r="J74" s="376" t="s">
        <v>1171</v>
      </c>
      <c r="K74" s="376"/>
      <c r="L74" s="377">
        <f t="shared" si="0"/>
        <v>0</v>
      </c>
      <c r="M74" s="377">
        <f t="shared" si="1"/>
        <v>0</v>
      </c>
      <c r="N74" s="377">
        <f t="shared" si="2"/>
        <v>0</v>
      </c>
    </row>
    <row r="75" spans="1:14" s="1" customFormat="1" ht="12.75">
      <c r="A75" s="1" t="str">
        <f t="shared" si="6"/>
        <v>1042</v>
      </c>
      <c r="B75" s="374" t="s">
        <v>1209</v>
      </c>
      <c r="C75" s="3">
        <v>104</v>
      </c>
      <c r="D75" s="373" t="s">
        <v>180</v>
      </c>
      <c r="E75" s="4" t="s">
        <v>1198</v>
      </c>
      <c r="F75" s="374" t="s">
        <v>1184</v>
      </c>
      <c r="G75" s="374" t="s">
        <v>1183</v>
      </c>
      <c r="H75" s="375">
        <v>2</v>
      </c>
      <c r="I75" s="379">
        <v>15.07</v>
      </c>
      <c r="J75" s="376" t="s">
        <v>1171</v>
      </c>
      <c r="K75" s="376"/>
      <c r="L75" s="377">
        <f t="shared" si="0"/>
        <v>0</v>
      </c>
      <c r="M75" s="377">
        <f t="shared" si="1"/>
        <v>0</v>
      </c>
      <c r="N75" s="377">
        <f t="shared" si="2"/>
        <v>0</v>
      </c>
    </row>
    <row r="76" spans="1:14" s="1" customFormat="1" ht="12.75">
      <c r="A76" s="1" t="str">
        <f t="shared" si="6"/>
        <v>1042</v>
      </c>
      <c r="B76" s="374" t="s">
        <v>1209</v>
      </c>
      <c r="C76" s="3">
        <v>104</v>
      </c>
      <c r="D76" s="373" t="s">
        <v>180</v>
      </c>
      <c r="E76" s="4" t="s">
        <v>1198</v>
      </c>
      <c r="F76" s="374" t="s">
        <v>1185</v>
      </c>
      <c r="G76" s="374" t="s">
        <v>1186</v>
      </c>
      <c r="H76" s="375">
        <v>2</v>
      </c>
      <c r="I76" s="379">
        <v>1.92</v>
      </c>
      <c r="J76" s="376" t="s">
        <v>1171</v>
      </c>
      <c r="K76" s="376"/>
      <c r="L76" s="377">
        <f t="shared" si="0"/>
        <v>0</v>
      </c>
      <c r="M76" s="377">
        <f t="shared" si="1"/>
        <v>0</v>
      </c>
      <c r="N76" s="377">
        <f t="shared" si="2"/>
        <v>0</v>
      </c>
    </row>
    <row r="77" spans="1:14" s="1" customFormat="1" ht="12.75">
      <c r="A77" s="1" t="str">
        <f t="shared" si="6"/>
        <v>1042</v>
      </c>
      <c r="B77" s="374" t="s">
        <v>1209</v>
      </c>
      <c r="C77" s="3">
        <v>104</v>
      </c>
      <c r="D77" s="373" t="s">
        <v>180</v>
      </c>
      <c r="E77" s="4" t="s">
        <v>1198</v>
      </c>
      <c r="F77" s="374" t="s">
        <v>1187</v>
      </c>
      <c r="G77" s="374" t="s">
        <v>1186</v>
      </c>
      <c r="H77" s="375">
        <v>2</v>
      </c>
      <c r="I77" s="379">
        <v>1.92</v>
      </c>
      <c r="J77" s="376" t="s">
        <v>1171</v>
      </c>
      <c r="K77" s="376"/>
      <c r="L77" s="377">
        <f t="shared" si="0"/>
        <v>0</v>
      </c>
      <c r="M77" s="377">
        <f t="shared" si="1"/>
        <v>0</v>
      </c>
      <c r="N77" s="377">
        <f t="shared" si="2"/>
        <v>0</v>
      </c>
    </row>
    <row r="78" spans="1:14" s="1" customFormat="1" ht="12.75">
      <c r="A78" s="1" t="str">
        <f t="shared" si="6"/>
        <v>1042</v>
      </c>
      <c r="B78" s="374" t="s">
        <v>1209</v>
      </c>
      <c r="C78" s="3">
        <v>104</v>
      </c>
      <c r="D78" s="373" t="s">
        <v>180</v>
      </c>
      <c r="E78" s="4" t="s">
        <v>366</v>
      </c>
      <c r="F78" s="374" t="s">
        <v>1170</v>
      </c>
      <c r="G78" s="374" t="s">
        <v>1212</v>
      </c>
      <c r="H78" s="375">
        <v>2</v>
      </c>
      <c r="I78" s="379">
        <v>1.97</v>
      </c>
      <c r="J78" s="376" t="s">
        <v>1171</v>
      </c>
      <c r="K78" s="376"/>
      <c r="L78" s="377">
        <f t="shared" si="0"/>
        <v>0</v>
      </c>
      <c r="M78" s="377">
        <f t="shared" si="1"/>
        <v>0</v>
      </c>
      <c r="N78" s="377">
        <f t="shared" si="2"/>
        <v>0</v>
      </c>
    </row>
    <row r="79" spans="1:14" s="1" customFormat="1" ht="12.75">
      <c r="A79" s="1" t="str">
        <f t="shared" si="6"/>
        <v>1042</v>
      </c>
      <c r="B79" s="374" t="s">
        <v>1209</v>
      </c>
      <c r="C79" s="3">
        <v>104</v>
      </c>
      <c r="D79" s="373" t="s">
        <v>180</v>
      </c>
      <c r="E79" s="4" t="s">
        <v>366</v>
      </c>
      <c r="F79" s="374" t="s">
        <v>1170</v>
      </c>
      <c r="G79" s="374" t="s">
        <v>1213</v>
      </c>
      <c r="H79" s="375">
        <v>2</v>
      </c>
      <c r="I79" s="379">
        <v>1.97</v>
      </c>
      <c r="J79" s="376" t="s">
        <v>1171</v>
      </c>
      <c r="K79" s="376"/>
      <c r="L79" s="377">
        <f t="shared" si="0"/>
        <v>0</v>
      </c>
      <c r="M79" s="377">
        <f t="shared" si="1"/>
        <v>0</v>
      </c>
      <c r="N79" s="377">
        <f t="shared" si="2"/>
        <v>0</v>
      </c>
    </row>
    <row r="80" spans="1:14" s="1" customFormat="1" ht="12.75">
      <c r="B80" s="374" t="s">
        <v>1209</v>
      </c>
      <c r="C80" s="3">
        <v>104</v>
      </c>
      <c r="D80" s="373" t="s">
        <v>180</v>
      </c>
      <c r="E80" s="4"/>
      <c r="F80" s="374" t="s">
        <v>1185</v>
      </c>
      <c r="G80" s="374" t="s">
        <v>1951</v>
      </c>
      <c r="H80" s="375">
        <v>2</v>
      </c>
      <c r="I80" s="379">
        <v>22.7</v>
      </c>
      <c r="J80" s="376" t="s">
        <v>1171</v>
      </c>
      <c r="K80" s="376"/>
      <c r="L80" s="377">
        <f t="shared" si="0"/>
        <v>0</v>
      </c>
      <c r="M80" s="377">
        <f t="shared" si="1"/>
        <v>0</v>
      </c>
      <c r="N80" s="377">
        <f t="shared" si="2"/>
        <v>0</v>
      </c>
    </row>
    <row r="81" spans="1:14" s="1" customFormat="1" ht="12.75">
      <c r="B81" s="374" t="s">
        <v>1209</v>
      </c>
      <c r="C81" s="3">
        <v>104</v>
      </c>
      <c r="D81" s="373" t="s">
        <v>180</v>
      </c>
      <c r="E81" s="4"/>
      <c r="F81" s="374" t="s">
        <v>1187</v>
      </c>
      <c r="G81" s="374" t="s">
        <v>1951</v>
      </c>
      <c r="H81" s="375">
        <v>2</v>
      </c>
      <c r="I81" s="379">
        <v>22.7</v>
      </c>
      <c r="J81" s="376" t="s">
        <v>1171</v>
      </c>
      <c r="K81" s="376"/>
      <c r="L81" s="377">
        <f t="shared" ref="L81:L144" si="7">IF(J81="ja",VLOOKUP(F81,Glassoort2,2,0))*I81</f>
        <v>0</v>
      </c>
      <c r="M81" s="377">
        <f t="shared" ref="M81:M144" si="8">IF(J81="nee",VLOOKUP(F81,Glassoort2,3,0))*I81</f>
        <v>0</v>
      </c>
      <c r="N81" s="377">
        <f t="shared" si="2"/>
        <v>0</v>
      </c>
    </row>
    <row r="82" spans="1:14" s="1" customFormat="1" ht="12.75">
      <c r="B82" s="374" t="s">
        <v>1209</v>
      </c>
      <c r="C82" s="3">
        <v>104</v>
      </c>
      <c r="D82" s="373" t="s">
        <v>180</v>
      </c>
      <c r="E82" s="4"/>
      <c r="F82" s="374" t="s">
        <v>1185</v>
      </c>
      <c r="G82" s="374" t="s">
        <v>1952</v>
      </c>
      <c r="H82" s="375">
        <v>2</v>
      </c>
      <c r="I82" s="379">
        <v>1.92</v>
      </c>
      <c r="J82" s="376" t="s">
        <v>1171</v>
      </c>
      <c r="K82" s="376"/>
      <c r="L82" s="377">
        <f t="shared" si="7"/>
        <v>0</v>
      </c>
      <c r="M82" s="377">
        <f t="shared" si="8"/>
        <v>0</v>
      </c>
      <c r="N82" s="377">
        <f t="shared" ref="N82:N145" si="9">(M82*H82)+(L82*H82)</f>
        <v>0</v>
      </c>
    </row>
    <row r="83" spans="1:14" s="1" customFormat="1" ht="12.75">
      <c r="B83" s="374" t="s">
        <v>1209</v>
      </c>
      <c r="C83" s="3">
        <v>104</v>
      </c>
      <c r="D83" s="373" t="s">
        <v>180</v>
      </c>
      <c r="E83" s="4"/>
      <c r="F83" s="374" t="s">
        <v>1187</v>
      </c>
      <c r="G83" s="374" t="s">
        <v>1952</v>
      </c>
      <c r="H83" s="375">
        <v>2</v>
      </c>
      <c r="I83" s="379">
        <v>1.92</v>
      </c>
      <c r="J83" s="376" t="s">
        <v>1171</v>
      </c>
      <c r="K83" s="376"/>
      <c r="L83" s="377">
        <f t="shared" si="7"/>
        <v>0</v>
      </c>
      <c r="M83" s="377">
        <f t="shared" si="8"/>
        <v>0</v>
      </c>
      <c r="N83" s="377">
        <f t="shared" si="9"/>
        <v>0</v>
      </c>
    </row>
    <row r="84" spans="1:14" s="1" customFormat="1" ht="12.75">
      <c r="B84" s="374" t="s">
        <v>1209</v>
      </c>
      <c r="C84" s="3">
        <v>104</v>
      </c>
      <c r="D84" s="373" t="s">
        <v>180</v>
      </c>
      <c r="E84" s="4" t="s">
        <v>768</v>
      </c>
      <c r="F84" s="374" t="s">
        <v>1175</v>
      </c>
      <c r="G84" s="374" t="s">
        <v>1953</v>
      </c>
      <c r="H84" s="375">
        <v>2</v>
      </c>
      <c r="I84" s="379">
        <v>31.5</v>
      </c>
      <c r="J84" s="376" t="s">
        <v>1171</v>
      </c>
      <c r="K84" s="376"/>
      <c r="L84" s="377">
        <f t="shared" si="7"/>
        <v>0</v>
      </c>
      <c r="M84" s="377">
        <f t="shared" si="8"/>
        <v>0</v>
      </c>
      <c r="N84" s="377">
        <f t="shared" si="9"/>
        <v>0</v>
      </c>
    </row>
    <row r="85" spans="1:14" s="1" customFormat="1" ht="12.75">
      <c r="B85" s="374" t="s">
        <v>1209</v>
      </c>
      <c r="C85" s="3">
        <v>104</v>
      </c>
      <c r="D85" s="373" t="s">
        <v>180</v>
      </c>
      <c r="E85" s="4" t="s">
        <v>485</v>
      </c>
      <c r="F85" s="374" t="s">
        <v>1175</v>
      </c>
      <c r="G85" s="374" t="s">
        <v>1954</v>
      </c>
      <c r="H85" s="375">
        <v>2</v>
      </c>
      <c r="I85" s="379">
        <v>28.5</v>
      </c>
      <c r="J85" s="376" t="s">
        <v>1171</v>
      </c>
      <c r="K85" s="376"/>
      <c r="L85" s="377">
        <f t="shared" si="7"/>
        <v>0</v>
      </c>
      <c r="M85" s="377">
        <f t="shared" si="8"/>
        <v>0</v>
      </c>
      <c r="N85" s="377">
        <f t="shared" si="9"/>
        <v>0</v>
      </c>
    </row>
    <row r="86" spans="1:14" s="1" customFormat="1" ht="12.75">
      <c r="B86" s="374" t="s">
        <v>1209</v>
      </c>
      <c r="C86" s="3">
        <v>104</v>
      </c>
      <c r="D86" s="373" t="s">
        <v>180</v>
      </c>
      <c r="E86" s="4" t="s">
        <v>767</v>
      </c>
      <c r="F86" s="374" t="s">
        <v>1175</v>
      </c>
      <c r="G86" s="374" t="s">
        <v>1955</v>
      </c>
      <c r="H86" s="375">
        <v>2</v>
      </c>
      <c r="I86" s="379">
        <v>33</v>
      </c>
      <c r="J86" s="376" t="s">
        <v>1171</v>
      </c>
      <c r="K86" s="376"/>
      <c r="L86" s="377">
        <f t="shared" si="7"/>
        <v>0</v>
      </c>
      <c r="M86" s="377">
        <f t="shared" si="8"/>
        <v>0</v>
      </c>
      <c r="N86" s="377">
        <f t="shared" si="9"/>
        <v>0</v>
      </c>
    </row>
    <row r="87" spans="1:14" s="1" customFormat="1" ht="12.75">
      <c r="B87" s="374" t="s">
        <v>1209</v>
      </c>
      <c r="C87" s="3">
        <v>104</v>
      </c>
      <c r="D87" s="373" t="s">
        <v>180</v>
      </c>
      <c r="E87" s="4" t="s">
        <v>483</v>
      </c>
      <c r="F87" s="374" t="s">
        <v>1175</v>
      </c>
      <c r="G87" s="374" t="s">
        <v>1956</v>
      </c>
      <c r="H87" s="375">
        <v>2</v>
      </c>
      <c r="I87" s="379">
        <v>28.5</v>
      </c>
      <c r="J87" s="376" t="s">
        <v>1171</v>
      </c>
      <c r="K87" s="376"/>
      <c r="L87" s="377">
        <f t="shared" si="7"/>
        <v>0</v>
      </c>
      <c r="M87" s="377">
        <f t="shared" si="8"/>
        <v>0</v>
      </c>
      <c r="N87" s="377">
        <f t="shared" si="9"/>
        <v>0</v>
      </c>
    </row>
    <row r="88" spans="1:14" s="1" customFormat="1" ht="12.75">
      <c r="B88" s="374" t="s">
        <v>1209</v>
      </c>
      <c r="C88" s="3">
        <v>104</v>
      </c>
      <c r="D88" s="373" t="s">
        <v>180</v>
      </c>
      <c r="E88" s="4" t="s">
        <v>1214</v>
      </c>
      <c r="F88" s="374" t="s">
        <v>1182</v>
      </c>
      <c r="G88" s="374"/>
      <c r="H88" s="375">
        <v>2</v>
      </c>
      <c r="I88" s="379">
        <v>9.73</v>
      </c>
      <c r="J88" s="376" t="s">
        <v>1171</v>
      </c>
      <c r="K88" s="376"/>
      <c r="L88" s="377">
        <f t="shared" si="7"/>
        <v>0</v>
      </c>
      <c r="M88" s="377">
        <f t="shared" si="8"/>
        <v>0</v>
      </c>
      <c r="N88" s="377">
        <f t="shared" si="9"/>
        <v>0</v>
      </c>
    </row>
    <row r="89" spans="1:14" s="1" customFormat="1" ht="12.75">
      <c r="B89" s="374" t="s">
        <v>1209</v>
      </c>
      <c r="C89" s="3">
        <v>104</v>
      </c>
      <c r="D89" s="373" t="s">
        <v>180</v>
      </c>
      <c r="E89" s="4" t="s">
        <v>1214</v>
      </c>
      <c r="F89" s="374" t="s">
        <v>1184</v>
      </c>
      <c r="G89" s="374"/>
      <c r="H89" s="375">
        <v>2</v>
      </c>
      <c r="I89" s="379">
        <v>9.73</v>
      </c>
      <c r="J89" s="376" t="s">
        <v>1171</v>
      </c>
      <c r="K89" s="376"/>
      <c r="L89" s="377">
        <f t="shared" si="7"/>
        <v>0</v>
      </c>
      <c r="M89" s="377">
        <f t="shared" si="8"/>
        <v>0</v>
      </c>
      <c r="N89" s="377">
        <f t="shared" si="9"/>
        <v>0</v>
      </c>
    </row>
    <row r="90" spans="1:14" s="1" customFormat="1" ht="12.75">
      <c r="A90" s="1" t="str">
        <f>CONCATENATE(C90,H90)</f>
        <v>1042</v>
      </c>
      <c r="B90" s="374" t="s">
        <v>1209</v>
      </c>
      <c r="C90" s="3">
        <v>104</v>
      </c>
      <c r="D90" s="373" t="s">
        <v>180</v>
      </c>
      <c r="E90" s="4" t="s">
        <v>1214</v>
      </c>
      <c r="F90" s="374" t="s">
        <v>1185</v>
      </c>
      <c r="G90" s="374" t="s">
        <v>1186</v>
      </c>
      <c r="H90" s="375">
        <v>2</v>
      </c>
      <c r="I90" s="379">
        <v>1.92</v>
      </c>
      <c r="J90" s="376" t="s">
        <v>1171</v>
      </c>
      <c r="K90" s="376"/>
      <c r="L90" s="377">
        <f t="shared" si="7"/>
        <v>0</v>
      </c>
      <c r="M90" s="377">
        <f t="shared" si="8"/>
        <v>0</v>
      </c>
      <c r="N90" s="377">
        <f t="shared" si="9"/>
        <v>0</v>
      </c>
    </row>
    <row r="91" spans="1:14" s="1" customFormat="1" ht="12.75">
      <c r="A91" s="1" t="str">
        <f>CONCATENATE(C91,H91)</f>
        <v>1042</v>
      </c>
      <c r="B91" s="374" t="s">
        <v>1209</v>
      </c>
      <c r="C91" s="3">
        <v>104</v>
      </c>
      <c r="D91" s="373" t="s">
        <v>180</v>
      </c>
      <c r="E91" s="4" t="s">
        <v>1214</v>
      </c>
      <c r="F91" s="374" t="s">
        <v>1187</v>
      </c>
      <c r="G91" s="374" t="s">
        <v>1186</v>
      </c>
      <c r="H91" s="375">
        <v>2</v>
      </c>
      <c r="I91" s="379">
        <v>1.92</v>
      </c>
      <c r="J91" s="376" t="s">
        <v>1171</v>
      </c>
      <c r="K91" s="376"/>
      <c r="L91" s="377">
        <f t="shared" si="7"/>
        <v>0</v>
      </c>
      <c r="M91" s="377">
        <f t="shared" si="8"/>
        <v>0</v>
      </c>
      <c r="N91" s="377">
        <f t="shared" si="9"/>
        <v>0</v>
      </c>
    </row>
    <row r="92" spans="1:14" s="1" customFormat="1" ht="12.75">
      <c r="B92" s="374" t="s">
        <v>1209</v>
      </c>
      <c r="C92" s="3">
        <v>104</v>
      </c>
      <c r="D92" s="373" t="s">
        <v>180</v>
      </c>
      <c r="E92" s="4" t="s">
        <v>1215</v>
      </c>
      <c r="F92" s="374" t="s">
        <v>1182</v>
      </c>
      <c r="G92" s="374"/>
      <c r="H92" s="375">
        <v>2</v>
      </c>
      <c r="I92" s="379">
        <v>9.73</v>
      </c>
      <c r="J92" s="376" t="s">
        <v>1171</v>
      </c>
      <c r="K92" s="376"/>
      <c r="L92" s="377">
        <f t="shared" si="7"/>
        <v>0</v>
      </c>
      <c r="M92" s="377">
        <f t="shared" si="8"/>
        <v>0</v>
      </c>
      <c r="N92" s="377">
        <f t="shared" si="9"/>
        <v>0</v>
      </c>
    </row>
    <row r="93" spans="1:14" s="1" customFormat="1" ht="12.75">
      <c r="B93" s="374" t="s">
        <v>1209</v>
      </c>
      <c r="C93" s="3">
        <v>104</v>
      </c>
      <c r="D93" s="373" t="s">
        <v>180</v>
      </c>
      <c r="E93" s="4" t="s">
        <v>1215</v>
      </c>
      <c r="F93" s="374" t="s">
        <v>1184</v>
      </c>
      <c r="G93" s="374"/>
      <c r="H93" s="375">
        <v>2</v>
      </c>
      <c r="I93" s="379">
        <v>9.73</v>
      </c>
      <c r="J93" s="376" t="s">
        <v>1171</v>
      </c>
      <c r="K93" s="376"/>
      <c r="L93" s="377">
        <f t="shared" si="7"/>
        <v>0</v>
      </c>
      <c r="M93" s="377">
        <f t="shared" si="8"/>
        <v>0</v>
      </c>
      <c r="N93" s="377">
        <f t="shared" si="9"/>
        <v>0</v>
      </c>
    </row>
    <row r="94" spans="1:14" s="1" customFormat="1" ht="12.75">
      <c r="A94" s="1" t="str">
        <f t="shared" ref="A94:A102" si="10">CONCATENATE(C94,H94)</f>
        <v>1042</v>
      </c>
      <c r="B94" s="374" t="s">
        <v>1209</v>
      </c>
      <c r="C94" s="3">
        <v>104</v>
      </c>
      <c r="D94" s="373" t="s">
        <v>180</v>
      </c>
      <c r="E94" s="4" t="s">
        <v>1215</v>
      </c>
      <c r="F94" s="374" t="s">
        <v>1185</v>
      </c>
      <c r="G94" s="374" t="s">
        <v>1186</v>
      </c>
      <c r="H94" s="375">
        <v>2</v>
      </c>
      <c r="I94" s="379">
        <v>1.92</v>
      </c>
      <c r="J94" s="376" t="s">
        <v>1171</v>
      </c>
      <c r="K94" s="376"/>
      <c r="L94" s="377">
        <f t="shared" si="7"/>
        <v>0</v>
      </c>
      <c r="M94" s="377">
        <f t="shared" si="8"/>
        <v>0</v>
      </c>
      <c r="N94" s="377">
        <f t="shared" si="9"/>
        <v>0</v>
      </c>
    </row>
    <row r="95" spans="1:14" s="1" customFormat="1" ht="12.75">
      <c r="A95" s="1" t="str">
        <f t="shared" si="10"/>
        <v>1042</v>
      </c>
      <c r="B95" s="374" t="s">
        <v>1209</v>
      </c>
      <c r="C95" s="3">
        <v>104</v>
      </c>
      <c r="D95" s="373" t="s">
        <v>180</v>
      </c>
      <c r="E95" s="4" t="s">
        <v>1215</v>
      </c>
      <c r="F95" s="374" t="s">
        <v>1187</v>
      </c>
      <c r="G95" s="374" t="s">
        <v>1186</v>
      </c>
      <c r="H95" s="375">
        <v>2</v>
      </c>
      <c r="I95" s="379">
        <v>1.92</v>
      </c>
      <c r="J95" s="376" t="s">
        <v>1171</v>
      </c>
      <c r="K95" s="376"/>
      <c r="L95" s="377">
        <f t="shared" si="7"/>
        <v>0</v>
      </c>
      <c r="M95" s="377">
        <f t="shared" si="8"/>
        <v>0</v>
      </c>
      <c r="N95" s="377">
        <f t="shared" si="9"/>
        <v>0</v>
      </c>
    </row>
    <row r="96" spans="1:14" s="1" customFormat="1" ht="12.75">
      <c r="A96" s="1" t="str">
        <f t="shared" si="10"/>
        <v>1042</v>
      </c>
      <c r="B96" s="374" t="s">
        <v>1209</v>
      </c>
      <c r="C96" s="3">
        <v>104</v>
      </c>
      <c r="D96" s="373" t="s">
        <v>180</v>
      </c>
      <c r="E96" s="4"/>
      <c r="F96" s="374" t="s">
        <v>1222</v>
      </c>
      <c r="G96" s="374" t="s">
        <v>1402</v>
      </c>
      <c r="H96" s="375">
        <v>2</v>
      </c>
      <c r="I96" s="379">
        <v>155</v>
      </c>
      <c r="J96" s="376" t="s">
        <v>1171</v>
      </c>
      <c r="K96" s="376"/>
      <c r="L96" s="377">
        <f t="shared" si="7"/>
        <v>0</v>
      </c>
      <c r="M96" s="377">
        <f t="shared" si="8"/>
        <v>0</v>
      </c>
      <c r="N96" s="377">
        <f t="shared" si="9"/>
        <v>0</v>
      </c>
    </row>
    <row r="97" spans="1:14" s="1" customFormat="1" ht="12.75">
      <c r="A97" s="1" t="str">
        <f t="shared" si="10"/>
        <v>1042</v>
      </c>
      <c r="B97" s="374" t="s">
        <v>1209</v>
      </c>
      <c r="C97" s="3">
        <v>104</v>
      </c>
      <c r="D97" s="373" t="s">
        <v>180</v>
      </c>
      <c r="E97" s="4"/>
      <c r="F97" s="374" t="s">
        <v>1225</v>
      </c>
      <c r="G97" s="374" t="s">
        <v>1403</v>
      </c>
      <c r="H97" s="375">
        <v>2</v>
      </c>
      <c r="I97" s="379">
        <v>155</v>
      </c>
      <c r="J97" s="376" t="s">
        <v>1171</v>
      </c>
      <c r="K97" s="376"/>
      <c r="L97" s="377">
        <f t="shared" si="7"/>
        <v>0</v>
      </c>
      <c r="M97" s="377">
        <f t="shared" si="8"/>
        <v>0</v>
      </c>
      <c r="N97" s="377">
        <f t="shared" si="9"/>
        <v>0</v>
      </c>
    </row>
    <row r="98" spans="1:14" s="1" customFormat="1" ht="12.75">
      <c r="A98" s="1" t="str">
        <f t="shared" si="10"/>
        <v>1042</v>
      </c>
      <c r="B98" s="374" t="s">
        <v>1209</v>
      </c>
      <c r="C98" s="3">
        <v>104</v>
      </c>
      <c r="D98" s="373" t="s">
        <v>180</v>
      </c>
      <c r="E98" s="4"/>
      <c r="F98" s="374" t="s">
        <v>1222</v>
      </c>
      <c r="G98" s="374" t="s">
        <v>1402</v>
      </c>
      <c r="H98" s="375">
        <v>2</v>
      </c>
      <c r="I98" s="379">
        <v>155</v>
      </c>
      <c r="J98" s="376" t="s">
        <v>1171</v>
      </c>
      <c r="K98" s="376"/>
      <c r="L98" s="377">
        <f t="shared" si="7"/>
        <v>0</v>
      </c>
      <c r="M98" s="377">
        <f t="shared" si="8"/>
        <v>0</v>
      </c>
      <c r="N98" s="377">
        <f t="shared" si="9"/>
        <v>0</v>
      </c>
    </row>
    <row r="99" spans="1:14" s="1" customFormat="1" ht="12.75">
      <c r="A99" s="1" t="str">
        <f t="shared" si="10"/>
        <v>1042</v>
      </c>
      <c r="B99" s="374" t="s">
        <v>1209</v>
      </c>
      <c r="C99" s="3">
        <v>104</v>
      </c>
      <c r="D99" s="373" t="s">
        <v>180</v>
      </c>
      <c r="E99" s="4"/>
      <c r="F99" s="374" t="s">
        <v>1225</v>
      </c>
      <c r="G99" s="374" t="s">
        <v>1403</v>
      </c>
      <c r="H99" s="375">
        <v>2</v>
      </c>
      <c r="I99" s="379">
        <v>155</v>
      </c>
      <c r="J99" s="376" t="s">
        <v>1171</v>
      </c>
      <c r="K99" s="376"/>
      <c r="L99" s="377">
        <f t="shared" si="7"/>
        <v>0</v>
      </c>
      <c r="M99" s="377">
        <f t="shared" si="8"/>
        <v>0</v>
      </c>
      <c r="N99" s="377">
        <f t="shared" si="9"/>
        <v>0</v>
      </c>
    </row>
    <row r="100" spans="1:14" s="1" customFormat="1" ht="12.75">
      <c r="A100" s="1" t="str">
        <f t="shared" si="10"/>
        <v>10426</v>
      </c>
      <c r="B100" s="374" t="s">
        <v>1209</v>
      </c>
      <c r="C100" s="3">
        <v>104</v>
      </c>
      <c r="D100" s="373" t="s">
        <v>180</v>
      </c>
      <c r="E100" s="4"/>
      <c r="F100" s="374" t="s">
        <v>1172</v>
      </c>
      <c r="G100" s="374" t="s">
        <v>1320</v>
      </c>
      <c r="H100" s="375">
        <v>26</v>
      </c>
      <c r="I100" s="379">
        <v>60</v>
      </c>
      <c r="J100" s="376" t="s">
        <v>1171</v>
      </c>
      <c r="K100" s="376" t="s">
        <v>1321</v>
      </c>
      <c r="L100" s="377">
        <f t="shared" si="7"/>
        <v>0</v>
      </c>
      <c r="M100" s="377">
        <f t="shared" si="8"/>
        <v>0</v>
      </c>
      <c r="N100" s="377">
        <f t="shared" si="9"/>
        <v>0</v>
      </c>
    </row>
    <row r="101" spans="1:14" s="1" customFormat="1" ht="12.75">
      <c r="A101" s="1" t="str">
        <f t="shared" si="10"/>
        <v>1052</v>
      </c>
      <c r="B101" s="374" t="s">
        <v>1216</v>
      </c>
      <c r="C101" s="3">
        <v>105</v>
      </c>
      <c r="D101" s="373" t="s">
        <v>180</v>
      </c>
      <c r="E101" s="4" t="s">
        <v>367</v>
      </c>
      <c r="F101" s="374" t="s">
        <v>1173</v>
      </c>
      <c r="G101" s="374" t="s">
        <v>1217</v>
      </c>
      <c r="H101" s="375">
        <v>2</v>
      </c>
      <c r="I101" s="379">
        <v>93.67</v>
      </c>
      <c r="J101" s="376" t="s">
        <v>1171</v>
      </c>
      <c r="K101" s="376"/>
      <c r="L101" s="377">
        <f t="shared" si="7"/>
        <v>0</v>
      </c>
      <c r="M101" s="377">
        <f t="shared" si="8"/>
        <v>0</v>
      </c>
      <c r="N101" s="377">
        <f t="shared" si="9"/>
        <v>0</v>
      </c>
    </row>
    <row r="102" spans="1:14" s="1" customFormat="1" ht="12.75">
      <c r="A102" s="1" t="str">
        <f t="shared" si="10"/>
        <v>1052</v>
      </c>
      <c r="B102" s="374" t="s">
        <v>1216</v>
      </c>
      <c r="C102" s="3">
        <v>105</v>
      </c>
      <c r="D102" s="373" t="s">
        <v>180</v>
      </c>
      <c r="E102" s="4" t="s">
        <v>367</v>
      </c>
      <c r="F102" s="374" t="s">
        <v>1170</v>
      </c>
      <c r="G102" s="374" t="s">
        <v>1218</v>
      </c>
      <c r="H102" s="375">
        <v>2</v>
      </c>
      <c r="I102" s="379">
        <v>93.67</v>
      </c>
      <c r="J102" s="376" t="s">
        <v>1171</v>
      </c>
      <c r="K102" s="376"/>
      <c r="L102" s="377">
        <f t="shared" si="7"/>
        <v>0</v>
      </c>
      <c r="M102" s="377">
        <f t="shared" si="8"/>
        <v>0</v>
      </c>
      <c r="N102" s="377">
        <f t="shared" si="9"/>
        <v>0</v>
      </c>
    </row>
    <row r="103" spans="1:14" s="1" customFormat="1" ht="12.75">
      <c r="B103" s="374" t="s">
        <v>1216</v>
      </c>
      <c r="C103" s="3">
        <v>105</v>
      </c>
      <c r="D103" s="373" t="s">
        <v>180</v>
      </c>
      <c r="E103" s="4"/>
      <c r="F103" s="374" t="s">
        <v>1185</v>
      </c>
      <c r="G103" s="374" t="s">
        <v>1957</v>
      </c>
      <c r="H103" s="375">
        <v>2</v>
      </c>
      <c r="I103" s="379">
        <v>1.92</v>
      </c>
      <c r="J103" s="376" t="s">
        <v>1171</v>
      </c>
      <c r="K103" s="376"/>
      <c r="L103" s="377">
        <f t="shared" si="7"/>
        <v>0</v>
      </c>
      <c r="M103" s="377">
        <f t="shared" si="8"/>
        <v>0</v>
      </c>
      <c r="N103" s="377">
        <f t="shared" si="9"/>
        <v>0</v>
      </c>
    </row>
    <row r="104" spans="1:14" s="1" customFormat="1" ht="12.75">
      <c r="B104" s="374" t="s">
        <v>1216</v>
      </c>
      <c r="C104" s="3">
        <v>105</v>
      </c>
      <c r="D104" s="373" t="s">
        <v>180</v>
      </c>
      <c r="E104" s="4"/>
      <c r="F104" s="374" t="s">
        <v>1187</v>
      </c>
      <c r="G104" s="374" t="s">
        <v>1957</v>
      </c>
      <c r="H104" s="375">
        <v>2</v>
      </c>
      <c r="I104" s="379">
        <v>1.92</v>
      </c>
      <c r="J104" s="376" t="s">
        <v>1171</v>
      </c>
      <c r="K104" s="376"/>
      <c r="L104" s="377">
        <f t="shared" si="7"/>
        <v>0</v>
      </c>
      <c r="M104" s="377">
        <f t="shared" si="8"/>
        <v>0</v>
      </c>
      <c r="N104" s="377">
        <f t="shared" si="9"/>
        <v>0</v>
      </c>
    </row>
    <row r="105" spans="1:14" s="1" customFormat="1" ht="12.75">
      <c r="A105" s="1" t="str">
        <f t="shared" ref="A105:A112" si="11">CONCATENATE(C105,H105)</f>
        <v>1052</v>
      </c>
      <c r="B105" s="374" t="s">
        <v>1216</v>
      </c>
      <c r="C105" s="3">
        <v>105</v>
      </c>
      <c r="D105" s="373" t="s">
        <v>180</v>
      </c>
      <c r="E105" s="4" t="s">
        <v>174</v>
      </c>
      <c r="F105" s="374" t="s">
        <v>1182</v>
      </c>
      <c r="G105" s="374" t="s">
        <v>1958</v>
      </c>
      <c r="H105" s="375">
        <v>2</v>
      </c>
      <c r="I105" s="379">
        <v>6</v>
      </c>
      <c r="J105" s="376" t="s">
        <v>1171</v>
      </c>
      <c r="K105" s="376"/>
      <c r="L105" s="377">
        <f t="shared" si="7"/>
        <v>0</v>
      </c>
      <c r="M105" s="377">
        <f t="shared" si="8"/>
        <v>0</v>
      </c>
      <c r="N105" s="377">
        <f t="shared" si="9"/>
        <v>0</v>
      </c>
    </row>
    <row r="106" spans="1:14" s="1" customFormat="1" ht="12.75">
      <c r="A106" s="1" t="str">
        <f t="shared" si="11"/>
        <v>1052</v>
      </c>
      <c r="B106" s="374" t="s">
        <v>1216</v>
      </c>
      <c r="C106" s="3">
        <v>105</v>
      </c>
      <c r="D106" s="373" t="s">
        <v>180</v>
      </c>
      <c r="E106" s="4" t="s">
        <v>174</v>
      </c>
      <c r="F106" s="374" t="s">
        <v>1184</v>
      </c>
      <c r="G106" s="374" t="s">
        <v>1958</v>
      </c>
      <c r="H106" s="375">
        <v>2</v>
      </c>
      <c r="I106" s="379">
        <v>6</v>
      </c>
      <c r="J106" s="376" t="s">
        <v>1171</v>
      </c>
      <c r="K106" s="376"/>
      <c r="L106" s="377">
        <f t="shared" si="7"/>
        <v>0</v>
      </c>
      <c r="M106" s="377">
        <f t="shared" si="8"/>
        <v>0</v>
      </c>
      <c r="N106" s="377">
        <f t="shared" si="9"/>
        <v>0</v>
      </c>
    </row>
    <row r="107" spans="1:14" s="1" customFormat="1" ht="12.75">
      <c r="A107" s="1" t="str">
        <f t="shared" si="11"/>
        <v>1052</v>
      </c>
      <c r="B107" s="374" t="s">
        <v>1216</v>
      </c>
      <c r="C107" s="3">
        <v>105</v>
      </c>
      <c r="D107" s="373" t="s">
        <v>180</v>
      </c>
      <c r="E107" s="4" t="s">
        <v>363</v>
      </c>
      <c r="F107" s="374" t="s">
        <v>1173</v>
      </c>
      <c r="G107" s="374" t="s">
        <v>1217</v>
      </c>
      <c r="H107" s="375">
        <v>2</v>
      </c>
      <c r="I107" s="379">
        <v>82.34</v>
      </c>
      <c r="J107" s="376" t="s">
        <v>1171</v>
      </c>
      <c r="K107" s="376"/>
      <c r="L107" s="377">
        <f t="shared" si="7"/>
        <v>0</v>
      </c>
      <c r="M107" s="377">
        <f t="shared" si="8"/>
        <v>0</v>
      </c>
      <c r="N107" s="377">
        <f t="shared" si="9"/>
        <v>0</v>
      </c>
    </row>
    <row r="108" spans="1:14" s="1" customFormat="1" ht="12.75">
      <c r="A108" s="1" t="str">
        <f t="shared" si="11"/>
        <v>1052</v>
      </c>
      <c r="B108" s="374" t="s">
        <v>1216</v>
      </c>
      <c r="C108" s="3">
        <v>105</v>
      </c>
      <c r="D108" s="373" t="s">
        <v>180</v>
      </c>
      <c r="E108" s="4" t="s">
        <v>363</v>
      </c>
      <c r="F108" s="374" t="s">
        <v>1170</v>
      </c>
      <c r="G108" s="374" t="s">
        <v>1218</v>
      </c>
      <c r="H108" s="375">
        <v>2</v>
      </c>
      <c r="I108" s="379">
        <v>82.34</v>
      </c>
      <c r="J108" s="376" t="s">
        <v>1171</v>
      </c>
      <c r="K108" s="376"/>
      <c r="L108" s="377">
        <f t="shared" si="7"/>
        <v>0</v>
      </c>
      <c r="M108" s="377">
        <f t="shared" si="8"/>
        <v>0</v>
      </c>
      <c r="N108" s="377">
        <f t="shared" si="9"/>
        <v>0</v>
      </c>
    </row>
    <row r="109" spans="1:14" s="1" customFormat="1" ht="12.75">
      <c r="A109" s="1" t="str">
        <f t="shared" si="11"/>
        <v>1052</v>
      </c>
      <c r="B109" s="374" t="s">
        <v>1216</v>
      </c>
      <c r="C109" s="3">
        <v>105</v>
      </c>
      <c r="D109" s="373" t="s">
        <v>180</v>
      </c>
      <c r="E109" s="4" t="s">
        <v>377</v>
      </c>
      <c r="F109" s="374" t="s">
        <v>1173</v>
      </c>
      <c r="G109" s="374" t="s">
        <v>1217</v>
      </c>
      <c r="H109" s="375">
        <v>2</v>
      </c>
      <c r="I109" s="379">
        <v>50.41</v>
      </c>
      <c r="J109" s="376" t="s">
        <v>1171</v>
      </c>
      <c r="K109" s="376"/>
      <c r="L109" s="377">
        <f t="shared" si="7"/>
        <v>0</v>
      </c>
      <c r="M109" s="377">
        <f t="shared" si="8"/>
        <v>0</v>
      </c>
      <c r="N109" s="377">
        <f t="shared" si="9"/>
        <v>0</v>
      </c>
    </row>
    <row r="110" spans="1:14" s="1" customFormat="1" ht="12.75">
      <c r="A110" s="1" t="str">
        <f t="shared" si="11"/>
        <v>1052</v>
      </c>
      <c r="B110" s="374" t="s">
        <v>1216</v>
      </c>
      <c r="C110" s="3">
        <v>105</v>
      </c>
      <c r="D110" s="373" t="s">
        <v>180</v>
      </c>
      <c r="E110" s="4" t="s">
        <v>377</v>
      </c>
      <c r="F110" s="374" t="s">
        <v>1170</v>
      </c>
      <c r="G110" s="374" t="s">
        <v>1218</v>
      </c>
      <c r="H110" s="375">
        <v>2</v>
      </c>
      <c r="I110" s="379">
        <v>50.41</v>
      </c>
      <c r="J110" s="376" t="s">
        <v>1171</v>
      </c>
      <c r="K110" s="376"/>
      <c r="L110" s="377">
        <f t="shared" si="7"/>
        <v>0</v>
      </c>
      <c r="M110" s="377">
        <f t="shared" si="8"/>
        <v>0</v>
      </c>
      <c r="N110" s="377">
        <f t="shared" si="9"/>
        <v>0</v>
      </c>
    </row>
    <row r="111" spans="1:14" s="1" customFormat="1" ht="12.75">
      <c r="A111" s="1" t="str">
        <f t="shared" si="11"/>
        <v>1052</v>
      </c>
      <c r="B111" s="374" t="s">
        <v>1216</v>
      </c>
      <c r="C111" s="3">
        <v>105</v>
      </c>
      <c r="D111" s="373" t="s">
        <v>180</v>
      </c>
      <c r="E111" s="4" t="s">
        <v>733</v>
      </c>
      <c r="F111" s="374" t="s">
        <v>1173</v>
      </c>
      <c r="G111" s="374" t="s">
        <v>1217</v>
      </c>
      <c r="H111" s="375">
        <v>2</v>
      </c>
      <c r="I111" s="379">
        <v>50.41</v>
      </c>
      <c r="J111" s="376" t="s">
        <v>1171</v>
      </c>
      <c r="K111" s="376"/>
      <c r="L111" s="377">
        <f t="shared" si="7"/>
        <v>0</v>
      </c>
      <c r="M111" s="377">
        <f t="shared" si="8"/>
        <v>0</v>
      </c>
      <c r="N111" s="377">
        <f t="shared" si="9"/>
        <v>0</v>
      </c>
    </row>
    <row r="112" spans="1:14" s="1" customFormat="1" ht="12.75">
      <c r="A112" s="1" t="str">
        <f t="shared" si="11"/>
        <v>1052</v>
      </c>
      <c r="B112" s="374" t="s">
        <v>1216</v>
      </c>
      <c r="C112" s="3">
        <v>105</v>
      </c>
      <c r="D112" s="373" t="s">
        <v>180</v>
      </c>
      <c r="E112" s="4" t="s">
        <v>733</v>
      </c>
      <c r="F112" s="374" t="s">
        <v>1170</v>
      </c>
      <c r="G112" s="374" t="s">
        <v>1218</v>
      </c>
      <c r="H112" s="375">
        <v>2</v>
      </c>
      <c r="I112" s="379">
        <v>50.41</v>
      </c>
      <c r="J112" s="376" t="s">
        <v>1171</v>
      </c>
      <c r="K112" s="376"/>
      <c r="L112" s="377">
        <f t="shared" si="7"/>
        <v>0</v>
      </c>
      <c r="M112" s="377">
        <f t="shared" si="8"/>
        <v>0</v>
      </c>
      <c r="N112" s="377">
        <f t="shared" si="9"/>
        <v>0</v>
      </c>
    </row>
    <row r="113" spans="1:14" s="1" customFormat="1" ht="12.75">
      <c r="B113" s="374" t="s">
        <v>1216</v>
      </c>
      <c r="C113" s="3">
        <v>105</v>
      </c>
      <c r="D113" s="373" t="s">
        <v>180</v>
      </c>
      <c r="E113" s="4" t="s">
        <v>1959</v>
      </c>
      <c r="F113" s="374" t="s">
        <v>1175</v>
      </c>
      <c r="G113" s="374" t="s">
        <v>1960</v>
      </c>
      <c r="H113" s="375">
        <v>2</v>
      </c>
      <c r="I113" s="379">
        <v>40</v>
      </c>
      <c r="J113" s="376" t="s">
        <v>1171</v>
      </c>
      <c r="K113" s="376"/>
      <c r="L113" s="377">
        <f t="shared" si="7"/>
        <v>0</v>
      </c>
      <c r="M113" s="377">
        <f t="shared" si="8"/>
        <v>0</v>
      </c>
      <c r="N113" s="377">
        <f t="shared" si="9"/>
        <v>0</v>
      </c>
    </row>
    <row r="114" spans="1:14" s="1" customFormat="1" ht="12.75">
      <c r="A114" s="1" t="str">
        <f>CONCATENATE(C114,H114)</f>
        <v>1052</v>
      </c>
      <c r="B114" s="374" t="s">
        <v>1216</v>
      </c>
      <c r="C114" s="3">
        <v>105</v>
      </c>
      <c r="D114" s="373" t="s">
        <v>180</v>
      </c>
      <c r="E114" s="4" t="s">
        <v>1219</v>
      </c>
      <c r="F114" s="374" t="s">
        <v>1182</v>
      </c>
      <c r="G114" s="374" t="s">
        <v>1183</v>
      </c>
      <c r="H114" s="375">
        <v>2</v>
      </c>
      <c r="I114" s="379">
        <v>5.86</v>
      </c>
      <c r="J114" s="376" t="s">
        <v>1171</v>
      </c>
      <c r="K114" s="376"/>
      <c r="L114" s="377">
        <f t="shared" si="7"/>
        <v>0</v>
      </c>
      <c r="M114" s="377">
        <f t="shared" si="8"/>
        <v>0</v>
      </c>
      <c r="N114" s="377">
        <f t="shared" si="9"/>
        <v>0</v>
      </c>
    </row>
    <row r="115" spans="1:14" s="1" customFormat="1" ht="12.75">
      <c r="A115" s="1" t="str">
        <f>CONCATENATE(C115,H115)</f>
        <v>1052</v>
      </c>
      <c r="B115" s="374" t="s">
        <v>1216</v>
      </c>
      <c r="C115" s="3">
        <v>105</v>
      </c>
      <c r="D115" s="373" t="s">
        <v>180</v>
      </c>
      <c r="E115" s="4" t="s">
        <v>1219</v>
      </c>
      <c r="F115" s="374" t="s">
        <v>1184</v>
      </c>
      <c r="G115" s="374" t="s">
        <v>1183</v>
      </c>
      <c r="H115" s="375">
        <v>2</v>
      </c>
      <c r="I115" s="379">
        <v>5.86</v>
      </c>
      <c r="J115" s="376" t="s">
        <v>1171</v>
      </c>
      <c r="K115" s="376"/>
      <c r="L115" s="377">
        <f t="shared" si="7"/>
        <v>0</v>
      </c>
      <c r="M115" s="377">
        <f t="shared" si="8"/>
        <v>0</v>
      </c>
      <c r="N115" s="377">
        <f t="shared" si="9"/>
        <v>0</v>
      </c>
    </row>
    <row r="116" spans="1:14" s="1" customFormat="1" ht="12.75">
      <c r="B116" s="374" t="s">
        <v>1216</v>
      </c>
      <c r="C116" s="3">
        <v>105</v>
      </c>
      <c r="D116" s="373" t="s">
        <v>180</v>
      </c>
      <c r="E116" s="4" t="s">
        <v>1219</v>
      </c>
      <c r="F116" s="374" t="s">
        <v>1185</v>
      </c>
      <c r="G116" s="374" t="s">
        <v>1961</v>
      </c>
      <c r="H116" s="375">
        <v>2</v>
      </c>
      <c r="I116" s="379">
        <v>1.92</v>
      </c>
      <c r="J116" s="376" t="s">
        <v>1171</v>
      </c>
      <c r="K116" s="376"/>
      <c r="L116" s="377">
        <f t="shared" si="7"/>
        <v>0</v>
      </c>
      <c r="M116" s="377">
        <f t="shared" si="8"/>
        <v>0</v>
      </c>
      <c r="N116" s="377">
        <f t="shared" si="9"/>
        <v>0</v>
      </c>
    </row>
    <row r="117" spans="1:14" s="1" customFormat="1" ht="12.75">
      <c r="B117" s="374" t="s">
        <v>1216</v>
      </c>
      <c r="C117" s="3">
        <v>105</v>
      </c>
      <c r="D117" s="373" t="s">
        <v>180</v>
      </c>
      <c r="E117" s="4" t="s">
        <v>1219</v>
      </c>
      <c r="F117" s="374" t="s">
        <v>1187</v>
      </c>
      <c r="G117" s="374" t="s">
        <v>1961</v>
      </c>
      <c r="H117" s="375">
        <v>2</v>
      </c>
      <c r="I117" s="379">
        <v>1.92</v>
      </c>
      <c r="J117" s="376" t="s">
        <v>1171</v>
      </c>
      <c r="K117" s="376"/>
      <c r="L117" s="377">
        <f t="shared" si="7"/>
        <v>0</v>
      </c>
      <c r="M117" s="377">
        <f t="shared" si="8"/>
        <v>0</v>
      </c>
      <c r="N117" s="377">
        <f t="shared" si="9"/>
        <v>0</v>
      </c>
    </row>
    <row r="118" spans="1:14" s="1" customFormat="1" ht="12.75">
      <c r="A118" s="1" t="str">
        <f t="shared" ref="A118:A132" si="12">CONCATENATE(C118,H118)</f>
        <v>10526</v>
      </c>
      <c r="B118" s="374" t="s">
        <v>1216</v>
      </c>
      <c r="C118" s="3">
        <v>105</v>
      </c>
      <c r="D118" s="373" t="s">
        <v>180</v>
      </c>
      <c r="E118" s="4"/>
      <c r="F118" s="374" t="s">
        <v>1172</v>
      </c>
      <c r="G118" s="374" t="s">
        <v>1320</v>
      </c>
      <c r="H118" s="375">
        <v>26</v>
      </c>
      <c r="I118" s="379">
        <f>44.71</f>
        <v>44.71</v>
      </c>
      <c r="J118" s="376" t="s">
        <v>1171</v>
      </c>
      <c r="K118" s="376" t="s">
        <v>1321</v>
      </c>
      <c r="L118" s="377">
        <f t="shared" si="7"/>
        <v>0</v>
      </c>
      <c r="M118" s="377">
        <f t="shared" si="8"/>
        <v>0</v>
      </c>
      <c r="N118" s="377">
        <f t="shared" si="9"/>
        <v>0</v>
      </c>
    </row>
    <row r="119" spans="1:14" s="1" customFormat="1" ht="12.75">
      <c r="A119" s="1" t="str">
        <f t="shared" si="12"/>
        <v>1072</v>
      </c>
      <c r="B119" s="374" t="s">
        <v>289</v>
      </c>
      <c r="C119" s="3">
        <v>107</v>
      </c>
      <c r="D119" s="373" t="s">
        <v>22</v>
      </c>
      <c r="E119" s="378" t="s">
        <v>63</v>
      </c>
      <c r="F119" s="374" t="s">
        <v>1172</v>
      </c>
      <c r="G119" s="374" t="s">
        <v>1220</v>
      </c>
      <c r="H119" s="375">
        <v>2</v>
      </c>
      <c r="I119" s="379">
        <f>6*2*2</f>
        <v>24</v>
      </c>
      <c r="J119" s="376" t="s">
        <v>1174</v>
      </c>
      <c r="K119" s="376"/>
      <c r="L119" s="377">
        <f t="shared" si="7"/>
        <v>0</v>
      </c>
      <c r="M119" s="377">
        <f t="shared" si="8"/>
        <v>0</v>
      </c>
      <c r="N119" s="377">
        <f t="shared" si="9"/>
        <v>0</v>
      </c>
    </row>
    <row r="120" spans="1:14" s="1" customFormat="1" ht="12.75">
      <c r="A120" s="1" t="str">
        <f t="shared" si="12"/>
        <v>1072</v>
      </c>
      <c r="B120" s="374" t="s">
        <v>289</v>
      </c>
      <c r="C120" s="3">
        <v>107</v>
      </c>
      <c r="D120" s="373" t="s">
        <v>22</v>
      </c>
      <c r="E120" s="378" t="s">
        <v>63</v>
      </c>
      <c r="F120" s="374" t="s">
        <v>1172</v>
      </c>
      <c r="G120" s="374" t="s">
        <v>1221</v>
      </c>
      <c r="H120" s="375">
        <v>2</v>
      </c>
      <c r="I120" s="379">
        <f>6*2*2</f>
        <v>24</v>
      </c>
      <c r="J120" s="376" t="s">
        <v>1174</v>
      </c>
      <c r="K120" s="376"/>
      <c r="L120" s="377">
        <f t="shared" si="7"/>
        <v>0</v>
      </c>
      <c r="M120" s="377">
        <f t="shared" si="8"/>
        <v>0</v>
      </c>
      <c r="N120" s="377">
        <f t="shared" si="9"/>
        <v>0</v>
      </c>
    </row>
    <row r="121" spans="1:14" s="1" customFormat="1" ht="12.75">
      <c r="A121" s="1" t="str">
        <f t="shared" si="12"/>
        <v>1072</v>
      </c>
      <c r="B121" s="374" t="s">
        <v>289</v>
      </c>
      <c r="C121" s="3">
        <v>107</v>
      </c>
      <c r="D121" s="373" t="s">
        <v>22</v>
      </c>
      <c r="E121" s="378" t="s">
        <v>15</v>
      </c>
      <c r="F121" s="374" t="s">
        <v>1222</v>
      </c>
      <c r="G121" s="374" t="s">
        <v>1223</v>
      </c>
      <c r="H121" s="375">
        <v>2</v>
      </c>
      <c r="I121" s="379">
        <f>(2*(12*3.5+4*2))*2*50%</f>
        <v>100</v>
      </c>
      <c r="J121" s="376" t="s">
        <v>1174</v>
      </c>
      <c r="K121" s="376" t="s">
        <v>1224</v>
      </c>
      <c r="L121" s="377">
        <f t="shared" si="7"/>
        <v>0</v>
      </c>
      <c r="M121" s="377">
        <f t="shared" si="8"/>
        <v>0</v>
      </c>
      <c r="N121" s="377">
        <f t="shared" si="9"/>
        <v>0</v>
      </c>
    </row>
    <row r="122" spans="1:14" s="1" customFormat="1" ht="12.75">
      <c r="A122" s="1" t="str">
        <f t="shared" si="12"/>
        <v>1072</v>
      </c>
      <c r="B122" s="374" t="s">
        <v>289</v>
      </c>
      <c r="C122" s="3">
        <v>107</v>
      </c>
      <c r="D122" s="373" t="s">
        <v>22</v>
      </c>
      <c r="E122" s="378" t="s">
        <v>15</v>
      </c>
      <c r="F122" s="374" t="s">
        <v>1225</v>
      </c>
      <c r="G122" s="374" t="s">
        <v>1223</v>
      </c>
      <c r="H122" s="375">
        <v>2</v>
      </c>
      <c r="I122" s="379">
        <f>(2*(12*3.5+4*2))*2*50%</f>
        <v>100</v>
      </c>
      <c r="J122" s="376" t="s">
        <v>1174</v>
      </c>
      <c r="K122" s="376" t="s">
        <v>1224</v>
      </c>
      <c r="L122" s="377">
        <f t="shared" si="7"/>
        <v>0</v>
      </c>
      <c r="M122" s="377">
        <f t="shared" si="8"/>
        <v>0</v>
      </c>
      <c r="N122" s="377">
        <f t="shared" si="9"/>
        <v>0</v>
      </c>
    </row>
    <row r="123" spans="1:14" s="1" customFormat="1" ht="12.75">
      <c r="A123" s="1" t="str">
        <f t="shared" si="12"/>
        <v>1072</v>
      </c>
      <c r="B123" s="374" t="s">
        <v>289</v>
      </c>
      <c r="C123" s="3">
        <v>107</v>
      </c>
      <c r="D123" s="373" t="s">
        <v>22</v>
      </c>
      <c r="E123" s="378" t="s">
        <v>197</v>
      </c>
      <c r="F123" s="374" t="s">
        <v>1222</v>
      </c>
      <c r="G123" s="374" t="s">
        <v>1223</v>
      </c>
      <c r="H123" s="375">
        <v>2</v>
      </c>
      <c r="I123" s="379">
        <f>(2*(12*3.5+4*2))*2*50%</f>
        <v>100</v>
      </c>
      <c r="J123" s="376" t="s">
        <v>1174</v>
      </c>
      <c r="K123" s="376" t="s">
        <v>1224</v>
      </c>
      <c r="L123" s="377">
        <f t="shared" si="7"/>
        <v>0</v>
      </c>
      <c r="M123" s="377">
        <f t="shared" si="8"/>
        <v>0</v>
      </c>
      <c r="N123" s="377">
        <f t="shared" si="9"/>
        <v>0</v>
      </c>
    </row>
    <row r="124" spans="1:14" s="1" customFormat="1" ht="12.75">
      <c r="A124" s="1" t="str">
        <f t="shared" si="12"/>
        <v>1072</v>
      </c>
      <c r="B124" s="374" t="s">
        <v>289</v>
      </c>
      <c r="C124" s="3">
        <v>107</v>
      </c>
      <c r="D124" s="373" t="s">
        <v>22</v>
      </c>
      <c r="E124" s="378" t="s">
        <v>197</v>
      </c>
      <c r="F124" s="374" t="s">
        <v>1225</v>
      </c>
      <c r="G124" s="374" t="s">
        <v>1223</v>
      </c>
      <c r="H124" s="375">
        <v>2</v>
      </c>
      <c r="I124" s="379">
        <f>(2*(12*3.5+4*2))*2*50%</f>
        <v>100</v>
      </c>
      <c r="J124" s="376" t="s">
        <v>1174</v>
      </c>
      <c r="K124" s="376" t="s">
        <v>1224</v>
      </c>
      <c r="L124" s="377">
        <f t="shared" si="7"/>
        <v>0</v>
      </c>
      <c r="M124" s="377">
        <f t="shared" si="8"/>
        <v>0</v>
      </c>
      <c r="N124" s="377">
        <f t="shared" si="9"/>
        <v>0</v>
      </c>
    </row>
    <row r="125" spans="1:14" s="1" customFormat="1" ht="12.75">
      <c r="A125" s="1" t="str">
        <f t="shared" si="12"/>
        <v>1072</v>
      </c>
      <c r="B125" s="374" t="s">
        <v>289</v>
      </c>
      <c r="C125" s="3">
        <v>107</v>
      </c>
      <c r="D125" s="373" t="s">
        <v>22</v>
      </c>
      <c r="E125" s="378" t="s">
        <v>14</v>
      </c>
      <c r="F125" s="374" t="s">
        <v>1182</v>
      </c>
      <c r="G125" s="374" t="s">
        <v>1226</v>
      </c>
      <c r="H125" s="375">
        <v>2</v>
      </c>
      <c r="I125" s="379">
        <v>20.22</v>
      </c>
      <c r="J125" s="376" t="s">
        <v>1171</v>
      </c>
      <c r="K125" s="376"/>
      <c r="L125" s="377">
        <f t="shared" si="7"/>
        <v>0</v>
      </c>
      <c r="M125" s="377">
        <f t="shared" si="8"/>
        <v>0</v>
      </c>
      <c r="N125" s="377">
        <f t="shared" si="9"/>
        <v>0</v>
      </c>
    </row>
    <row r="126" spans="1:14" s="1" customFormat="1" ht="12.75">
      <c r="A126" s="1" t="str">
        <f t="shared" si="12"/>
        <v>1072</v>
      </c>
      <c r="B126" s="374" t="s">
        <v>289</v>
      </c>
      <c r="C126" s="3">
        <v>107</v>
      </c>
      <c r="D126" s="373" t="s">
        <v>22</v>
      </c>
      <c r="E126" s="378" t="s">
        <v>14</v>
      </c>
      <c r="F126" s="374" t="s">
        <v>1184</v>
      </c>
      <c r="G126" s="374" t="s">
        <v>1226</v>
      </c>
      <c r="H126" s="375">
        <v>2</v>
      </c>
      <c r="I126" s="379">
        <v>20.22</v>
      </c>
      <c r="J126" s="376" t="s">
        <v>1171</v>
      </c>
      <c r="K126" s="376"/>
      <c r="L126" s="377">
        <f t="shared" si="7"/>
        <v>0</v>
      </c>
      <c r="M126" s="377">
        <f t="shared" si="8"/>
        <v>0</v>
      </c>
      <c r="N126" s="377">
        <f t="shared" si="9"/>
        <v>0</v>
      </c>
    </row>
    <row r="127" spans="1:14" s="1" customFormat="1" ht="12.75">
      <c r="A127" s="1" t="str">
        <f t="shared" si="12"/>
        <v>1072</v>
      </c>
      <c r="B127" s="374" t="s">
        <v>289</v>
      </c>
      <c r="C127" s="3">
        <v>107</v>
      </c>
      <c r="D127" s="373" t="s">
        <v>22</v>
      </c>
      <c r="E127" s="378" t="s">
        <v>14</v>
      </c>
      <c r="F127" s="374" t="s">
        <v>1185</v>
      </c>
      <c r="G127" s="374" t="s">
        <v>1227</v>
      </c>
      <c r="H127" s="375">
        <v>2</v>
      </c>
      <c r="I127" s="379">
        <v>1.92</v>
      </c>
      <c r="J127" s="376" t="s">
        <v>1171</v>
      </c>
      <c r="K127" s="376"/>
      <c r="L127" s="377">
        <f t="shared" si="7"/>
        <v>0</v>
      </c>
      <c r="M127" s="377">
        <f t="shared" si="8"/>
        <v>0</v>
      </c>
      <c r="N127" s="377">
        <f t="shared" si="9"/>
        <v>0</v>
      </c>
    </row>
    <row r="128" spans="1:14" s="1" customFormat="1" ht="12.75">
      <c r="A128" s="1" t="str">
        <f t="shared" si="12"/>
        <v>1072</v>
      </c>
      <c r="B128" s="374" t="s">
        <v>289</v>
      </c>
      <c r="C128" s="3">
        <v>107</v>
      </c>
      <c r="D128" s="373" t="s">
        <v>22</v>
      </c>
      <c r="E128" s="378" t="s">
        <v>14</v>
      </c>
      <c r="F128" s="374" t="s">
        <v>1185</v>
      </c>
      <c r="G128" s="374" t="s">
        <v>1227</v>
      </c>
      <c r="H128" s="375">
        <v>2</v>
      </c>
      <c r="I128" s="379">
        <v>1.92</v>
      </c>
      <c r="J128" s="376" t="s">
        <v>1171</v>
      </c>
      <c r="K128" s="376"/>
      <c r="L128" s="377">
        <f t="shared" si="7"/>
        <v>0</v>
      </c>
      <c r="M128" s="377">
        <f t="shared" si="8"/>
        <v>0</v>
      </c>
      <c r="N128" s="377">
        <f t="shared" si="9"/>
        <v>0</v>
      </c>
    </row>
    <row r="129" spans="1:14" s="1" customFormat="1" ht="12.75">
      <c r="A129" s="1" t="str">
        <f t="shared" si="12"/>
        <v>1072</v>
      </c>
      <c r="B129" s="374" t="s">
        <v>289</v>
      </c>
      <c r="C129" s="3">
        <v>107</v>
      </c>
      <c r="D129" s="373" t="s">
        <v>22</v>
      </c>
      <c r="E129" s="378" t="s">
        <v>66</v>
      </c>
      <c r="F129" s="374" t="s">
        <v>1182</v>
      </c>
      <c r="G129" s="374" t="s">
        <v>1226</v>
      </c>
      <c r="H129" s="375">
        <v>2</v>
      </c>
      <c r="I129" s="379">
        <v>20.22</v>
      </c>
      <c r="J129" s="376" t="s">
        <v>1171</v>
      </c>
      <c r="K129" s="376"/>
      <c r="L129" s="377">
        <f t="shared" si="7"/>
        <v>0</v>
      </c>
      <c r="M129" s="377">
        <f t="shared" si="8"/>
        <v>0</v>
      </c>
      <c r="N129" s="377">
        <f t="shared" si="9"/>
        <v>0</v>
      </c>
    </row>
    <row r="130" spans="1:14" s="1" customFormat="1" ht="12.75">
      <c r="A130" s="1" t="str">
        <f t="shared" si="12"/>
        <v>1072</v>
      </c>
      <c r="B130" s="374" t="s">
        <v>289</v>
      </c>
      <c r="C130" s="3">
        <v>107</v>
      </c>
      <c r="D130" s="373" t="s">
        <v>22</v>
      </c>
      <c r="E130" s="378" t="s">
        <v>66</v>
      </c>
      <c r="F130" s="374" t="s">
        <v>1184</v>
      </c>
      <c r="G130" s="374" t="s">
        <v>1226</v>
      </c>
      <c r="H130" s="375">
        <v>2</v>
      </c>
      <c r="I130" s="379">
        <v>20.22</v>
      </c>
      <c r="J130" s="376" t="s">
        <v>1171</v>
      </c>
      <c r="K130" s="376"/>
      <c r="L130" s="377">
        <f t="shared" si="7"/>
        <v>0</v>
      </c>
      <c r="M130" s="377">
        <f t="shared" si="8"/>
        <v>0</v>
      </c>
      <c r="N130" s="377">
        <f t="shared" si="9"/>
        <v>0</v>
      </c>
    </row>
    <row r="131" spans="1:14" s="1" customFormat="1" ht="12.75">
      <c r="A131" s="1" t="str">
        <f t="shared" si="12"/>
        <v>1072</v>
      </c>
      <c r="B131" s="374" t="s">
        <v>289</v>
      </c>
      <c r="C131" s="3">
        <v>107</v>
      </c>
      <c r="D131" s="373" t="s">
        <v>22</v>
      </c>
      <c r="E131" s="378" t="s">
        <v>66</v>
      </c>
      <c r="F131" s="374" t="s">
        <v>1185</v>
      </c>
      <c r="G131" s="374" t="s">
        <v>1227</v>
      </c>
      <c r="H131" s="375">
        <v>2</v>
      </c>
      <c r="I131" s="379">
        <v>1.92</v>
      </c>
      <c r="J131" s="376" t="s">
        <v>1171</v>
      </c>
      <c r="K131" s="376"/>
      <c r="L131" s="377">
        <f t="shared" si="7"/>
        <v>0</v>
      </c>
      <c r="M131" s="377">
        <f t="shared" si="8"/>
        <v>0</v>
      </c>
      <c r="N131" s="377">
        <f t="shared" si="9"/>
        <v>0</v>
      </c>
    </row>
    <row r="132" spans="1:14" s="1" customFormat="1" ht="12.75">
      <c r="A132" s="1" t="str">
        <f t="shared" si="12"/>
        <v>1072</v>
      </c>
      <c r="B132" s="374" t="s">
        <v>289</v>
      </c>
      <c r="C132" s="3">
        <v>107</v>
      </c>
      <c r="D132" s="373" t="s">
        <v>22</v>
      </c>
      <c r="E132" s="378" t="s">
        <v>66</v>
      </c>
      <c r="F132" s="374" t="s">
        <v>1187</v>
      </c>
      <c r="G132" s="374" t="s">
        <v>1227</v>
      </c>
      <c r="H132" s="375">
        <v>2</v>
      </c>
      <c r="I132" s="379">
        <v>1.92</v>
      </c>
      <c r="J132" s="376" t="s">
        <v>1171</v>
      </c>
      <c r="K132" s="376"/>
      <c r="L132" s="377">
        <f t="shared" si="7"/>
        <v>0</v>
      </c>
      <c r="M132" s="377">
        <f t="shared" si="8"/>
        <v>0</v>
      </c>
      <c r="N132" s="377">
        <f t="shared" si="9"/>
        <v>0</v>
      </c>
    </row>
    <row r="133" spans="1:14" s="1" customFormat="1" ht="12.75">
      <c r="B133" s="374" t="s">
        <v>289</v>
      </c>
      <c r="C133" s="3">
        <v>107</v>
      </c>
      <c r="D133" s="373" t="s">
        <v>22</v>
      </c>
      <c r="E133" s="4"/>
      <c r="F133" s="374" t="s">
        <v>1173</v>
      </c>
      <c r="G133" s="374" t="s">
        <v>1962</v>
      </c>
      <c r="H133" s="375">
        <v>2</v>
      </c>
      <c r="I133" s="379">
        <v>8.75</v>
      </c>
      <c r="J133" s="376" t="s">
        <v>1171</v>
      </c>
      <c r="K133" s="376"/>
      <c r="L133" s="377">
        <f t="shared" si="7"/>
        <v>0</v>
      </c>
      <c r="M133" s="377">
        <f t="shared" si="8"/>
        <v>0</v>
      </c>
      <c r="N133" s="377">
        <f t="shared" si="9"/>
        <v>0</v>
      </c>
    </row>
    <row r="134" spans="1:14" s="1" customFormat="1" ht="12.75">
      <c r="B134" s="374" t="s">
        <v>289</v>
      </c>
      <c r="C134" s="3">
        <v>107</v>
      </c>
      <c r="D134" s="373" t="s">
        <v>22</v>
      </c>
      <c r="E134" s="4"/>
      <c r="F134" s="374" t="s">
        <v>1170</v>
      </c>
      <c r="G134" s="374" t="s">
        <v>1963</v>
      </c>
      <c r="H134" s="375">
        <v>2</v>
      </c>
      <c r="I134" s="379">
        <v>8.75</v>
      </c>
      <c r="J134" s="376" t="s">
        <v>1171</v>
      </c>
      <c r="K134" s="376"/>
      <c r="L134" s="377">
        <f t="shared" si="7"/>
        <v>0</v>
      </c>
      <c r="M134" s="377">
        <f t="shared" si="8"/>
        <v>0</v>
      </c>
      <c r="N134" s="377">
        <f t="shared" si="9"/>
        <v>0</v>
      </c>
    </row>
    <row r="135" spans="1:14" s="1" customFormat="1" ht="12.75">
      <c r="B135" s="374" t="s">
        <v>289</v>
      </c>
      <c r="C135" s="3">
        <v>107</v>
      </c>
      <c r="D135" s="373" t="s">
        <v>22</v>
      </c>
      <c r="E135" s="4"/>
      <c r="F135" s="374" t="s">
        <v>1173</v>
      </c>
      <c r="G135" s="374" t="s">
        <v>1964</v>
      </c>
      <c r="H135" s="375">
        <v>2</v>
      </c>
      <c r="I135" s="379">
        <v>8.75</v>
      </c>
      <c r="J135" s="376" t="s">
        <v>1171</v>
      </c>
      <c r="K135" s="376"/>
      <c r="L135" s="377">
        <f t="shared" si="7"/>
        <v>0</v>
      </c>
      <c r="M135" s="377">
        <f t="shared" si="8"/>
        <v>0</v>
      </c>
      <c r="N135" s="377">
        <f t="shared" si="9"/>
        <v>0</v>
      </c>
    </row>
    <row r="136" spans="1:14" s="1" customFormat="1" ht="12.75">
      <c r="B136" s="374" t="s">
        <v>289</v>
      </c>
      <c r="C136" s="3">
        <v>107</v>
      </c>
      <c r="D136" s="373" t="s">
        <v>22</v>
      </c>
      <c r="E136" s="4"/>
      <c r="F136" s="374" t="s">
        <v>1170</v>
      </c>
      <c r="G136" s="374" t="s">
        <v>1965</v>
      </c>
      <c r="H136" s="375">
        <v>2</v>
      </c>
      <c r="I136" s="379">
        <v>8.75</v>
      </c>
      <c r="J136" s="376" t="s">
        <v>1171</v>
      </c>
      <c r="K136" s="376"/>
      <c r="L136" s="377">
        <f t="shared" si="7"/>
        <v>0</v>
      </c>
      <c r="M136" s="377">
        <f t="shared" si="8"/>
        <v>0</v>
      </c>
      <c r="N136" s="377">
        <f t="shared" si="9"/>
        <v>0</v>
      </c>
    </row>
    <row r="137" spans="1:14" s="1" customFormat="1" ht="12.75">
      <c r="A137" s="1" t="str">
        <f>CONCATENATE(C137,H137)</f>
        <v>10726</v>
      </c>
      <c r="B137" s="374" t="s">
        <v>289</v>
      </c>
      <c r="C137" s="3">
        <v>107</v>
      </c>
      <c r="D137" s="373" t="s">
        <v>22</v>
      </c>
      <c r="E137" s="4"/>
      <c r="F137" s="374" t="s">
        <v>1172</v>
      </c>
      <c r="G137" s="374" t="s">
        <v>1320</v>
      </c>
      <c r="H137" s="375">
        <v>26</v>
      </c>
      <c r="I137" s="379">
        <v>22</v>
      </c>
      <c r="J137" s="376" t="s">
        <v>1171</v>
      </c>
      <c r="K137" s="376" t="s">
        <v>1321</v>
      </c>
      <c r="L137" s="377">
        <f t="shared" si="7"/>
        <v>0</v>
      </c>
      <c r="M137" s="377">
        <f t="shared" si="8"/>
        <v>0</v>
      </c>
      <c r="N137" s="377">
        <f t="shared" si="9"/>
        <v>0</v>
      </c>
    </row>
    <row r="138" spans="1:14" s="1" customFormat="1" ht="12.75">
      <c r="A138" s="1" t="str">
        <f>CONCATENATE(C138,H138)</f>
        <v>1082</v>
      </c>
      <c r="B138" s="374" t="s">
        <v>1228</v>
      </c>
      <c r="C138" s="3">
        <v>108</v>
      </c>
      <c r="D138" s="373" t="s">
        <v>22</v>
      </c>
      <c r="E138" s="4"/>
      <c r="F138" s="380" t="s">
        <v>1182</v>
      </c>
      <c r="G138" s="374" t="s">
        <v>1966</v>
      </c>
      <c r="H138" s="375">
        <v>2</v>
      </c>
      <c r="I138" s="379">
        <v>4.6100000000000003</v>
      </c>
      <c r="J138" s="376" t="s">
        <v>1171</v>
      </c>
      <c r="K138" s="376"/>
      <c r="L138" s="377">
        <f t="shared" si="7"/>
        <v>0</v>
      </c>
      <c r="M138" s="377">
        <f t="shared" si="8"/>
        <v>0</v>
      </c>
      <c r="N138" s="377">
        <f t="shared" si="9"/>
        <v>0</v>
      </c>
    </row>
    <row r="139" spans="1:14" s="1" customFormat="1" ht="12.75">
      <c r="B139" s="374" t="s">
        <v>1228</v>
      </c>
      <c r="C139" s="3">
        <v>108</v>
      </c>
      <c r="D139" s="373" t="s">
        <v>22</v>
      </c>
      <c r="E139" s="4"/>
      <c r="F139" s="380" t="s">
        <v>1184</v>
      </c>
      <c r="G139" s="374" t="s">
        <v>1967</v>
      </c>
      <c r="H139" s="375">
        <v>2</v>
      </c>
      <c r="I139" s="379">
        <v>4.6100000000000003</v>
      </c>
      <c r="J139" s="376" t="s">
        <v>1171</v>
      </c>
      <c r="K139" s="376"/>
      <c r="L139" s="377">
        <f t="shared" si="7"/>
        <v>0</v>
      </c>
      <c r="M139" s="377">
        <f t="shared" si="8"/>
        <v>0</v>
      </c>
      <c r="N139" s="377">
        <f t="shared" si="9"/>
        <v>0</v>
      </c>
    </row>
    <row r="140" spans="1:14" s="1" customFormat="1" ht="12.75">
      <c r="B140" s="374" t="s">
        <v>1228</v>
      </c>
      <c r="C140" s="3">
        <v>108</v>
      </c>
      <c r="D140" s="373" t="s">
        <v>22</v>
      </c>
      <c r="E140" s="4"/>
      <c r="F140" s="374" t="s">
        <v>1185</v>
      </c>
      <c r="G140" s="374" t="s">
        <v>1968</v>
      </c>
      <c r="H140" s="375">
        <v>2</v>
      </c>
      <c r="I140" s="379">
        <v>1.92</v>
      </c>
      <c r="J140" s="376" t="s">
        <v>1171</v>
      </c>
      <c r="K140" s="376"/>
      <c r="L140" s="377">
        <f t="shared" si="7"/>
        <v>0</v>
      </c>
      <c r="M140" s="377">
        <f t="shared" si="8"/>
        <v>0</v>
      </c>
      <c r="N140" s="377">
        <f t="shared" si="9"/>
        <v>0</v>
      </c>
    </row>
    <row r="141" spans="1:14" s="1" customFormat="1" ht="12.75">
      <c r="B141" s="374" t="s">
        <v>1228</v>
      </c>
      <c r="C141" s="3">
        <v>108</v>
      </c>
      <c r="D141" s="373" t="s">
        <v>22</v>
      </c>
      <c r="E141" s="4"/>
      <c r="F141" s="374" t="s">
        <v>1185</v>
      </c>
      <c r="G141" s="374" t="s">
        <v>1968</v>
      </c>
      <c r="H141" s="375">
        <v>2</v>
      </c>
      <c r="I141" s="379">
        <v>1.92</v>
      </c>
      <c r="J141" s="376" t="s">
        <v>1171</v>
      </c>
      <c r="K141" s="376"/>
      <c r="L141" s="377">
        <f t="shared" si="7"/>
        <v>0</v>
      </c>
      <c r="M141" s="377">
        <f t="shared" si="8"/>
        <v>0</v>
      </c>
      <c r="N141" s="377">
        <f t="shared" si="9"/>
        <v>0</v>
      </c>
    </row>
    <row r="142" spans="1:14" s="1" customFormat="1" ht="12.75">
      <c r="B142" s="374" t="s">
        <v>1228</v>
      </c>
      <c r="C142" s="3">
        <v>108</v>
      </c>
      <c r="D142" s="373" t="s">
        <v>22</v>
      </c>
      <c r="E142" s="4"/>
      <c r="F142" s="374" t="s">
        <v>1182</v>
      </c>
      <c r="G142" s="374" t="s">
        <v>1969</v>
      </c>
      <c r="H142" s="375">
        <v>2</v>
      </c>
      <c r="I142" s="379">
        <v>17.760000000000002</v>
      </c>
      <c r="J142" s="376" t="s">
        <v>1171</v>
      </c>
      <c r="K142" s="376"/>
      <c r="L142" s="377">
        <f t="shared" si="7"/>
        <v>0</v>
      </c>
      <c r="M142" s="377">
        <f t="shared" si="8"/>
        <v>0</v>
      </c>
      <c r="N142" s="377">
        <f t="shared" si="9"/>
        <v>0</v>
      </c>
    </row>
    <row r="143" spans="1:14" s="1" customFormat="1" ht="12.75">
      <c r="B143" s="374" t="s">
        <v>1228</v>
      </c>
      <c r="C143" s="3">
        <v>108</v>
      </c>
      <c r="D143" s="373" t="s">
        <v>22</v>
      </c>
      <c r="E143" s="4"/>
      <c r="F143" s="374" t="s">
        <v>1184</v>
      </c>
      <c r="G143" s="374" t="s">
        <v>1970</v>
      </c>
      <c r="H143" s="375">
        <v>2</v>
      </c>
      <c r="I143" s="379">
        <v>17.760000000000002</v>
      </c>
      <c r="J143" s="376" t="s">
        <v>1171</v>
      </c>
      <c r="K143" s="376"/>
      <c r="L143" s="377">
        <f t="shared" si="7"/>
        <v>0</v>
      </c>
      <c r="M143" s="377">
        <f t="shared" si="8"/>
        <v>0</v>
      </c>
      <c r="N143" s="377">
        <f t="shared" si="9"/>
        <v>0</v>
      </c>
    </row>
    <row r="144" spans="1:14" s="1" customFormat="1" ht="12.75">
      <c r="B144" s="374" t="s">
        <v>1228</v>
      </c>
      <c r="C144" s="3">
        <v>108</v>
      </c>
      <c r="D144" s="373" t="s">
        <v>22</v>
      </c>
      <c r="E144" s="4"/>
      <c r="F144" s="374" t="s">
        <v>1185</v>
      </c>
      <c r="G144" s="374" t="s">
        <v>1971</v>
      </c>
      <c r="H144" s="375">
        <v>2</v>
      </c>
      <c r="I144" s="379">
        <v>1.92</v>
      </c>
      <c r="J144" s="376" t="s">
        <v>1171</v>
      </c>
      <c r="K144" s="376"/>
      <c r="L144" s="377">
        <f t="shared" si="7"/>
        <v>0</v>
      </c>
      <c r="M144" s="377">
        <f t="shared" si="8"/>
        <v>0</v>
      </c>
      <c r="N144" s="377">
        <f t="shared" si="9"/>
        <v>0</v>
      </c>
    </row>
    <row r="145" spans="2:14" s="1" customFormat="1" ht="12.75">
      <c r="B145" s="374" t="s">
        <v>1228</v>
      </c>
      <c r="C145" s="3">
        <v>108</v>
      </c>
      <c r="D145" s="373" t="s">
        <v>22</v>
      </c>
      <c r="E145" s="4"/>
      <c r="F145" s="374" t="s">
        <v>1185</v>
      </c>
      <c r="G145" s="374" t="s">
        <v>1971</v>
      </c>
      <c r="H145" s="375">
        <v>2</v>
      </c>
      <c r="I145" s="379">
        <v>1.92</v>
      </c>
      <c r="J145" s="376" t="s">
        <v>1171</v>
      </c>
      <c r="K145" s="376"/>
      <c r="L145" s="377">
        <f t="shared" ref="L145:L208" si="13">IF(J145="ja",VLOOKUP(F145,Glassoort2,2,0))*I145</f>
        <v>0</v>
      </c>
      <c r="M145" s="377">
        <f t="shared" ref="M145:M208" si="14">IF(J145="nee",VLOOKUP(F145,Glassoort2,3,0))*I145</f>
        <v>0</v>
      </c>
      <c r="N145" s="377">
        <f t="shared" si="9"/>
        <v>0</v>
      </c>
    </row>
    <row r="146" spans="2:14" s="1" customFormat="1" ht="12.75">
      <c r="B146" s="374" t="s">
        <v>1228</v>
      </c>
      <c r="C146" s="3">
        <v>108</v>
      </c>
      <c r="D146" s="373" t="s">
        <v>22</v>
      </c>
      <c r="E146" s="4"/>
      <c r="F146" s="374" t="s">
        <v>1182</v>
      </c>
      <c r="G146" s="374" t="s">
        <v>1972</v>
      </c>
      <c r="H146" s="375">
        <v>2</v>
      </c>
      <c r="I146" s="379">
        <v>17.760000000000002</v>
      </c>
      <c r="J146" s="376" t="s">
        <v>1171</v>
      </c>
      <c r="K146" s="376"/>
      <c r="L146" s="377">
        <f t="shared" si="13"/>
        <v>0</v>
      </c>
      <c r="M146" s="377">
        <f t="shared" si="14"/>
        <v>0</v>
      </c>
      <c r="N146" s="377">
        <f t="shared" ref="N146:N209" si="15">(M146*H146)+(L146*H146)</f>
        <v>0</v>
      </c>
    </row>
    <row r="147" spans="2:14" s="1" customFormat="1" ht="12.75">
      <c r="B147" s="374" t="s">
        <v>1228</v>
      </c>
      <c r="C147" s="3">
        <v>108</v>
      </c>
      <c r="D147" s="373" t="s">
        <v>22</v>
      </c>
      <c r="E147" s="4"/>
      <c r="F147" s="374" t="s">
        <v>1184</v>
      </c>
      <c r="G147" s="374" t="s">
        <v>1973</v>
      </c>
      <c r="H147" s="375">
        <v>2</v>
      </c>
      <c r="I147" s="379">
        <v>17.760000000000002</v>
      </c>
      <c r="J147" s="376" t="s">
        <v>1171</v>
      </c>
      <c r="K147" s="376"/>
      <c r="L147" s="377">
        <f t="shared" si="13"/>
        <v>0</v>
      </c>
      <c r="M147" s="377">
        <f t="shared" si="14"/>
        <v>0</v>
      </c>
      <c r="N147" s="377">
        <f t="shared" si="15"/>
        <v>0</v>
      </c>
    </row>
    <row r="148" spans="2:14" s="1" customFormat="1" ht="12.75">
      <c r="B148" s="374" t="s">
        <v>1228</v>
      </c>
      <c r="C148" s="3">
        <v>108</v>
      </c>
      <c r="D148" s="373" t="s">
        <v>22</v>
      </c>
      <c r="E148" s="4"/>
      <c r="F148" s="374" t="s">
        <v>1185</v>
      </c>
      <c r="G148" s="374" t="s">
        <v>1974</v>
      </c>
      <c r="H148" s="375">
        <v>2</v>
      </c>
      <c r="I148" s="379">
        <v>1.92</v>
      </c>
      <c r="J148" s="376" t="s">
        <v>1171</v>
      </c>
      <c r="K148" s="376"/>
      <c r="L148" s="377">
        <f t="shared" si="13"/>
        <v>0</v>
      </c>
      <c r="M148" s="377">
        <f t="shared" si="14"/>
        <v>0</v>
      </c>
      <c r="N148" s="377">
        <f t="shared" si="15"/>
        <v>0</v>
      </c>
    </row>
    <row r="149" spans="2:14" s="1" customFormat="1" ht="12.75">
      <c r="B149" s="374" t="s">
        <v>1228</v>
      </c>
      <c r="C149" s="3">
        <v>108</v>
      </c>
      <c r="D149" s="373" t="s">
        <v>22</v>
      </c>
      <c r="E149" s="4"/>
      <c r="F149" s="374" t="s">
        <v>1185</v>
      </c>
      <c r="G149" s="374" t="s">
        <v>1974</v>
      </c>
      <c r="H149" s="375">
        <v>2</v>
      </c>
      <c r="I149" s="379">
        <v>1.92</v>
      </c>
      <c r="J149" s="376" t="s">
        <v>1171</v>
      </c>
      <c r="K149" s="376"/>
      <c r="L149" s="377">
        <f t="shared" si="13"/>
        <v>0</v>
      </c>
      <c r="M149" s="377">
        <f t="shared" si="14"/>
        <v>0</v>
      </c>
      <c r="N149" s="377">
        <f t="shared" si="15"/>
        <v>0</v>
      </c>
    </row>
    <row r="150" spans="2:14" s="1" customFormat="1" ht="12.75">
      <c r="B150" s="374" t="s">
        <v>1228</v>
      </c>
      <c r="C150" s="3">
        <v>108</v>
      </c>
      <c r="D150" s="373" t="s">
        <v>22</v>
      </c>
      <c r="E150" s="4"/>
      <c r="F150" s="374" t="s">
        <v>1173</v>
      </c>
      <c r="G150" s="374" t="s">
        <v>1975</v>
      </c>
      <c r="H150" s="375">
        <v>2</v>
      </c>
      <c r="I150" s="379">
        <v>38.07</v>
      </c>
      <c r="J150" s="376" t="s">
        <v>1171</v>
      </c>
      <c r="K150" s="376"/>
      <c r="L150" s="377">
        <f t="shared" si="13"/>
        <v>0</v>
      </c>
      <c r="M150" s="377">
        <f t="shared" si="14"/>
        <v>0</v>
      </c>
      <c r="N150" s="377">
        <f t="shared" si="15"/>
        <v>0</v>
      </c>
    </row>
    <row r="151" spans="2:14" s="1" customFormat="1" ht="12.75">
      <c r="B151" s="374" t="s">
        <v>1228</v>
      </c>
      <c r="C151" s="3">
        <v>108</v>
      </c>
      <c r="D151" s="373" t="s">
        <v>22</v>
      </c>
      <c r="E151" s="4"/>
      <c r="F151" s="374" t="s">
        <v>1170</v>
      </c>
      <c r="G151" s="374" t="s">
        <v>1976</v>
      </c>
      <c r="H151" s="375">
        <v>2</v>
      </c>
      <c r="I151" s="379">
        <v>38.07</v>
      </c>
      <c r="J151" s="376" t="s">
        <v>1171</v>
      </c>
      <c r="K151" s="376"/>
      <c r="L151" s="377">
        <f t="shared" si="13"/>
        <v>0</v>
      </c>
      <c r="M151" s="377">
        <f t="shared" si="14"/>
        <v>0</v>
      </c>
      <c r="N151" s="377">
        <f t="shared" si="15"/>
        <v>0</v>
      </c>
    </row>
    <row r="152" spans="2:14" s="1" customFormat="1" ht="12.75">
      <c r="B152" s="374" t="s">
        <v>1228</v>
      </c>
      <c r="C152" s="3">
        <v>108</v>
      </c>
      <c r="D152" s="373" t="s">
        <v>22</v>
      </c>
      <c r="E152" s="4"/>
      <c r="F152" s="374" t="s">
        <v>1173</v>
      </c>
      <c r="G152" s="374" t="s">
        <v>1977</v>
      </c>
      <c r="H152" s="375">
        <v>2</v>
      </c>
      <c r="I152" s="379">
        <v>29.26</v>
      </c>
      <c r="J152" s="376" t="s">
        <v>1171</v>
      </c>
      <c r="K152" s="376"/>
      <c r="L152" s="377">
        <f t="shared" si="13"/>
        <v>0</v>
      </c>
      <c r="M152" s="377">
        <f t="shared" si="14"/>
        <v>0</v>
      </c>
      <c r="N152" s="377">
        <f t="shared" si="15"/>
        <v>0</v>
      </c>
    </row>
    <row r="153" spans="2:14" s="1" customFormat="1" ht="12.75">
      <c r="B153" s="374" t="s">
        <v>1228</v>
      </c>
      <c r="C153" s="3">
        <v>108</v>
      </c>
      <c r="D153" s="373" t="s">
        <v>22</v>
      </c>
      <c r="E153" s="4"/>
      <c r="F153" s="374" t="s">
        <v>1170</v>
      </c>
      <c r="G153" s="374" t="s">
        <v>1978</v>
      </c>
      <c r="H153" s="375">
        <v>2</v>
      </c>
      <c r="I153" s="379">
        <v>29.26</v>
      </c>
      <c r="J153" s="376" t="s">
        <v>1171</v>
      </c>
      <c r="K153" s="376"/>
      <c r="L153" s="377">
        <f t="shared" si="13"/>
        <v>0</v>
      </c>
      <c r="M153" s="377">
        <f t="shared" si="14"/>
        <v>0</v>
      </c>
      <c r="N153" s="377">
        <f t="shared" si="15"/>
        <v>0</v>
      </c>
    </row>
    <row r="154" spans="2:14" s="1" customFormat="1" ht="12.75">
      <c r="B154" s="374" t="s">
        <v>1228</v>
      </c>
      <c r="C154" s="3">
        <v>108</v>
      </c>
      <c r="D154" s="373" t="s">
        <v>22</v>
      </c>
      <c r="E154" s="4"/>
      <c r="F154" s="374" t="s">
        <v>1173</v>
      </c>
      <c r="G154" s="374" t="s">
        <v>1979</v>
      </c>
      <c r="H154" s="375">
        <v>2</v>
      </c>
      <c r="I154" s="379">
        <v>23.63</v>
      </c>
      <c r="J154" s="376" t="s">
        <v>1171</v>
      </c>
      <c r="K154" s="376"/>
      <c r="L154" s="377">
        <f t="shared" si="13"/>
        <v>0</v>
      </c>
      <c r="M154" s="377">
        <f t="shared" si="14"/>
        <v>0</v>
      </c>
      <c r="N154" s="377">
        <f t="shared" si="15"/>
        <v>0</v>
      </c>
    </row>
    <row r="155" spans="2:14" s="1" customFormat="1" ht="12.75">
      <c r="B155" s="374" t="s">
        <v>1228</v>
      </c>
      <c r="C155" s="3">
        <v>108</v>
      </c>
      <c r="D155" s="373" t="s">
        <v>22</v>
      </c>
      <c r="E155" s="4"/>
      <c r="F155" s="374" t="s">
        <v>1170</v>
      </c>
      <c r="G155" s="374" t="s">
        <v>1980</v>
      </c>
      <c r="H155" s="375">
        <v>2</v>
      </c>
      <c r="I155" s="379">
        <v>23.63</v>
      </c>
      <c r="J155" s="376" t="s">
        <v>1171</v>
      </c>
      <c r="K155" s="376"/>
      <c r="L155" s="377">
        <f t="shared" si="13"/>
        <v>0</v>
      </c>
      <c r="M155" s="377">
        <f t="shared" si="14"/>
        <v>0</v>
      </c>
      <c r="N155" s="377">
        <f t="shared" si="15"/>
        <v>0</v>
      </c>
    </row>
    <row r="156" spans="2:14" s="1" customFormat="1" ht="12.75">
      <c r="B156" s="374" t="s">
        <v>1228</v>
      </c>
      <c r="C156" s="3">
        <v>108</v>
      </c>
      <c r="D156" s="373" t="s">
        <v>22</v>
      </c>
      <c r="E156" s="4"/>
      <c r="F156" s="374" t="s">
        <v>1173</v>
      </c>
      <c r="G156" s="374" t="s">
        <v>1981</v>
      </c>
      <c r="H156" s="375">
        <v>2</v>
      </c>
      <c r="I156" s="379">
        <v>20.74</v>
      </c>
      <c r="J156" s="376" t="s">
        <v>1171</v>
      </c>
      <c r="K156" s="376"/>
      <c r="L156" s="377">
        <f t="shared" si="13"/>
        <v>0</v>
      </c>
      <c r="M156" s="377">
        <f t="shared" si="14"/>
        <v>0</v>
      </c>
      <c r="N156" s="377">
        <f t="shared" si="15"/>
        <v>0</v>
      </c>
    </row>
    <row r="157" spans="2:14" s="1" customFormat="1" ht="12.75">
      <c r="B157" s="374" t="s">
        <v>1228</v>
      </c>
      <c r="C157" s="3">
        <v>108</v>
      </c>
      <c r="D157" s="373" t="s">
        <v>22</v>
      </c>
      <c r="E157" s="4"/>
      <c r="F157" s="374" t="s">
        <v>1173</v>
      </c>
      <c r="G157" s="374" t="s">
        <v>1981</v>
      </c>
      <c r="H157" s="375">
        <v>2</v>
      </c>
      <c r="I157" s="379">
        <v>20.74</v>
      </c>
      <c r="J157" s="376" t="s">
        <v>1171</v>
      </c>
      <c r="K157" s="376"/>
      <c r="L157" s="377">
        <f t="shared" si="13"/>
        <v>0</v>
      </c>
      <c r="M157" s="377">
        <f t="shared" si="14"/>
        <v>0</v>
      </c>
      <c r="N157" s="377">
        <f t="shared" si="15"/>
        <v>0</v>
      </c>
    </row>
    <row r="158" spans="2:14" s="1" customFormat="1" ht="12.75">
      <c r="B158" s="374" t="s">
        <v>1228</v>
      </c>
      <c r="C158" s="3">
        <v>108</v>
      </c>
      <c r="D158" s="373" t="s">
        <v>22</v>
      </c>
      <c r="E158" s="4"/>
      <c r="F158" s="374" t="s">
        <v>1173</v>
      </c>
      <c r="G158" s="374" t="s">
        <v>1982</v>
      </c>
      <c r="H158" s="375">
        <v>2</v>
      </c>
      <c r="I158" s="379">
        <v>10.36</v>
      </c>
      <c r="J158" s="376" t="s">
        <v>1171</v>
      </c>
      <c r="K158" s="376"/>
      <c r="L158" s="377">
        <f t="shared" si="13"/>
        <v>0</v>
      </c>
      <c r="M158" s="377">
        <f t="shared" si="14"/>
        <v>0</v>
      </c>
      <c r="N158" s="377">
        <f t="shared" si="15"/>
        <v>0</v>
      </c>
    </row>
    <row r="159" spans="2:14" s="1" customFormat="1" ht="12.75">
      <c r="B159" s="374" t="s">
        <v>1228</v>
      </c>
      <c r="C159" s="3">
        <v>108</v>
      </c>
      <c r="D159" s="373" t="s">
        <v>22</v>
      </c>
      <c r="E159" s="4"/>
      <c r="F159" s="374" t="s">
        <v>1170</v>
      </c>
      <c r="G159" s="374" t="s">
        <v>1983</v>
      </c>
      <c r="H159" s="375">
        <v>2</v>
      </c>
      <c r="I159" s="379">
        <v>10.36</v>
      </c>
      <c r="J159" s="376" t="s">
        <v>1171</v>
      </c>
      <c r="K159" s="376"/>
      <c r="L159" s="377">
        <f t="shared" si="13"/>
        <v>0</v>
      </c>
      <c r="M159" s="377">
        <f t="shared" si="14"/>
        <v>0</v>
      </c>
      <c r="N159" s="377">
        <f t="shared" si="15"/>
        <v>0</v>
      </c>
    </row>
    <row r="160" spans="2:14" s="1" customFormat="1" ht="12.75">
      <c r="B160" s="374" t="s">
        <v>1228</v>
      </c>
      <c r="C160" s="3">
        <v>108</v>
      </c>
      <c r="D160" s="373" t="s">
        <v>22</v>
      </c>
      <c r="E160" s="4"/>
      <c r="F160" s="374" t="s">
        <v>1173</v>
      </c>
      <c r="G160" s="374" t="s">
        <v>1984</v>
      </c>
      <c r="H160" s="375">
        <v>2</v>
      </c>
      <c r="I160" s="379">
        <v>7.32</v>
      </c>
      <c r="J160" s="376" t="s">
        <v>1171</v>
      </c>
      <c r="K160" s="376"/>
      <c r="L160" s="377">
        <f t="shared" si="13"/>
        <v>0</v>
      </c>
      <c r="M160" s="377">
        <f t="shared" si="14"/>
        <v>0</v>
      </c>
      <c r="N160" s="377">
        <f t="shared" si="15"/>
        <v>0</v>
      </c>
    </row>
    <row r="161" spans="1:14" s="1" customFormat="1" ht="12.75">
      <c r="B161" s="374" t="s">
        <v>1228</v>
      </c>
      <c r="C161" s="3">
        <v>108</v>
      </c>
      <c r="D161" s="373" t="s">
        <v>22</v>
      </c>
      <c r="E161" s="4"/>
      <c r="F161" s="374" t="s">
        <v>1170</v>
      </c>
      <c r="G161" s="374" t="s">
        <v>1985</v>
      </c>
      <c r="H161" s="375">
        <v>2</v>
      </c>
      <c r="I161" s="379">
        <v>7.32</v>
      </c>
      <c r="J161" s="376" t="s">
        <v>1171</v>
      </c>
      <c r="K161" s="376"/>
      <c r="L161" s="377">
        <f t="shared" si="13"/>
        <v>0</v>
      </c>
      <c r="M161" s="377">
        <f t="shared" si="14"/>
        <v>0</v>
      </c>
      <c r="N161" s="377">
        <f t="shared" si="15"/>
        <v>0</v>
      </c>
    </row>
    <row r="162" spans="1:14" s="1" customFormat="1" ht="12.75">
      <c r="B162" s="374" t="s">
        <v>1228</v>
      </c>
      <c r="C162" s="3">
        <v>108</v>
      </c>
      <c r="D162" s="373" t="s">
        <v>22</v>
      </c>
      <c r="E162" s="4"/>
      <c r="F162" s="374" t="s">
        <v>1172</v>
      </c>
      <c r="G162" s="374" t="s">
        <v>1986</v>
      </c>
      <c r="H162" s="375">
        <v>12</v>
      </c>
      <c r="I162" s="379">
        <v>10.8</v>
      </c>
      <c r="J162" s="376" t="s">
        <v>1171</v>
      </c>
      <c r="K162" s="376"/>
      <c r="L162" s="377">
        <f t="shared" si="13"/>
        <v>0</v>
      </c>
      <c r="M162" s="377">
        <f t="shared" si="14"/>
        <v>0</v>
      </c>
      <c r="N162" s="377">
        <f t="shared" si="15"/>
        <v>0</v>
      </c>
    </row>
    <row r="163" spans="1:14" s="1" customFormat="1" ht="12.75">
      <c r="B163" s="374" t="s">
        <v>1228</v>
      </c>
      <c r="C163" s="3">
        <v>108</v>
      </c>
      <c r="D163" s="373" t="s">
        <v>22</v>
      </c>
      <c r="E163" s="4"/>
      <c r="F163" s="374" t="s">
        <v>1172</v>
      </c>
      <c r="G163" s="374" t="s">
        <v>1987</v>
      </c>
      <c r="H163" s="375">
        <v>12</v>
      </c>
      <c r="I163" s="379">
        <f>2*12</f>
        <v>24</v>
      </c>
      <c r="J163" s="376" t="s">
        <v>1171</v>
      </c>
      <c r="K163" s="376"/>
      <c r="L163" s="377">
        <f t="shared" si="13"/>
        <v>0</v>
      </c>
      <c r="M163" s="377">
        <f t="shared" si="14"/>
        <v>0</v>
      </c>
      <c r="N163" s="377">
        <f t="shared" si="15"/>
        <v>0</v>
      </c>
    </row>
    <row r="164" spans="1:14" s="1" customFormat="1" ht="12.75">
      <c r="B164" s="374" t="s">
        <v>1228</v>
      </c>
      <c r="C164" s="3">
        <v>108</v>
      </c>
      <c r="D164" s="373" t="s">
        <v>22</v>
      </c>
      <c r="E164" s="4"/>
      <c r="F164" s="374" t="s">
        <v>1222</v>
      </c>
      <c r="G164" s="374" t="s">
        <v>1988</v>
      </c>
      <c r="H164" s="375">
        <v>2</v>
      </c>
      <c r="I164" s="379">
        <v>24</v>
      </c>
      <c r="J164" s="376" t="s">
        <v>1171</v>
      </c>
      <c r="K164" s="376"/>
      <c r="L164" s="377">
        <f t="shared" si="13"/>
        <v>0</v>
      </c>
      <c r="M164" s="377">
        <f t="shared" si="14"/>
        <v>0</v>
      </c>
      <c r="N164" s="377">
        <f t="shared" si="15"/>
        <v>0</v>
      </c>
    </row>
    <row r="165" spans="1:14" s="1" customFormat="1" ht="12.75">
      <c r="B165" s="374" t="s">
        <v>1228</v>
      </c>
      <c r="C165" s="3">
        <v>108</v>
      </c>
      <c r="D165" s="373" t="s">
        <v>22</v>
      </c>
      <c r="E165" s="4"/>
      <c r="F165" s="374" t="s">
        <v>1222</v>
      </c>
      <c r="G165" s="374" t="s">
        <v>1989</v>
      </c>
      <c r="H165" s="375">
        <v>2</v>
      </c>
      <c r="I165" s="379">
        <v>24</v>
      </c>
      <c r="J165" s="376" t="s">
        <v>1171</v>
      </c>
      <c r="K165" s="376"/>
      <c r="L165" s="377">
        <f t="shared" si="13"/>
        <v>0</v>
      </c>
      <c r="M165" s="377">
        <f t="shared" si="14"/>
        <v>0</v>
      </c>
      <c r="N165" s="377">
        <f t="shared" si="15"/>
        <v>0</v>
      </c>
    </row>
    <row r="166" spans="1:14" s="1" customFormat="1" ht="12.75">
      <c r="B166" s="374" t="s">
        <v>1228</v>
      </c>
      <c r="C166" s="3">
        <v>108</v>
      </c>
      <c r="D166" s="373" t="s">
        <v>22</v>
      </c>
      <c r="E166" s="4"/>
      <c r="F166" s="374" t="s">
        <v>1173</v>
      </c>
      <c r="G166" s="374" t="s">
        <v>1283</v>
      </c>
      <c r="H166" s="375">
        <v>2</v>
      </c>
      <c r="I166" s="379">
        <v>37.200000000000003</v>
      </c>
      <c r="J166" s="376" t="s">
        <v>1171</v>
      </c>
      <c r="K166" s="376"/>
      <c r="L166" s="377">
        <f t="shared" si="13"/>
        <v>0</v>
      </c>
      <c r="M166" s="377">
        <f t="shared" si="14"/>
        <v>0</v>
      </c>
      <c r="N166" s="377">
        <f t="shared" si="15"/>
        <v>0</v>
      </c>
    </row>
    <row r="167" spans="1:14" s="1" customFormat="1" ht="12.75">
      <c r="B167" s="374" t="s">
        <v>1228</v>
      </c>
      <c r="C167" s="3">
        <v>108</v>
      </c>
      <c r="D167" s="373" t="s">
        <v>22</v>
      </c>
      <c r="E167" s="4"/>
      <c r="F167" s="374" t="s">
        <v>1170</v>
      </c>
      <c r="G167" s="374" t="s">
        <v>1283</v>
      </c>
      <c r="H167" s="375">
        <v>2</v>
      </c>
      <c r="I167" s="379">
        <v>37.200000000000003</v>
      </c>
      <c r="J167" s="376" t="s">
        <v>1171</v>
      </c>
      <c r="K167" s="376"/>
      <c r="L167" s="377">
        <f t="shared" si="13"/>
        <v>0</v>
      </c>
      <c r="M167" s="377">
        <f t="shared" si="14"/>
        <v>0</v>
      </c>
      <c r="N167" s="377">
        <f t="shared" si="15"/>
        <v>0</v>
      </c>
    </row>
    <row r="168" spans="1:14" s="1" customFormat="1" ht="12.75">
      <c r="B168" s="374" t="s">
        <v>1228</v>
      </c>
      <c r="C168" s="3">
        <v>108</v>
      </c>
      <c r="D168" s="373" t="s">
        <v>22</v>
      </c>
      <c r="E168" s="4"/>
      <c r="F168" s="374" t="s">
        <v>1173</v>
      </c>
      <c r="G168" s="374" t="s">
        <v>1256</v>
      </c>
      <c r="H168" s="375">
        <v>2</v>
      </c>
      <c r="I168" s="379">
        <v>8.19</v>
      </c>
      <c r="J168" s="376" t="s">
        <v>1171</v>
      </c>
      <c r="K168" s="376"/>
      <c r="L168" s="377">
        <f t="shared" si="13"/>
        <v>0</v>
      </c>
      <c r="M168" s="377">
        <f t="shared" si="14"/>
        <v>0</v>
      </c>
      <c r="N168" s="377">
        <f t="shared" si="15"/>
        <v>0</v>
      </c>
    </row>
    <row r="169" spans="1:14" s="1" customFormat="1" ht="12.75">
      <c r="B169" s="374" t="s">
        <v>1228</v>
      </c>
      <c r="C169" s="3">
        <v>108</v>
      </c>
      <c r="D169" s="373" t="s">
        <v>22</v>
      </c>
      <c r="E169" s="4"/>
      <c r="F169" s="374" t="s">
        <v>1170</v>
      </c>
      <c r="G169" s="374" t="s">
        <v>1256</v>
      </c>
      <c r="H169" s="375">
        <v>2</v>
      </c>
      <c r="I169" s="379">
        <v>8.19</v>
      </c>
      <c r="J169" s="376" t="s">
        <v>1171</v>
      </c>
      <c r="K169" s="376"/>
      <c r="L169" s="377">
        <f t="shared" si="13"/>
        <v>0</v>
      </c>
      <c r="M169" s="377">
        <f t="shared" si="14"/>
        <v>0</v>
      </c>
      <c r="N169" s="377">
        <f t="shared" si="15"/>
        <v>0</v>
      </c>
    </row>
    <row r="170" spans="1:14" s="1" customFormat="1" ht="12.75">
      <c r="B170" s="374" t="s">
        <v>1228</v>
      </c>
      <c r="C170" s="3">
        <v>108</v>
      </c>
      <c r="D170" s="373" t="s">
        <v>22</v>
      </c>
      <c r="E170" s="4"/>
      <c r="F170" s="374" t="s">
        <v>1173</v>
      </c>
      <c r="G170" s="374" t="s">
        <v>1262</v>
      </c>
      <c r="H170" s="375">
        <v>2</v>
      </c>
      <c r="I170" s="379">
        <v>37.200000000000003</v>
      </c>
      <c r="J170" s="376" t="s">
        <v>1171</v>
      </c>
      <c r="K170" s="376"/>
      <c r="L170" s="377">
        <f t="shared" si="13"/>
        <v>0</v>
      </c>
      <c r="M170" s="377">
        <f t="shared" si="14"/>
        <v>0</v>
      </c>
      <c r="N170" s="377">
        <f t="shared" si="15"/>
        <v>0</v>
      </c>
    </row>
    <row r="171" spans="1:14" s="1" customFormat="1" ht="12.75">
      <c r="B171" s="374" t="s">
        <v>1228</v>
      </c>
      <c r="C171" s="3">
        <v>108</v>
      </c>
      <c r="D171" s="373" t="s">
        <v>22</v>
      </c>
      <c r="E171" s="4"/>
      <c r="F171" s="374" t="s">
        <v>1170</v>
      </c>
      <c r="G171" s="374" t="s">
        <v>1262</v>
      </c>
      <c r="H171" s="375">
        <v>2</v>
      </c>
      <c r="I171" s="379">
        <v>37.200000000000003</v>
      </c>
      <c r="J171" s="376" t="s">
        <v>1171</v>
      </c>
      <c r="K171" s="376"/>
      <c r="L171" s="377">
        <f t="shared" si="13"/>
        <v>0</v>
      </c>
      <c r="M171" s="377">
        <f t="shared" si="14"/>
        <v>0</v>
      </c>
      <c r="N171" s="377">
        <f t="shared" si="15"/>
        <v>0</v>
      </c>
    </row>
    <row r="172" spans="1:14" s="1" customFormat="1" ht="12.75">
      <c r="B172" s="374" t="s">
        <v>1228</v>
      </c>
      <c r="C172" s="3">
        <v>108</v>
      </c>
      <c r="D172" s="373" t="s">
        <v>22</v>
      </c>
      <c r="E172" s="4"/>
      <c r="F172" s="374" t="s">
        <v>1173</v>
      </c>
      <c r="G172" s="374" t="s">
        <v>1261</v>
      </c>
      <c r="H172" s="375">
        <v>2</v>
      </c>
      <c r="I172" s="379">
        <v>8.19</v>
      </c>
      <c r="J172" s="376" t="s">
        <v>1171</v>
      </c>
      <c r="K172" s="376"/>
      <c r="L172" s="377">
        <f t="shared" si="13"/>
        <v>0</v>
      </c>
      <c r="M172" s="377">
        <f t="shared" si="14"/>
        <v>0</v>
      </c>
      <c r="N172" s="377">
        <f t="shared" si="15"/>
        <v>0</v>
      </c>
    </row>
    <row r="173" spans="1:14" s="1" customFormat="1" ht="12.75">
      <c r="B173" s="374" t="s">
        <v>1228</v>
      </c>
      <c r="C173" s="3">
        <v>108</v>
      </c>
      <c r="D173" s="373" t="s">
        <v>22</v>
      </c>
      <c r="E173" s="4"/>
      <c r="F173" s="374" t="s">
        <v>1170</v>
      </c>
      <c r="G173" s="374" t="s">
        <v>1261</v>
      </c>
      <c r="H173" s="375">
        <v>2</v>
      </c>
      <c r="I173" s="379">
        <v>8.19</v>
      </c>
      <c r="J173" s="376" t="s">
        <v>1171</v>
      </c>
      <c r="K173" s="376"/>
      <c r="L173" s="377">
        <f t="shared" si="13"/>
        <v>0</v>
      </c>
      <c r="M173" s="377">
        <f t="shared" si="14"/>
        <v>0</v>
      </c>
      <c r="N173" s="377">
        <f t="shared" si="15"/>
        <v>0</v>
      </c>
    </row>
    <row r="174" spans="1:14" s="1" customFormat="1" ht="12.75">
      <c r="A174" s="1" t="str">
        <f t="shared" ref="A174:A205" si="16">CONCATENATE(C174,H174)</f>
        <v>10826</v>
      </c>
      <c r="B174" s="374" t="s">
        <v>1228</v>
      </c>
      <c r="C174" s="3">
        <v>108</v>
      </c>
      <c r="D174" s="373" t="s">
        <v>22</v>
      </c>
      <c r="E174" s="4"/>
      <c r="F174" s="374" t="s">
        <v>1172</v>
      </c>
      <c r="G174" s="374" t="s">
        <v>1320</v>
      </c>
      <c r="H174" s="375">
        <v>26</v>
      </c>
      <c r="I174" s="379">
        <v>5</v>
      </c>
      <c r="J174" s="376" t="s">
        <v>1171</v>
      </c>
      <c r="K174" s="376" t="s">
        <v>1321</v>
      </c>
      <c r="L174" s="377">
        <f t="shared" si="13"/>
        <v>0</v>
      </c>
      <c r="M174" s="377">
        <f t="shared" si="14"/>
        <v>0</v>
      </c>
      <c r="N174" s="377">
        <f t="shared" si="15"/>
        <v>0</v>
      </c>
    </row>
    <row r="175" spans="1:14" s="1" customFormat="1" ht="12.75">
      <c r="A175" s="1" t="str">
        <f t="shared" si="16"/>
        <v>10926</v>
      </c>
      <c r="B175" s="374" t="s">
        <v>853</v>
      </c>
      <c r="C175" s="3">
        <v>109</v>
      </c>
      <c r="D175" s="373" t="s">
        <v>22</v>
      </c>
      <c r="E175" s="4"/>
      <c r="F175" s="374" t="s">
        <v>1172</v>
      </c>
      <c r="G175" s="374" t="s">
        <v>1320</v>
      </c>
      <c r="H175" s="375">
        <v>26</v>
      </c>
      <c r="I175" s="379">
        <f>1.7</f>
        <v>1.7</v>
      </c>
      <c r="J175" s="376" t="s">
        <v>1171</v>
      </c>
      <c r="K175" s="376" t="s">
        <v>1321</v>
      </c>
      <c r="L175" s="377">
        <f t="shared" si="13"/>
        <v>0</v>
      </c>
      <c r="M175" s="377">
        <f t="shared" si="14"/>
        <v>0</v>
      </c>
      <c r="N175" s="377">
        <f t="shared" si="15"/>
        <v>0</v>
      </c>
    </row>
    <row r="176" spans="1:14" s="1" customFormat="1" ht="12.75">
      <c r="A176" s="1" t="str">
        <f t="shared" si="16"/>
        <v>1102</v>
      </c>
      <c r="B176" s="374" t="s">
        <v>1229</v>
      </c>
      <c r="C176" s="3">
        <v>110</v>
      </c>
      <c r="D176" s="373" t="s">
        <v>22</v>
      </c>
      <c r="E176" s="378" t="s">
        <v>224</v>
      </c>
      <c r="F176" s="374" t="s">
        <v>1170</v>
      </c>
      <c r="G176" s="374" t="s">
        <v>1230</v>
      </c>
      <c r="H176" s="375">
        <v>2</v>
      </c>
      <c r="I176" s="379">
        <f>+(9.2+3.1+1.7+1.7+2.5+6.6)*3.15-2</f>
        <v>76.11999999999999</v>
      </c>
      <c r="J176" s="376" t="s">
        <v>1171</v>
      </c>
      <c r="K176" s="376"/>
      <c r="L176" s="377">
        <f t="shared" si="13"/>
        <v>0</v>
      </c>
      <c r="M176" s="377">
        <f t="shared" si="14"/>
        <v>0</v>
      </c>
      <c r="N176" s="377">
        <f t="shared" si="15"/>
        <v>0</v>
      </c>
    </row>
    <row r="177" spans="1:14" s="1" customFormat="1" ht="12.75">
      <c r="A177" s="1" t="str">
        <f t="shared" si="16"/>
        <v>1102</v>
      </c>
      <c r="B177" s="374" t="s">
        <v>1229</v>
      </c>
      <c r="C177" s="3">
        <v>110</v>
      </c>
      <c r="D177" s="373" t="s">
        <v>22</v>
      </c>
      <c r="E177" s="378" t="s">
        <v>224</v>
      </c>
      <c r="F177" s="374" t="s">
        <v>1173</v>
      </c>
      <c r="G177" s="374" t="s">
        <v>1230</v>
      </c>
      <c r="H177" s="375">
        <v>2</v>
      </c>
      <c r="I177" s="379">
        <f>+(9.2+3.1+1.7+1.7+2.5+6.6)*3.15-2</f>
        <v>76.11999999999999</v>
      </c>
      <c r="J177" s="376" t="s">
        <v>1171</v>
      </c>
      <c r="K177" s="376"/>
      <c r="L177" s="377">
        <f t="shared" si="13"/>
        <v>0</v>
      </c>
      <c r="M177" s="377">
        <f t="shared" si="14"/>
        <v>0</v>
      </c>
      <c r="N177" s="377">
        <f t="shared" si="15"/>
        <v>0</v>
      </c>
    </row>
    <row r="178" spans="1:14" s="1" customFormat="1" ht="12.75">
      <c r="A178" s="1" t="str">
        <f t="shared" si="16"/>
        <v>1102</v>
      </c>
      <c r="B178" s="374" t="s">
        <v>1229</v>
      </c>
      <c r="C178" s="3">
        <v>110</v>
      </c>
      <c r="D178" s="373" t="s">
        <v>22</v>
      </c>
      <c r="E178" s="378" t="s">
        <v>224</v>
      </c>
      <c r="F178" s="374" t="s">
        <v>1231</v>
      </c>
      <c r="G178" s="374" t="s">
        <v>1232</v>
      </c>
      <c r="H178" s="375">
        <v>2</v>
      </c>
      <c r="I178" s="379">
        <f>6.6*5</f>
        <v>33</v>
      </c>
      <c r="J178" s="376" t="s">
        <v>1171</v>
      </c>
      <c r="K178" s="376" t="s">
        <v>1233</v>
      </c>
      <c r="L178" s="377">
        <f t="shared" si="13"/>
        <v>0</v>
      </c>
      <c r="M178" s="377">
        <f t="shared" si="14"/>
        <v>0</v>
      </c>
      <c r="N178" s="377">
        <f t="shared" si="15"/>
        <v>0</v>
      </c>
    </row>
    <row r="179" spans="1:14" s="1" customFormat="1" ht="12.75">
      <c r="A179" s="1" t="str">
        <f t="shared" si="16"/>
        <v>1102</v>
      </c>
      <c r="B179" s="374" t="s">
        <v>1229</v>
      </c>
      <c r="C179" s="3">
        <v>110</v>
      </c>
      <c r="D179" s="373" t="s">
        <v>22</v>
      </c>
      <c r="E179" s="378" t="s">
        <v>224</v>
      </c>
      <c r="F179" s="374" t="s">
        <v>1231</v>
      </c>
      <c r="G179" s="374" t="s">
        <v>1234</v>
      </c>
      <c r="H179" s="375">
        <v>2</v>
      </c>
      <c r="I179" s="379">
        <f>6.6*3.1</f>
        <v>20.46</v>
      </c>
      <c r="J179" s="376" t="s">
        <v>1174</v>
      </c>
      <c r="K179" s="376" t="s">
        <v>1233</v>
      </c>
      <c r="L179" s="377">
        <f t="shared" si="13"/>
        <v>0</v>
      </c>
      <c r="M179" s="377">
        <f t="shared" si="14"/>
        <v>0</v>
      </c>
      <c r="N179" s="377">
        <f t="shared" si="15"/>
        <v>0</v>
      </c>
    </row>
    <row r="180" spans="1:14" s="1" customFormat="1" ht="12.75">
      <c r="A180" s="1" t="str">
        <f t="shared" si="16"/>
        <v>1102</v>
      </c>
      <c r="B180" s="374" t="s">
        <v>1229</v>
      </c>
      <c r="C180" s="3">
        <v>110</v>
      </c>
      <c r="D180" s="373" t="s">
        <v>22</v>
      </c>
      <c r="E180" s="378" t="s">
        <v>224</v>
      </c>
      <c r="F180" s="374" t="s">
        <v>1170</v>
      </c>
      <c r="G180" s="374" t="s">
        <v>1235</v>
      </c>
      <c r="H180" s="375">
        <v>2</v>
      </c>
      <c r="I180" s="379">
        <f>6*3.1*2</f>
        <v>37.200000000000003</v>
      </c>
      <c r="J180" s="376" t="s">
        <v>1174</v>
      </c>
      <c r="K180" s="376"/>
      <c r="L180" s="377">
        <f t="shared" si="13"/>
        <v>0</v>
      </c>
      <c r="M180" s="377">
        <f t="shared" si="14"/>
        <v>0</v>
      </c>
      <c r="N180" s="377">
        <f t="shared" si="15"/>
        <v>0</v>
      </c>
    </row>
    <row r="181" spans="1:14" s="1" customFormat="1" ht="12.75">
      <c r="A181" s="1" t="str">
        <f t="shared" si="16"/>
        <v>1102</v>
      </c>
      <c r="B181" s="374" t="s">
        <v>1229</v>
      </c>
      <c r="C181" s="3">
        <v>110</v>
      </c>
      <c r="D181" s="373" t="s">
        <v>22</v>
      </c>
      <c r="E181" s="378" t="s">
        <v>224</v>
      </c>
      <c r="F181" s="374" t="s">
        <v>1173</v>
      </c>
      <c r="G181" s="374" t="s">
        <v>1235</v>
      </c>
      <c r="H181" s="375">
        <v>2</v>
      </c>
      <c r="I181" s="379">
        <f>6*3.1*2</f>
        <v>37.200000000000003</v>
      </c>
      <c r="J181" s="376" t="s">
        <v>1171</v>
      </c>
      <c r="K181" s="376"/>
      <c r="L181" s="377">
        <f t="shared" si="13"/>
        <v>0</v>
      </c>
      <c r="M181" s="377">
        <f t="shared" si="14"/>
        <v>0</v>
      </c>
      <c r="N181" s="377">
        <f t="shared" si="15"/>
        <v>0</v>
      </c>
    </row>
    <row r="182" spans="1:14" s="1" customFormat="1" ht="12.75">
      <c r="A182" s="1" t="str">
        <f t="shared" si="16"/>
        <v>1102</v>
      </c>
      <c r="B182" s="374" t="s">
        <v>1229</v>
      </c>
      <c r="C182" s="3">
        <v>110</v>
      </c>
      <c r="D182" s="373" t="s">
        <v>22</v>
      </c>
      <c r="E182" s="378" t="s">
        <v>224</v>
      </c>
      <c r="F182" s="374" t="s">
        <v>1170</v>
      </c>
      <c r="G182" s="374" t="s">
        <v>1236</v>
      </c>
      <c r="H182" s="375">
        <v>2</v>
      </c>
      <c r="I182" s="379">
        <f>1.95*2.1*2</f>
        <v>8.19</v>
      </c>
      <c r="J182" s="376" t="s">
        <v>1174</v>
      </c>
      <c r="K182" s="376"/>
      <c r="L182" s="377">
        <f t="shared" si="13"/>
        <v>0</v>
      </c>
      <c r="M182" s="377">
        <f t="shared" si="14"/>
        <v>0</v>
      </c>
      <c r="N182" s="377">
        <f t="shared" si="15"/>
        <v>0</v>
      </c>
    </row>
    <row r="183" spans="1:14" s="1" customFormat="1" ht="12.75">
      <c r="A183" s="1" t="str">
        <f t="shared" si="16"/>
        <v>1102</v>
      </c>
      <c r="B183" s="374" t="s">
        <v>1229</v>
      </c>
      <c r="C183" s="3">
        <v>110</v>
      </c>
      <c r="D183" s="373" t="s">
        <v>22</v>
      </c>
      <c r="E183" s="378" t="s">
        <v>224</v>
      </c>
      <c r="F183" s="374" t="s">
        <v>1173</v>
      </c>
      <c r="G183" s="374" t="s">
        <v>1236</v>
      </c>
      <c r="H183" s="375">
        <v>2</v>
      </c>
      <c r="I183" s="379">
        <f>1.95*2.1*2</f>
        <v>8.19</v>
      </c>
      <c r="J183" s="376" t="s">
        <v>1171</v>
      </c>
      <c r="K183" s="376"/>
      <c r="L183" s="377">
        <f t="shared" si="13"/>
        <v>0</v>
      </c>
      <c r="M183" s="377">
        <f t="shared" si="14"/>
        <v>0</v>
      </c>
      <c r="N183" s="377">
        <f t="shared" si="15"/>
        <v>0</v>
      </c>
    </row>
    <row r="184" spans="1:14" s="1" customFormat="1" ht="12.75">
      <c r="A184" s="1" t="str">
        <f t="shared" si="16"/>
        <v>1102</v>
      </c>
      <c r="B184" s="374" t="s">
        <v>1229</v>
      </c>
      <c r="C184" s="3">
        <v>110</v>
      </c>
      <c r="D184" s="373" t="s">
        <v>22</v>
      </c>
      <c r="E184" s="378" t="s">
        <v>224</v>
      </c>
      <c r="F184" s="374" t="s">
        <v>1181</v>
      </c>
      <c r="G184" s="374" t="s">
        <v>1237</v>
      </c>
      <c r="H184" s="375">
        <v>2</v>
      </c>
      <c r="I184" s="379">
        <f>+(1.35+0.65)*12</f>
        <v>24</v>
      </c>
      <c r="J184" s="376" t="s">
        <v>1174</v>
      </c>
      <c r="K184" s="376" t="s">
        <v>1238</v>
      </c>
      <c r="L184" s="377">
        <f t="shared" si="13"/>
        <v>0</v>
      </c>
      <c r="M184" s="377">
        <f t="shared" si="14"/>
        <v>0</v>
      </c>
      <c r="N184" s="377">
        <f t="shared" si="15"/>
        <v>0</v>
      </c>
    </row>
    <row r="185" spans="1:14" s="1" customFormat="1" ht="12.75">
      <c r="A185" s="1" t="str">
        <f t="shared" si="16"/>
        <v>1102</v>
      </c>
      <c r="B185" s="374" t="s">
        <v>1229</v>
      </c>
      <c r="C185" s="3">
        <v>110</v>
      </c>
      <c r="D185" s="373" t="s">
        <v>22</v>
      </c>
      <c r="E185" s="378" t="s">
        <v>224</v>
      </c>
      <c r="F185" s="374" t="s">
        <v>1179</v>
      </c>
      <c r="G185" s="374" t="s">
        <v>1237</v>
      </c>
      <c r="H185" s="375">
        <v>2</v>
      </c>
      <c r="I185" s="379">
        <f>+(1.35+0.65)*12</f>
        <v>24</v>
      </c>
      <c r="J185" s="376" t="s">
        <v>1171</v>
      </c>
      <c r="K185" s="376" t="s">
        <v>1238</v>
      </c>
      <c r="L185" s="377">
        <f t="shared" si="13"/>
        <v>0</v>
      </c>
      <c r="M185" s="377">
        <f t="shared" si="14"/>
        <v>0</v>
      </c>
      <c r="N185" s="377">
        <f t="shared" si="15"/>
        <v>0</v>
      </c>
    </row>
    <row r="186" spans="1:14" s="1" customFormat="1" ht="12.75">
      <c r="A186" s="1" t="str">
        <f t="shared" si="16"/>
        <v>1102</v>
      </c>
      <c r="B186" s="374" t="s">
        <v>1229</v>
      </c>
      <c r="C186" s="3">
        <v>110</v>
      </c>
      <c r="D186" s="373" t="s">
        <v>22</v>
      </c>
      <c r="E186" s="378" t="s">
        <v>224</v>
      </c>
      <c r="F186" s="374" t="s">
        <v>1182</v>
      </c>
      <c r="G186" s="374" t="s">
        <v>1226</v>
      </c>
      <c r="H186" s="375">
        <v>2</v>
      </c>
      <c r="I186" s="379">
        <v>7.45</v>
      </c>
      <c r="J186" s="376" t="s">
        <v>1171</v>
      </c>
      <c r="K186" s="376" t="s">
        <v>1990</v>
      </c>
      <c r="L186" s="377">
        <f t="shared" si="13"/>
        <v>0</v>
      </c>
      <c r="M186" s="377">
        <f t="shared" si="14"/>
        <v>0</v>
      </c>
      <c r="N186" s="377">
        <f t="shared" si="15"/>
        <v>0</v>
      </c>
    </row>
    <row r="187" spans="1:14" s="1" customFormat="1" ht="12.75">
      <c r="A187" s="1" t="str">
        <f t="shared" si="16"/>
        <v>1102</v>
      </c>
      <c r="B187" s="374" t="s">
        <v>1229</v>
      </c>
      <c r="C187" s="3">
        <v>110</v>
      </c>
      <c r="D187" s="373" t="s">
        <v>22</v>
      </c>
      <c r="E187" s="378" t="s">
        <v>224</v>
      </c>
      <c r="F187" s="374" t="s">
        <v>1184</v>
      </c>
      <c r="G187" s="374" t="s">
        <v>1226</v>
      </c>
      <c r="H187" s="375">
        <v>2</v>
      </c>
      <c r="I187" s="379">
        <v>7.45</v>
      </c>
      <c r="J187" s="376" t="s">
        <v>1171</v>
      </c>
      <c r="K187" s="376" t="s">
        <v>1990</v>
      </c>
      <c r="L187" s="377">
        <f t="shared" si="13"/>
        <v>0</v>
      </c>
      <c r="M187" s="377">
        <f t="shared" si="14"/>
        <v>0</v>
      </c>
      <c r="N187" s="377">
        <f t="shared" si="15"/>
        <v>0</v>
      </c>
    </row>
    <row r="188" spans="1:14" s="1" customFormat="1" ht="12.75">
      <c r="A188" s="1" t="str">
        <f t="shared" si="16"/>
        <v>1102</v>
      </c>
      <c r="B188" s="374" t="s">
        <v>1229</v>
      </c>
      <c r="C188" s="3">
        <v>110</v>
      </c>
      <c r="D188" s="373" t="s">
        <v>22</v>
      </c>
      <c r="E188" s="378" t="s">
        <v>237</v>
      </c>
      <c r="F188" s="374" t="s">
        <v>1222</v>
      </c>
      <c r="G188" s="374" t="s">
        <v>1239</v>
      </c>
      <c r="H188" s="375">
        <v>2</v>
      </c>
      <c r="I188" s="379">
        <v>2</v>
      </c>
      <c r="J188" s="376" t="s">
        <v>1171</v>
      </c>
      <c r="K188" s="376"/>
      <c r="L188" s="377">
        <f t="shared" si="13"/>
        <v>0</v>
      </c>
      <c r="M188" s="377">
        <f t="shared" si="14"/>
        <v>0</v>
      </c>
      <c r="N188" s="377">
        <f t="shared" si="15"/>
        <v>0</v>
      </c>
    </row>
    <row r="189" spans="1:14" s="1" customFormat="1" ht="12.75">
      <c r="A189" s="1" t="str">
        <f t="shared" si="16"/>
        <v>1102</v>
      </c>
      <c r="B189" s="374" t="s">
        <v>1229</v>
      </c>
      <c r="C189" s="3">
        <v>110</v>
      </c>
      <c r="D189" s="373" t="s">
        <v>22</v>
      </c>
      <c r="E189" s="378" t="s">
        <v>237</v>
      </c>
      <c r="F189" s="374" t="s">
        <v>1225</v>
      </c>
      <c r="G189" s="374" t="s">
        <v>1239</v>
      </c>
      <c r="H189" s="375">
        <v>2</v>
      </c>
      <c r="I189" s="379">
        <v>2</v>
      </c>
      <c r="J189" s="376" t="s">
        <v>1171</v>
      </c>
      <c r="K189" s="376"/>
      <c r="L189" s="377">
        <f t="shared" si="13"/>
        <v>0</v>
      </c>
      <c r="M189" s="377">
        <f t="shared" si="14"/>
        <v>0</v>
      </c>
      <c r="N189" s="377">
        <f t="shared" si="15"/>
        <v>0</v>
      </c>
    </row>
    <row r="190" spans="1:14" s="1" customFormat="1" ht="12.75">
      <c r="A190" s="1" t="str">
        <f t="shared" si="16"/>
        <v>1102</v>
      </c>
      <c r="B190" s="374" t="s">
        <v>1229</v>
      </c>
      <c r="C190" s="3">
        <v>110</v>
      </c>
      <c r="D190" s="373" t="s">
        <v>22</v>
      </c>
      <c r="E190" s="378" t="s">
        <v>63</v>
      </c>
      <c r="F190" s="374" t="s">
        <v>1170</v>
      </c>
      <c r="G190" s="374" t="s">
        <v>1240</v>
      </c>
      <c r="H190" s="375">
        <v>2</v>
      </c>
      <c r="I190" s="379">
        <f>+(1.6+2+4.2+9.7)*3.15-2</f>
        <v>53.125</v>
      </c>
      <c r="J190" s="376" t="s">
        <v>1171</v>
      </c>
      <c r="K190" s="376"/>
      <c r="L190" s="377">
        <f t="shared" si="13"/>
        <v>0</v>
      </c>
      <c r="M190" s="377">
        <f t="shared" si="14"/>
        <v>0</v>
      </c>
      <c r="N190" s="377">
        <f t="shared" si="15"/>
        <v>0</v>
      </c>
    </row>
    <row r="191" spans="1:14" s="1" customFormat="1" ht="12.75">
      <c r="A191" s="1" t="str">
        <f t="shared" si="16"/>
        <v>1102</v>
      </c>
      <c r="B191" s="374" t="s">
        <v>1229</v>
      </c>
      <c r="C191" s="3">
        <v>110</v>
      </c>
      <c r="D191" s="373" t="s">
        <v>22</v>
      </c>
      <c r="E191" s="378" t="s">
        <v>63</v>
      </c>
      <c r="F191" s="374" t="s">
        <v>1173</v>
      </c>
      <c r="G191" s="374" t="s">
        <v>1240</v>
      </c>
      <c r="H191" s="375">
        <v>2</v>
      </c>
      <c r="I191" s="379">
        <f>+(1.6+2+4.2+9.7)*3.15-2</f>
        <v>53.125</v>
      </c>
      <c r="J191" s="376" t="s">
        <v>1171</v>
      </c>
      <c r="K191" s="376"/>
      <c r="L191" s="377">
        <f t="shared" si="13"/>
        <v>0</v>
      </c>
      <c r="M191" s="377">
        <f t="shared" si="14"/>
        <v>0</v>
      </c>
      <c r="N191" s="377">
        <f t="shared" si="15"/>
        <v>0</v>
      </c>
    </row>
    <row r="192" spans="1:14" s="1" customFormat="1" ht="12.75">
      <c r="A192" s="1" t="str">
        <f t="shared" si="16"/>
        <v>1102</v>
      </c>
      <c r="B192" s="374" t="s">
        <v>1229</v>
      </c>
      <c r="C192" s="3">
        <v>110</v>
      </c>
      <c r="D192" s="373" t="s">
        <v>22</v>
      </c>
      <c r="E192" s="378" t="s">
        <v>63</v>
      </c>
      <c r="F192" s="374" t="s">
        <v>1231</v>
      </c>
      <c r="G192" s="374" t="s">
        <v>1232</v>
      </c>
      <c r="H192" s="375">
        <v>2</v>
      </c>
      <c r="I192" s="379">
        <f>6.6*5</f>
        <v>33</v>
      </c>
      <c r="J192" s="376" t="s">
        <v>1171</v>
      </c>
      <c r="K192" s="376" t="s">
        <v>1233</v>
      </c>
      <c r="L192" s="377">
        <f t="shared" si="13"/>
        <v>0</v>
      </c>
      <c r="M192" s="377">
        <f t="shared" si="14"/>
        <v>0</v>
      </c>
      <c r="N192" s="377">
        <f t="shared" si="15"/>
        <v>0</v>
      </c>
    </row>
    <row r="193" spans="1:14" s="1" customFormat="1" ht="12.75">
      <c r="A193" s="1" t="str">
        <f t="shared" si="16"/>
        <v>1102</v>
      </c>
      <c r="B193" s="374" t="s">
        <v>1229</v>
      </c>
      <c r="C193" s="3">
        <v>110</v>
      </c>
      <c r="D193" s="373" t="s">
        <v>22</v>
      </c>
      <c r="E193" s="378" t="s">
        <v>63</v>
      </c>
      <c r="F193" s="374" t="s">
        <v>1231</v>
      </c>
      <c r="G193" s="374" t="s">
        <v>1234</v>
      </c>
      <c r="H193" s="375">
        <v>2</v>
      </c>
      <c r="I193" s="379">
        <f>6.6*3.1</f>
        <v>20.46</v>
      </c>
      <c r="J193" s="376" t="s">
        <v>1174</v>
      </c>
      <c r="K193" s="376" t="s">
        <v>1233</v>
      </c>
      <c r="L193" s="377">
        <f t="shared" si="13"/>
        <v>0</v>
      </c>
      <c r="M193" s="377">
        <f t="shared" si="14"/>
        <v>0</v>
      </c>
      <c r="N193" s="377">
        <f t="shared" si="15"/>
        <v>0</v>
      </c>
    </row>
    <row r="194" spans="1:14" s="1" customFormat="1" ht="12.75">
      <c r="A194" s="1" t="str">
        <f t="shared" si="16"/>
        <v>1102</v>
      </c>
      <c r="B194" s="374" t="s">
        <v>1229</v>
      </c>
      <c r="C194" s="3">
        <v>110</v>
      </c>
      <c r="D194" s="373" t="s">
        <v>22</v>
      </c>
      <c r="E194" s="378" t="s">
        <v>63</v>
      </c>
      <c r="F194" s="374" t="s">
        <v>1170</v>
      </c>
      <c r="G194" s="374" t="s">
        <v>1241</v>
      </c>
      <c r="H194" s="375">
        <v>2</v>
      </c>
      <c r="I194" s="379">
        <f>6*3.1*2</f>
        <v>37.200000000000003</v>
      </c>
      <c r="J194" s="376" t="s">
        <v>1174</v>
      </c>
      <c r="K194" s="376"/>
      <c r="L194" s="377">
        <f t="shared" si="13"/>
        <v>0</v>
      </c>
      <c r="M194" s="377">
        <f t="shared" si="14"/>
        <v>0</v>
      </c>
      <c r="N194" s="377">
        <f t="shared" si="15"/>
        <v>0</v>
      </c>
    </row>
    <row r="195" spans="1:14" s="1" customFormat="1" ht="12.75">
      <c r="A195" s="1" t="str">
        <f t="shared" si="16"/>
        <v>1102</v>
      </c>
      <c r="B195" s="374" t="s">
        <v>1229</v>
      </c>
      <c r="C195" s="3">
        <v>110</v>
      </c>
      <c r="D195" s="373" t="s">
        <v>22</v>
      </c>
      <c r="E195" s="378" t="s">
        <v>63</v>
      </c>
      <c r="F195" s="374" t="s">
        <v>1173</v>
      </c>
      <c r="G195" s="374" t="s">
        <v>1241</v>
      </c>
      <c r="H195" s="375">
        <v>2</v>
      </c>
      <c r="I195" s="379">
        <f>6*3.1*2</f>
        <v>37.200000000000003</v>
      </c>
      <c r="J195" s="376" t="s">
        <v>1171</v>
      </c>
      <c r="K195" s="376"/>
      <c r="L195" s="377">
        <f t="shared" si="13"/>
        <v>0</v>
      </c>
      <c r="M195" s="377">
        <f t="shared" si="14"/>
        <v>0</v>
      </c>
      <c r="N195" s="377">
        <f t="shared" si="15"/>
        <v>0</v>
      </c>
    </row>
    <row r="196" spans="1:14" s="1" customFormat="1" ht="12.75">
      <c r="A196" s="1" t="str">
        <f t="shared" si="16"/>
        <v>1102</v>
      </c>
      <c r="B196" s="374" t="s">
        <v>1229</v>
      </c>
      <c r="C196" s="3">
        <v>110</v>
      </c>
      <c r="D196" s="373" t="s">
        <v>22</v>
      </c>
      <c r="E196" s="378" t="s">
        <v>63</v>
      </c>
      <c r="F196" s="374" t="s">
        <v>1170</v>
      </c>
      <c r="G196" s="374" t="s">
        <v>1242</v>
      </c>
      <c r="H196" s="375">
        <v>2</v>
      </c>
      <c r="I196" s="379">
        <f>1.95*2.1*2</f>
        <v>8.19</v>
      </c>
      <c r="J196" s="376" t="s">
        <v>1174</v>
      </c>
      <c r="K196" s="376"/>
      <c r="L196" s="377">
        <f t="shared" si="13"/>
        <v>0</v>
      </c>
      <c r="M196" s="377">
        <f t="shared" si="14"/>
        <v>0</v>
      </c>
      <c r="N196" s="377">
        <f t="shared" si="15"/>
        <v>0</v>
      </c>
    </row>
    <row r="197" spans="1:14" s="1" customFormat="1" ht="12.75">
      <c r="A197" s="1" t="str">
        <f t="shared" si="16"/>
        <v>1102</v>
      </c>
      <c r="B197" s="374" t="s">
        <v>1229</v>
      </c>
      <c r="C197" s="3">
        <v>110</v>
      </c>
      <c r="D197" s="373" t="s">
        <v>22</v>
      </c>
      <c r="E197" s="378" t="s">
        <v>63</v>
      </c>
      <c r="F197" s="374" t="s">
        <v>1173</v>
      </c>
      <c r="G197" s="374" t="s">
        <v>1242</v>
      </c>
      <c r="H197" s="375">
        <v>2</v>
      </c>
      <c r="I197" s="379">
        <f>1.95*2.1*2</f>
        <v>8.19</v>
      </c>
      <c r="J197" s="376" t="s">
        <v>1171</v>
      </c>
      <c r="K197" s="376"/>
      <c r="L197" s="377">
        <f t="shared" si="13"/>
        <v>0</v>
      </c>
      <c r="M197" s="377">
        <f t="shared" si="14"/>
        <v>0</v>
      </c>
      <c r="N197" s="377">
        <f t="shared" si="15"/>
        <v>0</v>
      </c>
    </row>
    <row r="198" spans="1:14" s="1" customFormat="1" ht="12.75">
      <c r="A198" s="1" t="str">
        <f t="shared" si="16"/>
        <v>1102</v>
      </c>
      <c r="B198" s="374" t="s">
        <v>1229</v>
      </c>
      <c r="C198" s="3">
        <v>110</v>
      </c>
      <c r="D198" s="373" t="s">
        <v>22</v>
      </c>
      <c r="E198" s="378" t="s">
        <v>63</v>
      </c>
      <c r="F198" s="374" t="s">
        <v>1181</v>
      </c>
      <c r="G198" s="374" t="s">
        <v>1243</v>
      </c>
      <c r="H198" s="375">
        <v>2</v>
      </c>
      <c r="I198" s="379">
        <f>+(1.35+0.65)*12</f>
        <v>24</v>
      </c>
      <c r="J198" s="376" t="s">
        <v>1174</v>
      </c>
      <c r="K198" s="376" t="s">
        <v>1238</v>
      </c>
      <c r="L198" s="377">
        <f t="shared" si="13"/>
        <v>0</v>
      </c>
      <c r="M198" s="377">
        <f t="shared" si="14"/>
        <v>0</v>
      </c>
      <c r="N198" s="377">
        <f t="shared" si="15"/>
        <v>0</v>
      </c>
    </row>
    <row r="199" spans="1:14" s="1" customFormat="1" ht="12.75">
      <c r="A199" s="1" t="str">
        <f t="shared" si="16"/>
        <v>1102</v>
      </c>
      <c r="B199" s="374" t="s">
        <v>1229</v>
      </c>
      <c r="C199" s="3">
        <v>110</v>
      </c>
      <c r="D199" s="373" t="s">
        <v>22</v>
      </c>
      <c r="E199" s="378" t="s">
        <v>63</v>
      </c>
      <c r="F199" s="374" t="s">
        <v>1179</v>
      </c>
      <c r="G199" s="374" t="s">
        <v>1243</v>
      </c>
      <c r="H199" s="375">
        <v>2</v>
      </c>
      <c r="I199" s="379">
        <f>+(1.35+0.65)*12</f>
        <v>24</v>
      </c>
      <c r="J199" s="376" t="s">
        <v>1171</v>
      </c>
      <c r="K199" s="376" t="s">
        <v>1238</v>
      </c>
      <c r="L199" s="377">
        <f t="shared" si="13"/>
        <v>0</v>
      </c>
      <c r="M199" s="377">
        <f t="shared" si="14"/>
        <v>0</v>
      </c>
      <c r="N199" s="377">
        <f t="shared" si="15"/>
        <v>0</v>
      </c>
    </row>
    <row r="200" spans="1:14" s="1" customFormat="1" ht="12.75">
      <c r="A200" s="1" t="str">
        <f t="shared" si="16"/>
        <v>1102</v>
      </c>
      <c r="B200" s="374" t="s">
        <v>1229</v>
      </c>
      <c r="C200" s="3">
        <v>110</v>
      </c>
      <c r="D200" s="373" t="s">
        <v>22</v>
      </c>
      <c r="E200" s="378" t="s">
        <v>63</v>
      </c>
      <c r="F200" s="374" t="s">
        <v>1182</v>
      </c>
      <c r="G200" s="374" t="s">
        <v>1226</v>
      </c>
      <c r="H200" s="375">
        <v>2</v>
      </c>
      <c r="I200" s="379">
        <v>11.85</v>
      </c>
      <c r="J200" s="376" t="s">
        <v>1171</v>
      </c>
      <c r="K200" s="376"/>
      <c r="L200" s="377">
        <f t="shared" si="13"/>
        <v>0</v>
      </c>
      <c r="M200" s="377">
        <f t="shared" si="14"/>
        <v>0</v>
      </c>
      <c r="N200" s="377">
        <f t="shared" si="15"/>
        <v>0</v>
      </c>
    </row>
    <row r="201" spans="1:14" s="1" customFormat="1" ht="12.75">
      <c r="A201" s="1" t="str">
        <f t="shared" si="16"/>
        <v>1102</v>
      </c>
      <c r="B201" s="374" t="s">
        <v>1229</v>
      </c>
      <c r="C201" s="3">
        <v>110</v>
      </c>
      <c r="D201" s="373" t="s">
        <v>22</v>
      </c>
      <c r="E201" s="378" t="s">
        <v>63</v>
      </c>
      <c r="F201" s="374" t="s">
        <v>1184</v>
      </c>
      <c r="G201" s="374" t="s">
        <v>1226</v>
      </c>
      <c r="H201" s="375">
        <v>2</v>
      </c>
      <c r="I201" s="379">
        <v>11.85</v>
      </c>
      <c r="J201" s="376" t="s">
        <v>1171</v>
      </c>
      <c r="K201" s="376"/>
      <c r="L201" s="377">
        <f t="shared" si="13"/>
        <v>0</v>
      </c>
      <c r="M201" s="377">
        <f t="shared" si="14"/>
        <v>0</v>
      </c>
      <c r="N201" s="377">
        <f t="shared" si="15"/>
        <v>0</v>
      </c>
    </row>
    <row r="202" spans="1:14" s="1" customFormat="1" ht="12.75">
      <c r="A202" s="1" t="str">
        <f t="shared" si="16"/>
        <v>1102</v>
      </c>
      <c r="B202" s="374" t="s">
        <v>1229</v>
      </c>
      <c r="C202" s="3">
        <v>110</v>
      </c>
      <c r="D202" s="373" t="s">
        <v>22</v>
      </c>
      <c r="E202" s="378" t="s">
        <v>63</v>
      </c>
      <c r="F202" s="374" t="s">
        <v>1185</v>
      </c>
      <c r="G202" s="374" t="s">
        <v>1227</v>
      </c>
      <c r="H202" s="375">
        <v>2</v>
      </c>
      <c r="I202" s="379">
        <v>1.92</v>
      </c>
      <c r="J202" s="376" t="s">
        <v>1171</v>
      </c>
      <c r="K202" s="376"/>
      <c r="L202" s="377">
        <f t="shared" si="13"/>
        <v>0</v>
      </c>
      <c r="M202" s="377">
        <f t="shared" si="14"/>
        <v>0</v>
      </c>
      <c r="N202" s="377">
        <f t="shared" si="15"/>
        <v>0</v>
      </c>
    </row>
    <row r="203" spans="1:14" s="1" customFormat="1" ht="12.75">
      <c r="A203" s="1" t="str">
        <f t="shared" si="16"/>
        <v>1102</v>
      </c>
      <c r="B203" s="374" t="s">
        <v>1229</v>
      </c>
      <c r="C203" s="3">
        <v>110</v>
      </c>
      <c r="D203" s="373" t="s">
        <v>22</v>
      </c>
      <c r="E203" s="378" t="s">
        <v>63</v>
      </c>
      <c r="F203" s="374" t="s">
        <v>1187</v>
      </c>
      <c r="G203" s="374" t="s">
        <v>1227</v>
      </c>
      <c r="H203" s="375">
        <v>2</v>
      </c>
      <c r="I203" s="379">
        <v>1.92</v>
      </c>
      <c r="J203" s="376" t="s">
        <v>1171</v>
      </c>
      <c r="K203" s="376"/>
      <c r="L203" s="377">
        <f t="shared" si="13"/>
        <v>0</v>
      </c>
      <c r="M203" s="377">
        <f t="shared" si="14"/>
        <v>0</v>
      </c>
      <c r="N203" s="377">
        <f t="shared" si="15"/>
        <v>0</v>
      </c>
    </row>
    <row r="204" spans="1:14" s="1" customFormat="1" ht="12.75">
      <c r="A204" s="1" t="str">
        <f t="shared" si="16"/>
        <v>11026</v>
      </c>
      <c r="B204" s="374" t="s">
        <v>1229</v>
      </c>
      <c r="C204" s="3">
        <v>110</v>
      </c>
      <c r="D204" s="373" t="s">
        <v>22</v>
      </c>
      <c r="E204" s="4"/>
      <c r="F204" s="374" t="s">
        <v>1172</v>
      </c>
      <c r="G204" s="374" t="s">
        <v>1320</v>
      </c>
      <c r="H204" s="375">
        <v>26</v>
      </c>
      <c r="I204" s="379">
        <v>28</v>
      </c>
      <c r="J204" s="376" t="s">
        <v>1171</v>
      </c>
      <c r="K204" s="376" t="s">
        <v>1321</v>
      </c>
      <c r="L204" s="377">
        <f t="shared" si="13"/>
        <v>0</v>
      </c>
      <c r="M204" s="377">
        <f t="shared" si="14"/>
        <v>0</v>
      </c>
      <c r="N204" s="377">
        <f t="shared" si="15"/>
        <v>0</v>
      </c>
    </row>
    <row r="205" spans="1:14" s="1" customFormat="1" ht="12.75">
      <c r="A205" s="1" t="str">
        <f t="shared" si="16"/>
        <v>11112</v>
      </c>
      <c r="B205" s="374" t="s">
        <v>854</v>
      </c>
      <c r="C205" s="3">
        <v>111</v>
      </c>
      <c r="D205" s="373" t="s">
        <v>22</v>
      </c>
      <c r="E205" s="378" t="s">
        <v>1244</v>
      </c>
      <c r="F205" s="374" t="s">
        <v>1172</v>
      </c>
      <c r="G205" s="374" t="s">
        <v>1245</v>
      </c>
      <c r="H205" s="375">
        <v>12</v>
      </c>
      <c r="I205" s="379">
        <v>197.4</v>
      </c>
      <c r="J205" s="376" t="s">
        <v>1171</v>
      </c>
      <c r="K205" s="376"/>
      <c r="L205" s="377">
        <f t="shared" si="13"/>
        <v>0</v>
      </c>
      <c r="M205" s="377">
        <f t="shared" si="14"/>
        <v>0</v>
      </c>
      <c r="N205" s="377">
        <f t="shared" si="15"/>
        <v>0</v>
      </c>
    </row>
    <row r="206" spans="1:14" s="1" customFormat="1" ht="12.75">
      <c r="A206" s="1" t="str">
        <f t="shared" ref="A206:A237" si="17">CONCATENATE(C206,H206)</f>
        <v>1112</v>
      </c>
      <c r="B206" s="374" t="s">
        <v>854</v>
      </c>
      <c r="C206" s="3">
        <v>111</v>
      </c>
      <c r="D206" s="373" t="s">
        <v>22</v>
      </c>
      <c r="E206" s="378" t="s">
        <v>1244</v>
      </c>
      <c r="F206" s="374" t="s">
        <v>1184</v>
      </c>
      <c r="G206" s="374" t="s">
        <v>1246</v>
      </c>
      <c r="H206" s="375">
        <v>2</v>
      </c>
      <c r="I206" s="379">
        <f>3.7*4.4</f>
        <v>16.28</v>
      </c>
      <c r="J206" s="376" t="s">
        <v>1174</v>
      </c>
      <c r="K206" s="376"/>
      <c r="L206" s="377">
        <f t="shared" si="13"/>
        <v>0</v>
      </c>
      <c r="M206" s="377">
        <f t="shared" si="14"/>
        <v>0</v>
      </c>
      <c r="N206" s="377">
        <f t="shared" si="15"/>
        <v>0</v>
      </c>
    </row>
    <row r="207" spans="1:14" s="1" customFormat="1" ht="12.75">
      <c r="A207" s="1" t="str">
        <f t="shared" si="17"/>
        <v>1112</v>
      </c>
      <c r="B207" s="374" t="s">
        <v>854</v>
      </c>
      <c r="C207" s="3">
        <v>111</v>
      </c>
      <c r="D207" s="373" t="s">
        <v>22</v>
      </c>
      <c r="E207" s="378" t="s">
        <v>1244</v>
      </c>
      <c r="F207" s="374" t="s">
        <v>1184</v>
      </c>
      <c r="G207" s="374" t="s">
        <v>1247</v>
      </c>
      <c r="H207" s="375">
        <v>2</v>
      </c>
      <c r="I207" s="379">
        <f>I208-I206</f>
        <v>85.93</v>
      </c>
      <c r="J207" s="376" t="s">
        <v>1171</v>
      </c>
      <c r="K207" s="376"/>
      <c r="L207" s="377">
        <f t="shared" si="13"/>
        <v>0</v>
      </c>
      <c r="M207" s="377">
        <f t="shared" si="14"/>
        <v>0</v>
      </c>
      <c r="N207" s="377">
        <f t="shared" si="15"/>
        <v>0</v>
      </c>
    </row>
    <row r="208" spans="1:14" s="1" customFormat="1" ht="12.75">
      <c r="A208" s="1" t="str">
        <f t="shared" si="17"/>
        <v>1112</v>
      </c>
      <c r="B208" s="374" t="s">
        <v>854</v>
      </c>
      <c r="C208" s="3">
        <v>111</v>
      </c>
      <c r="D208" s="373" t="s">
        <v>22</v>
      </c>
      <c r="E208" s="378" t="s">
        <v>1244</v>
      </c>
      <c r="F208" s="374" t="s">
        <v>1182</v>
      </c>
      <c r="G208" s="374" t="s">
        <v>1247</v>
      </c>
      <c r="H208" s="375">
        <v>2</v>
      </c>
      <c r="I208" s="379">
        <f>2.3*4.4+3.7*4.4+3.7*7.2+2.3*14.3+3.7*4.4</f>
        <v>102.21000000000001</v>
      </c>
      <c r="J208" s="376" t="s">
        <v>1171</v>
      </c>
      <c r="K208" s="376"/>
      <c r="L208" s="377">
        <f t="shared" si="13"/>
        <v>0</v>
      </c>
      <c r="M208" s="377">
        <f t="shared" si="14"/>
        <v>0</v>
      </c>
      <c r="N208" s="377">
        <f t="shared" si="15"/>
        <v>0</v>
      </c>
    </row>
    <row r="209" spans="1:14" s="1" customFormat="1" ht="12.75">
      <c r="A209" s="1" t="str">
        <f t="shared" si="17"/>
        <v>1112</v>
      </c>
      <c r="B209" s="374" t="s">
        <v>854</v>
      </c>
      <c r="C209" s="3">
        <v>111</v>
      </c>
      <c r="D209" s="373" t="s">
        <v>22</v>
      </c>
      <c r="E209" s="378" t="s">
        <v>1244</v>
      </c>
      <c r="F209" s="374" t="s">
        <v>1185</v>
      </c>
      <c r="G209" s="374" t="s">
        <v>1248</v>
      </c>
      <c r="H209" s="375">
        <v>2</v>
      </c>
      <c r="I209" s="379">
        <f>+(2.2+1.8)*2*2.1</f>
        <v>16.8</v>
      </c>
      <c r="J209" s="376" t="s">
        <v>1171</v>
      </c>
      <c r="K209" s="376"/>
      <c r="L209" s="377">
        <f t="shared" ref="L209:L272" si="18">IF(J209="ja",VLOOKUP(F209,Glassoort2,2,0))*I209</f>
        <v>0</v>
      </c>
      <c r="M209" s="377">
        <f t="shared" ref="M209:M272" si="19">IF(J209="nee",VLOOKUP(F209,Glassoort2,3,0))*I209</f>
        <v>0</v>
      </c>
      <c r="N209" s="377">
        <f t="shared" si="15"/>
        <v>0</v>
      </c>
    </row>
    <row r="210" spans="1:14" s="1" customFormat="1" ht="12.75">
      <c r="A210" s="1" t="str">
        <f t="shared" si="17"/>
        <v>1112</v>
      </c>
      <c r="B210" s="374" t="s">
        <v>854</v>
      </c>
      <c r="C210" s="3">
        <v>111</v>
      </c>
      <c r="D210" s="373" t="s">
        <v>22</v>
      </c>
      <c r="E210" s="378" t="s">
        <v>1244</v>
      </c>
      <c r="F210" s="374" t="s">
        <v>1187</v>
      </c>
      <c r="G210" s="374" t="s">
        <v>1248</v>
      </c>
      <c r="H210" s="375">
        <v>2</v>
      </c>
      <c r="I210" s="379">
        <f>+(2.2+1.8)*2*2.1</f>
        <v>16.8</v>
      </c>
      <c r="J210" s="376" t="s">
        <v>1171</v>
      </c>
      <c r="K210" s="376"/>
      <c r="L210" s="377">
        <f t="shared" si="18"/>
        <v>0</v>
      </c>
      <c r="M210" s="377">
        <f t="shared" si="19"/>
        <v>0</v>
      </c>
      <c r="N210" s="377">
        <f t="shared" ref="N210:N273" si="20">(M210*H210)+(L210*H210)</f>
        <v>0</v>
      </c>
    </row>
    <row r="211" spans="1:14" s="1" customFormat="1" ht="12.75">
      <c r="A211" s="1" t="str">
        <f t="shared" si="17"/>
        <v>1112</v>
      </c>
      <c r="B211" s="374" t="s">
        <v>854</v>
      </c>
      <c r="C211" s="3">
        <v>111</v>
      </c>
      <c r="D211" s="373" t="s">
        <v>22</v>
      </c>
      <c r="E211" s="378" t="s">
        <v>1244</v>
      </c>
      <c r="F211" s="374" t="s">
        <v>1173</v>
      </c>
      <c r="G211" s="374" t="s">
        <v>1249</v>
      </c>
      <c r="H211" s="375">
        <v>2</v>
      </c>
      <c r="I211" s="379">
        <f>3*0.9</f>
        <v>2.7</v>
      </c>
      <c r="J211" s="376" t="s">
        <v>1171</v>
      </c>
      <c r="K211" s="376"/>
      <c r="L211" s="377">
        <f t="shared" si="18"/>
        <v>0</v>
      </c>
      <c r="M211" s="377">
        <f t="shared" si="19"/>
        <v>0</v>
      </c>
      <c r="N211" s="377">
        <f t="shared" si="20"/>
        <v>0</v>
      </c>
    </row>
    <row r="212" spans="1:14" s="1" customFormat="1" ht="12.75">
      <c r="A212" s="1" t="str">
        <f t="shared" si="17"/>
        <v>1112</v>
      </c>
      <c r="B212" s="374" t="s">
        <v>854</v>
      </c>
      <c r="C212" s="3">
        <v>111</v>
      </c>
      <c r="D212" s="373" t="s">
        <v>22</v>
      </c>
      <c r="E212" s="378" t="s">
        <v>1244</v>
      </c>
      <c r="F212" s="374" t="s">
        <v>1170</v>
      </c>
      <c r="G212" s="374" t="s">
        <v>1249</v>
      </c>
      <c r="H212" s="375">
        <v>2</v>
      </c>
      <c r="I212" s="379">
        <f>3*0.9</f>
        <v>2.7</v>
      </c>
      <c r="J212" s="376" t="s">
        <v>1171</v>
      </c>
      <c r="K212" s="376"/>
      <c r="L212" s="377">
        <f t="shared" si="18"/>
        <v>0</v>
      </c>
      <c r="M212" s="377">
        <f t="shared" si="19"/>
        <v>0</v>
      </c>
      <c r="N212" s="377">
        <f t="shared" si="20"/>
        <v>0</v>
      </c>
    </row>
    <row r="213" spans="1:14" s="1" customFormat="1" ht="12.75">
      <c r="A213" s="1" t="str">
        <f t="shared" si="17"/>
        <v>1112</v>
      </c>
      <c r="B213" s="374" t="s">
        <v>854</v>
      </c>
      <c r="C213" s="3">
        <v>111</v>
      </c>
      <c r="D213" s="373" t="s">
        <v>22</v>
      </c>
      <c r="E213" s="378" t="s">
        <v>1244</v>
      </c>
      <c r="F213" s="374" t="s">
        <v>1173</v>
      </c>
      <c r="G213" s="374" t="s">
        <v>1250</v>
      </c>
      <c r="H213" s="375">
        <v>2</v>
      </c>
      <c r="I213" s="379">
        <f>3.3*1.2+4.65*1.2</f>
        <v>9.5399999999999991</v>
      </c>
      <c r="J213" s="376" t="s">
        <v>1171</v>
      </c>
      <c r="K213" s="376"/>
      <c r="L213" s="377">
        <f t="shared" si="18"/>
        <v>0</v>
      </c>
      <c r="M213" s="377">
        <f t="shared" si="19"/>
        <v>0</v>
      </c>
      <c r="N213" s="377">
        <f t="shared" si="20"/>
        <v>0</v>
      </c>
    </row>
    <row r="214" spans="1:14" s="1" customFormat="1" ht="12.75">
      <c r="A214" s="1" t="str">
        <f t="shared" si="17"/>
        <v>1112</v>
      </c>
      <c r="B214" s="374" t="s">
        <v>854</v>
      </c>
      <c r="C214" s="3">
        <v>111</v>
      </c>
      <c r="D214" s="373" t="s">
        <v>22</v>
      </c>
      <c r="E214" s="378" t="s">
        <v>1244</v>
      </c>
      <c r="F214" s="374" t="s">
        <v>1170</v>
      </c>
      <c r="G214" s="374" t="s">
        <v>1250</v>
      </c>
      <c r="H214" s="375">
        <v>2</v>
      </c>
      <c r="I214" s="379">
        <f>3.3*1.2+4.65*1.2</f>
        <v>9.5399999999999991</v>
      </c>
      <c r="J214" s="376" t="s">
        <v>1171</v>
      </c>
      <c r="K214" s="376"/>
      <c r="L214" s="377">
        <f t="shared" si="18"/>
        <v>0</v>
      </c>
      <c r="M214" s="377">
        <f t="shared" si="19"/>
        <v>0</v>
      </c>
      <c r="N214" s="377">
        <f t="shared" si="20"/>
        <v>0</v>
      </c>
    </row>
    <row r="215" spans="1:14" s="1" customFormat="1" ht="12.75">
      <c r="A215" s="1" t="str">
        <f t="shared" si="17"/>
        <v>11126</v>
      </c>
      <c r="B215" s="374" t="s">
        <v>854</v>
      </c>
      <c r="C215" s="3">
        <v>111</v>
      </c>
      <c r="D215" s="373" t="s">
        <v>22</v>
      </c>
      <c r="E215" s="4"/>
      <c r="F215" s="374" t="s">
        <v>1172</v>
      </c>
      <c r="G215" s="374" t="s">
        <v>1320</v>
      </c>
      <c r="H215" s="375">
        <v>26</v>
      </c>
      <c r="I215" s="379">
        <v>84</v>
      </c>
      <c r="J215" s="376" t="s">
        <v>1171</v>
      </c>
      <c r="K215" s="376" t="s">
        <v>1321</v>
      </c>
      <c r="L215" s="377">
        <f t="shared" si="18"/>
        <v>0</v>
      </c>
      <c r="M215" s="377">
        <f t="shared" si="19"/>
        <v>0</v>
      </c>
      <c r="N215" s="377">
        <f t="shared" si="20"/>
        <v>0</v>
      </c>
    </row>
    <row r="216" spans="1:14" s="1" customFormat="1" ht="12.75">
      <c r="A216" s="1" t="str">
        <f t="shared" si="17"/>
        <v>1122</v>
      </c>
      <c r="B216" s="374" t="s">
        <v>140</v>
      </c>
      <c r="C216" s="3">
        <v>112</v>
      </c>
      <c r="D216" s="373" t="s">
        <v>22</v>
      </c>
      <c r="E216" s="378" t="s">
        <v>224</v>
      </c>
      <c r="F216" s="374" t="s">
        <v>1170</v>
      </c>
      <c r="G216" s="374" t="s">
        <v>1230</v>
      </c>
      <c r="H216" s="375">
        <v>2</v>
      </c>
      <c r="I216" s="379">
        <f>(1.7+1.6+3+9.1)*3.15</f>
        <v>48.509999999999991</v>
      </c>
      <c r="J216" s="376" t="s">
        <v>1171</v>
      </c>
      <c r="K216" s="376"/>
      <c r="L216" s="377">
        <f t="shared" si="18"/>
        <v>0</v>
      </c>
      <c r="M216" s="377">
        <f t="shared" si="19"/>
        <v>0</v>
      </c>
      <c r="N216" s="377">
        <f t="shared" si="20"/>
        <v>0</v>
      </c>
    </row>
    <row r="217" spans="1:14" s="1" customFormat="1" ht="12.75">
      <c r="A217" s="1" t="str">
        <f t="shared" si="17"/>
        <v>1122</v>
      </c>
      <c r="B217" s="374" t="s">
        <v>140</v>
      </c>
      <c r="C217" s="3">
        <v>112</v>
      </c>
      <c r="D217" s="373" t="s">
        <v>22</v>
      </c>
      <c r="E217" s="378" t="s">
        <v>224</v>
      </c>
      <c r="F217" s="374" t="s">
        <v>1173</v>
      </c>
      <c r="G217" s="374" t="s">
        <v>1230</v>
      </c>
      <c r="H217" s="375">
        <v>2</v>
      </c>
      <c r="I217" s="379">
        <f>(1.7+1.6+3+9.1)*3.15</f>
        <v>48.509999999999991</v>
      </c>
      <c r="J217" s="376" t="s">
        <v>1171</v>
      </c>
      <c r="K217" s="376"/>
      <c r="L217" s="377">
        <f t="shared" si="18"/>
        <v>0</v>
      </c>
      <c r="M217" s="377">
        <f t="shared" si="19"/>
        <v>0</v>
      </c>
      <c r="N217" s="377">
        <f t="shared" si="20"/>
        <v>0</v>
      </c>
    </row>
    <row r="218" spans="1:14" s="1" customFormat="1" ht="12.75">
      <c r="A218" s="1" t="str">
        <f t="shared" si="17"/>
        <v>1122</v>
      </c>
      <c r="B218" s="374" t="s">
        <v>140</v>
      </c>
      <c r="C218" s="3">
        <v>112</v>
      </c>
      <c r="D218" s="373" t="s">
        <v>22</v>
      </c>
      <c r="E218" s="378" t="s">
        <v>1251</v>
      </c>
      <c r="F218" s="374" t="s">
        <v>1170</v>
      </c>
      <c r="G218" s="374" t="s">
        <v>1230</v>
      </c>
      <c r="H218" s="375">
        <v>2</v>
      </c>
      <c r="I218" s="379">
        <f>(2.6+6.6)*3.15-2+6*2.5</f>
        <v>41.98</v>
      </c>
      <c r="J218" s="376" t="s">
        <v>1171</v>
      </c>
      <c r="K218" s="376"/>
      <c r="L218" s="377">
        <f t="shared" si="18"/>
        <v>0</v>
      </c>
      <c r="M218" s="377">
        <f t="shared" si="19"/>
        <v>0</v>
      </c>
      <c r="N218" s="377">
        <f t="shared" si="20"/>
        <v>0</v>
      </c>
    </row>
    <row r="219" spans="1:14" s="1" customFormat="1" ht="12.75">
      <c r="A219" s="1" t="str">
        <f t="shared" si="17"/>
        <v>1122</v>
      </c>
      <c r="B219" s="374" t="s">
        <v>140</v>
      </c>
      <c r="C219" s="3">
        <v>112</v>
      </c>
      <c r="D219" s="373" t="s">
        <v>22</v>
      </c>
      <c r="E219" s="378" t="s">
        <v>1251</v>
      </c>
      <c r="F219" s="374" t="s">
        <v>1173</v>
      </c>
      <c r="G219" s="374" t="s">
        <v>1230</v>
      </c>
      <c r="H219" s="375">
        <v>2</v>
      </c>
      <c r="I219" s="379">
        <f>(2.6+6.6)*3.15-2+6*2.5</f>
        <v>41.98</v>
      </c>
      <c r="J219" s="376" t="s">
        <v>1171</v>
      </c>
      <c r="K219" s="376"/>
      <c r="L219" s="377">
        <f t="shared" si="18"/>
        <v>0</v>
      </c>
      <c r="M219" s="377">
        <f t="shared" si="19"/>
        <v>0</v>
      </c>
      <c r="N219" s="377">
        <f t="shared" si="20"/>
        <v>0</v>
      </c>
    </row>
    <row r="220" spans="1:14" s="1" customFormat="1" ht="12.75">
      <c r="A220" s="1" t="str">
        <f t="shared" si="17"/>
        <v>1122</v>
      </c>
      <c r="B220" s="374" t="s">
        <v>140</v>
      </c>
      <c r="C220" s="3">
        <v>112</v>
      </c>
      <c r="D220" s="373" t="s">
        <v>22</v>
      </c>
      <c r="E220" s="378" t="s">
        <v>224</v>
      </c>
      <c r="F220" s="374" t="s">
        <v>1231</v>
      </c>
      <c r="G220" s="374" t="s">
        <v>1232</v>
      </c>
      <c r="H220" s="375">
        <v>2</v>
      </c>
      <c r="I220" s="379">
        <f>6.6*5</f>
        <v>33</v>
      </c>
      <c r="J220" s="376" t="s">
        <v>1171</v>
      </c>
      <c r="K220" s="376" t="s">
        <v>1233</v>
      </c>
      <c r="L220" s="377">
        <f t="shared" si="18"/>
        <v>0</v>
      </c>
      <c r="M220" s="377">
        <f t="shared" si="19"/>
        <v>0</v>
      </c>
      <c r="N220" s="377">
        <f t="shared" si="20"/>
        <v>0</v>
      </c>
    </row>
    <row r="221" spans="1:14" s="1" customFormat="1" ht="12.75">
      <c r="A221" s="1" t="str">
        <f t="shared" si="17"/>
        <v>1122</v>
      </c>
      <c r="B221" s="374" t="s">
        <v>140</v>
      </c>
      <c r="C221" s="3">
        <v>112</v>
      </c>
      <c r="D221" s="373" t="s">
        <v>22</v>
      </c>
      <c r="E221" s="378" t="s">
        <v>224</v>
      </c>
      <c r="F221" s="374" t="s">
        <v>1231</v>
      </c>
      <c r="G221" s="374" t="s">
        <v>1234</v>
      </c>
      <c r="H221" s="375">
        <v>2</v>
      </c>
      <c r="I221" s="379">
        <f>6.6*3.2</f>
        <v>21.12</v>
      </c>
      <c r="J221" s="376" t="s">
        <v>1174</v>
      </c>
      <c r="K221" s="376" t="s">
        <v>1233</v>
      </c>
      <c r="L221" s="377">
        <f t="shared" si="18"/>
        <v>0</v>
      </c>
      <c r="M221" s="377">
        <f t="shared" si="19"/>
        <v>0</v>
      </c>
      <c r="N221" s="377">
        <f t="shared" si="20"/>
        <v>0</v>
      </c>
    </row>
    <row r="222" spans="1:14" s="1" customFormat="1" ht="12.75">
      <c r="A222" s="1" t="str">
        <f t="shared" si="17"/>
        <v>1122</v>
      </c>
      <c r="B222" s="374" t="s">
        <v>140</v>
      </c>
      <c r="C222" s="3">
        <v>112</v>
      </c>
      <c r="D222" s="373" t="s">
        <v>22</v>
      </c>
      <c r="E222" s="378" t="s">
        <v>224</v>
      </c>
      <c r="F222" s="374" t="s">
        <v>1170</v>
      </c>
      <c r="G222" s="374" t="s">
        <v>1235</v>
      </c>
      <c r="H222" s="375">
        <v>2</v>
      </c>
      <c r="I222" s="379">
        <f>6.2*3.1*2</f>
        <v>38.440000000000005</v>
      </c>
      <c r="J222" s="376" t="s">
        <v>1174</v>
      </c>
      <c r="K222" s="376"/>
      <c r="L222" s="377">
        <f t="shared" si="18"/>
        <v>0</v>
      </c>
      <c r="M222" s="377">
        <f t="shared" si="19"/>
        <v>0</v>
      </c>
      <c r="N222" s="377">
        <f t="shared" si="20"/>
        <v>0</v>
      </c>
    </row>
    <row r="223" spans="1:14" s="1" customFormat="1" ht="12.75">
      <c r="A223" s="1" t="str">
        <f t="shared" si="17"/>
        <v>1122</v>
      </c>
      <c r="B223" s="374" t="s">
        <v>140</v>
      </c>
      <c r="C223" s="3">
        <v>112</v>
      </c>
      <c r="D223" s="373" t="s">
        <v>22</v>
      </c>
      <c r="E223" s="378" t="s">
        <v>224</v>
      </c>
      <c r="F223" s="374" t="s">
        <v>1173</v>
      </c>
      <c r="G223" s="374" t="s">
        <v>1235</v>
      </c>
      <c r="H223" s="375">
        <v>2</v>
      </c>
      <c r="I223" s="379">
        <f>6.2*3.1*2</f>
        <v>38.440000000000005</v>
      </c>
      <c r="J223" s="376" t="s">
        <v>1171</v>
      </c>
      <c r="K223" s="376"/>
      <c r="L223" s="377">
        <f t="shared" si="18"/>
        <v>0</v>
      </c>
      <c r="M223" s="377">
        <f t="shared" si="19"/>
        <v>0</v>
      </c>
      <c r="N223" s="377">
        <f t="shared" si="20"/>
        <v>0</v>
      </c>
    </row>
    <row r="224" spans="1:14" s="1" customFormat="1" ht="12.75">
      <c r="A224" s="1" t="str">
        <f t="shared" si="17"/>
        <v>1122</v>
      </c>
      <c r="B224" s="374" t="s">
        <v>140</v>
      </c>
      <c r="C224" s="3">
        <v>112</v>
      </c>
      <c r="D224" s="373" t="s">
        <v>22</v>
      </c>
      <c r="E224" s="378" t="s">
        <v>224</v>
      </c>
      <c r="F224" s="374" t="s">
        <v>1170</v>
      </c>
      <c r="G224" s="374" t="s">
        <v>1236</v>
      </c>
      <c r="H224" s="375">
        <v>2</v>
      </c>
      <c r="I224" s="379">
        <f>1.95*2.15*2</f>
        <v>8.3849999999999998</v>
      </c>
      <c r="J224" s="376" t="s">
        <v>1174</v>
      </c>
      <c r="K224" s="376"/>
      <c r="L224" s="377">
        <f t="shared" si="18"/>
        <v>0</v>
      </c>
      <c r="M224" s="377">
        <f t="shared" si="19"/>
        <v>0</v>
      </c>
      <c r="N224" s="377">
        <f t="shared" si="20"/>
        <v>0</v>
      </c>
    </row>
    <row r="225" spans="1:14" s="1" customFormat="1" ht="12.75">
      <c r="A225" s="1" t="str">
        <f t="shared" si="17"/>
        <v>1122</v>
      </c>
      <c r="B225" s="374" t="s">
        <v>140</v>
      </c>
      <c r="C225" s="3">
        <v>112</v>
      </c>
      <c r="D225" s="373" t="s">
        <v>22</v>
      </c>
      <c r="E225" s="378" t="s">
        <v>224</v>
      </c>
      <c r="F225" s="374" t="s">
        <v>1173</v>
      </c>
      <c r="G225" s="374" t="s">
        <v>1236</v>
      </c>
      <c r="H225" s="375">
        <v>2</v>
      </c>
      <c r="I225" s="379">
        <f>1.95*2.15*2</f>
        <v>8.3849999999999998</v>
      </c>
      <c r="J225" s="376" t="s">
        <v>1171</v>
      </c>
      <c r="K225" s="376"/>
      <c r="L225" s="377">
        <f t="shared" si="18"/>
        <v>0</v>
      </c>
      <c r="M225" s="377">
        <f t="shared" si="19"/>
        <v>0</v>
      </c>
      <c r="N225" s="377">
        <f t="shared" si="20"/>
        <v>0</v>
      </c>
    </row>
    <row r="226" spans="1:14" s="1" customFormat="1" ht="12.75">
      <c r="A226" s="1" t="str">
        <f t="shared" si="17"/>
        <v>1122</v>
      </c>
      <c r="B226" s="374" t="s">
        <v>140</v>
      </c>
      <c r="C226" s="3">
        <v>112</v>
      </c>
      <c r="D226" s="373" t="s">
        <v>22</v>
      </c>
      <c r="E226" s="378" t="s">
        <v>224</v>
      </c>
      <c r="F226" s="374" t="s">
        <v>1181</v>
      </c>
      <c r="G226" s="374" t="s">
        <v>1237</v>
      </c>
      <c r="H226" s="375">
        <v>2</v>
      </c>
      <c r="I226" s="379">
        <f>+(1.35+0.65)*12</f>
        <v>24</v>
      </c>
      <c r="J226" s="376" t="s">
        <v>1174</v>
      </c>
      <c r="K226" s="376" t="s">
        <v>1238</v>
      </c>
      <c r="L226" s="377">
        <f t="shared" si="18"/>
        <v>0</v>
      </c>
      <c r="M226" s="377">
        <f t="shared" si="19"/>
        <v>0</v>
      </c>
      <c r="N226" s="377">
        <f t="shared" si="20"/>
        <v>0</v>
      </c>
    </row>
    <row r="227" spans="1:14" s="1" customFormat="1" ht="12.75">
      <c r="A227" s="1" t="str">
        <f t="shared" si="17"/>
        <v>1122</v>
      </c>
      <c r="B227" s="374" t="s">
        <v>140</v>
      </c>
      <c r="C227" s="3">
        <v>112</v>
      </c>
      <c r="D227" s="373" t="s">
        <v>22</v>
      </c>
      <c r="E227" s="378" t="s">
        <v>224</v>
      </c>
      <c r="F227" s="374" t="s">
        <v>1179</v>
      </c>
      <c r="G227" s="374" t="s">
        <v>1237</v>
      </c>
      <c r="H227" s="375">
        <v>2</v>
      </c>
      <c r="I227" s="379">
        <f>+(1.35+0.65)*12</f>
        <v>24</v>
      </c>
      <c r="J227" s="376" t="s">
        <v>1171</v>
      </c>
      <c r="K227" s="376" t="s">
        <v>1238</v>
      </c>
      <c r="L227" s="377">
        <f t="shared" si="18"/>
        <v>0</v>
      </c>
      <c r="M227" s="377">
        <f t="shared" si="19"/>
        <v>0</v>
      </c>
      <c r="N227" s="377">
        <f t="shared" si="20"/>
        <v>0</v>
      </c>
    </row>
    <row r="228" spans="1:14" s="1" customFormat="1" ht="12.75">
      <c r="A228" s="1" t="str">
        <f t="shared" si="17"/>
        <v>1122</v>
      </c>
      <c r="B228" s="374" t="s">
        <v>140</v>
      </c>
      <c r="C228" s="3">
        <v>112</v>
      </c>
      <c r="D228" s="373" t="s">
        <v>22</v>
      </c>
      <c r="E228" s="378" t="s">
        <v>224</v>
      </c>
      <c r="F228" s="374" t="s">
        <v>1182</v>
      </c>
      <c r="G228" s="374" t="s">
        <v>1226</v>
      </c>
      <c r="H228" s="375">
        <v>2</v>
      </c>
      <c r="I228" s="379">
        <v>7.45</v>
      </c>
      <c r="J228" s="376" t="s">
        <v>1171</v>
      </c>
      <c r="K228" s="376" t="s">
        <v>1990</v>
      </c>
      <c r="L228" s="377">
        <f t="shared" si="18"/>
        <v>0</v>
      </c>
      <c r="M228" s="377">
        <f t="shared" si="19"/>
        <v>0</v>
      </c>
      <c r="N228" s="377">
        <f t="shared" si="20"/>
        <v>0</v>
      </c>
    </row>
    <row r="229" spans="1:14" s="1" customFormat="1" ht="12.75">
      <c r="A229" s="1" t="str">
        <f t="shared" si="17"/>
        <v>1122</v>
      </c>
      <c r="B229" s="374" t="s">
        <v>140</v>
      </c>
      <c r="C229" s="3">
        <v>112</v>
      </c>
      <c r="D229" s="373" t="s">
        <v>22</v>
      </c>
      <c r="E229" s="378" t="s">
        <v>224</v>
      </c>
      <c r="F229" s="374" t="s">
        <v>1184</v>
      </c>
      <c r="G229" s="374" t="s">
        <v>1226</v>
      </c>
      <c r="H229" s="375">
        <v>2</v>
      </c>
      <c r="I229" s="379">
        <v>7.45</v>
      </c>
      <c r="J229" s="376" t="s">
        <v>1171</v>
      </c>
      <c r="K229" s="376" t="s">
        <v>1990</v>
      </c>
      <c r="L229" s="377">
        <f t="shared" si="18"/>
        <v>0</v>
      </c>
      <c r="M229" s="377">
        <f t="shared" si="19"/>
        <v>0</v>
      </c>
      <c r="N229" s="377">
        <f t="shared" si="20"/>
        <v>0</v>
      </c>
    </row>
    <row r="230" spans="1:14" s="1" customFormat="1" ht="12.75">
      <c r="A230" s="1" t="str">
        <f t="shared" si="17"/>
        <v>1122</v>
      </c>
      <c r="B230" s="374" t="s">
        <v>140</v>
      </c>
      <c r="C230" s="3">
        <v>112</v>
      </c>
      <c r="D230" s="373" t="s">
        <v>22</v>
      </c>
      <c r="E230" s="378" t="s">
        <v>237</v>
      </c>
      <c r="F230" s="374" t="s">
        <v>1222</v>
      </c>
      <c r="G230" s="374" t="s">
        <v>1239</v>
      </c>
      <c r="H230" s="375">
        <v>2</v>
      </c>
      <c r="I230" s="379">
        <v>2</v>
      </c>
      <c r="J230" s="376" t="s">
        <v>1171</v>
      </c>
      <c r="K230" s="376"/>
      <c r="L230" s="377">
        <f t="shared" si="18"/>
        <v>0</v>
      </c>
      <c r="M230" s="377">
        <f t="shared" si="19"/>
        <v>0</v>
      </c>
      <c r="N230" s="377">
        <f t="shared" si="20"/>
        <v>0</v>
      </c>
    </row>
    <row r="231" spans="1:14" s="1" customFormat="1" ht="12.75">
      <c r="A231" s="1" t="str">
        <f t="shared" si="17"/>
        <v>1122</v>
      </c>
      <c r="B231" s="374" t="s">
        <v>140</v>
      </c>
      <c r="C231" s="3">
        <v>112</v>
      </c>
      <c r="D231" s="373" t="s">
        <v>22</v>
      </c>
      <c r="E231" s="378" t="s">
        <v>237</v>
      </c>
      <c r="F231" s="374" t="s">
        <v>1225</v>
      </c>
      <c r="G231" s="374" t="s">
        <v>1239</v>
      </c>
      <c r="H231" s="375">
        <v>2</v>
      </c>
      <c r="I231" s="379">
        <v>2</v>
      </c>
      <c r="J231" s="376" t="s">
        <v>1171</v>
      </c>
      <c r="K231" s="376"/>
      <c r="L231" s="377">
        <f t="shared" si="18"/>
        <v>0</v>
      </c>
      <c r="M231" s="377">
        <f t="shared" si="19"/>
        <v>0</v>
      </c>
      <c r="N231" s="377">
        <f t="shared" si="20"/>
        <v>0</v>
      </c>
    </row>
    <row r="232" spans="1:14" s="1" customFormat="1" ht="12.75">
      <c r="A232" s="1" t="str">
        <f t="shared" si="17"/>
        <v>1122</v>
      </c>
      <c r="B232" s="374" t="s">
        <v>140</v>
      </c>
      <c r="C232" s="3">
        <v>112</v>
      </c>
      <c r="D232" s="373" t="s">
        <v>22</v>
      </c>
      <c r="E232" s="378" t="s">
        <v>63</v>
      </c>
      <c r="F232" s="374" t="s">
        <v>1170</v>
      </c>
      <c r="G232" s="374" t="s">
        <v>1240</v>
      </c>
      <c r="H232" s="375">
        <v>2</v>
      </c>
      <c r="I232" s="379">
        <f>+(1.6+2+4.3+8.3+1+1.5)*3.15-2</f>
        <v>56.905000000000008</v>
      </c>
      <c r="J232" s="376" t="s">
        <v>1171</v>
      </c>
      <c r="K232" s="376"/>
      <c r="L232" s="377">
        <f t="shared" si="18"/>
        <v>0</v>
      </c>
      <c r="M232" s="377">
        <f t="shared" si="19"/>
        <v>0</v>
      </c>
      <c r="N232" s="377">
        <f t="shared" si="20"/>
        <v>0</v>
      </c>
    </row>
    <row r="233" spans="1:14" s="1" customFormat="1" ht="12.75">
      <c r="A233" s="1" t="str">
        <f t="shared" si="17"/>
        <v>1122</v>
      </c>
      <c r="B233" s="374" t="s">
        <v>140</v>
      </c>
      <c r="C233" s="3">
        <v>112</v>
      </c>
      <c r="D233" s="373" t="s">
        <v>22</v>
      </c>
      <c r="E233" s="378" t="s">
        <v>63</v>
      </c>
      <c r="F233" s="374" t="s">
        <v>1173</v>
      </c>
      <c r="G233" s="374" t="s">
        <v>1240</v>
      </c>
      <c r="H233" s="375">
        <v>2</v>
      </c>
      <c r="I233" s="379">
        <f>+(1.6+2+4.3+8.3+1+1.5)*3.15-2</f>
        <v>56.905000000000008</v>
      </c>
      <c r="J233" s="376" t="s">
        <v>1171</v>
      </c>
      <c r="K233" s="376"/>
      <c r="L233" s="377">
        <f t="shared" si="18"/>
        <v>0</v>
      </c>
      <c r="M233" s="377">
        <f t="shared" si="19"/>
        <v>0</v>
      </c>
      <c r="N233" s="377">
        <f t="shared" si="20"/>
        <v>0</v>
      </c>
    </row>
    <row r="234" spans="1:14" s="1" customFormat="1" ht="12.75">
      <c r="A234" s="1" t="str">
        <f t="shared" si="17"/>
        <v>1122</v>
      </c>
      <c r="B234" s="374" t="s">
        <v>140</v>
      </c>
      <c r="C234" s="3">
        <v>112</v>
      </c>
      <c r="D234" s="373" t="s">
        <v>22</v>
      </c>
      <c r="E234" s="378" t="s">
        <v>1244</v>
      </c>
      <c r="F234" s="374" t="s">
        <v>1170</v>
      </c>
      <c r="G234" s="374" t="s">
        <v>1240</v>
      </c>
      <c r="H234" s="375">
        <v>2</v>
      </c>
      <c r="I234" s="379">
        <f>(2.75+4+2+4)*3.15+5*2.1</f>
        <v>50.662500000000001</v>
      </c>
      <c r="J234" s="376" t="s">
        <v>1171</v>
      </c>
      <c r="K234" s="376" t="s">
        <v>1252</v>
      </c>
      <c r="L234" s="377">
        <f t="shared" si="18"/>
        <v>0</v>
      </c>
      <c r="M234" s="377">
        <f t="shared" si="19"/>
        <v>0</v>
      </c>
      <c r="N234" s="377">
        <f t="shared" si="20"/>
        <v>0</v>
      </c>
    </row>
    <row r="235" spans="1:14" s="1" customFormat="1" ht="12.75">
      <c r="A235" s="1" t="str">
        <f t="shared" si="17"/>
        <v>1122</v>
      </c>
      <c r="B235" s="374" t="s">
        <v>140</v>
      </c>
      <c r="C235" s="3">
        <v>112</v>
      </c>
      <c r="D235" s="373" t="s">
        <v>22</v>
      </c>
      <c r="E235" s="378" t="s">
        <v>1244</v>
      </c>
      <c r="F235" s="374" t="s">
        <v>1173</v>
      </c>
      <c r="G235" s="374" t="s">
        <v>1240</v>
      </c>
      <c r="H235" s="375">
        <v>2</v>
      </c>
      <c r="I235" s="379">
        <f>(2.75+4+2+4)*3.15+5*2.1</f>
        <v>50.662500000000001</v>
      </c>
      <c r="J235" s="376" t="s">
        <v>1171</v>
      </c>
      <c r="K235" s="376" t="s">
        <v>1252</v>
      </c>
      <c r="L235" s="377">
        <f t="shared" si="18"/>
        <v>0</v>
      </c>
      <c r="M235" s="377">
        <f t="shared" si="19"/>
        <v>0</v>
      </c>
      <c r="N235" s="377">
        <f t="shared" si="20"/>
        <v>0</v>
      </c>
    </row>
    <row r="236" spans="1:14" s="1" customFormat="1" ht="12.75">
      <c r="A236" s="1" t="str">
        <f t="shared" si="17"/>
        <v>1122</v>
      </c>
      <c r="B236" s="374" t="s">
        <v>140</v>
      </c>
      <c r="C236" s="3">
        <v>112</v>
      </c>
      <c r="D236" s="373" t="s">
        <v>22</v>
      </c>
      <c r="E236" s="378" t="s">
        <v>63</v>
      </c>
      <c r="F236" s="374" t="s">
        <v>1231</v>
      </c>
      <c r="G236" s="374" t="s">
        <v>1232</v>
      </c>
      <c r="H236" s="375">
        <v>2</v>
      </c>
      <c r="I236" s="379">
        <f>6.6*5</f>
        <v>33</v>
      </c>
      <c r="J236" s="376" t="s">
        <v>1171</v>
      </c>
      <c r="K236" s="376" t="s">
        <v>1233</v>
      </c>
      <c r="L236" s="377">
        <f t="shared" si="18"/>
        <v>0</v>
      </c>
      <c r="M236" s="377">
        <f t="shared" si="19"/>
        <v>0</v>
      </c>
      <c r="N236" s="377">
        <f t="shared" si="20"/>
        <v>0</v>
      </c>
    </row>
    <row r="237" spans="1:14" s="1" customFormat="1" ht="12.75">
      <c r="A237" s="1" t="str">
        <f t="shared" si="17"/>
        <v>1122</v>
      </c>
      <c r="B237" s="374" t="s">
        <v>140</v>
      </c>
      <c r="C237" s="3">
        <v>112</v>
      </c>
      <c r="D237" s="373" t="s">
        <v>22</v>
      </c>
      <c r="E237" s="378" t="s">
        <v>63</v>
      </c>
      <c r="F237" s="374" t="s">
        <v>1231</v>
      </c>
      <c r="G237" s="374" t="s">
        <v>1234</v>
      </c>
      <c r="H237" s="375">
        <v>2</v>
      </c>
      <c r="I237" s="379">
        <f>6.6*3.1</f>
        <v>20.46</v>
      </c>
      <c r="J237" s="376" t="s">
        <v>1174</v>
      </c>
      <c r="K237" s="376" t="s">
        <v>1233</v>
      </c>
      <c r="L237" s="377">
        <f t="shared" si="18"/>
        <v>0</v>
      </c>
      <c r="M237" s="377">
        <f t="shared" si="19"/>
        <v>0</v>
      </c>
      <c r="N237" s="377">
        <f t="shared" si="20"/>
        <v>0</v>
      </c>
    </row>
    <row r="238" spans="1:14" s="1" customFormat="1" ht="12.75">
      <c r="A238" s="1" t="str">
        <f t="shared" ref="A238:A269" si="21">CONCATENATE(C238,H238)</f>
        <v>1122</v>
      </c>
      <c r="B238" s="374" t="s">
        <v>140</v>
      </c>
      <c r="C238" s="3">
        <v>112</v>
      </c>
      <c r="D238" s="373" t="s">
        <v>22</v>
      </c>
      <c r="E238" s="378" t="s">
        <v>63</v>
      </c>
      <c r="F238" s="374" t="s">
        <v>1170</v>
      </c>
      <c r="G238" s="374" t="s">
        <v>1241</v>
      </c>
      <c r="H238" s="375">
        <v>2</v>
      </c>
      <c r="I238" s="379">
        <f>6.2*3.1*2</f>
        <v>38.440000000000005</v>
      </c>
      <c r="J238" s="376" t="s">
        <v>1174</v>
      </c>
      <c r="K238" s="376"/>
      <c r="L238" s="377">
        <f t="shared" si="18"/>
        <v>0</v>
      </c>
      <c r="M238" s="377">
        <f t="shared" si="19"/>
        <v>0</v>
      </c>
      <c r="N238" s="377">
        <f t="shared" si="20"/>
        <v>0</v>
      </c>
    </row>
    <row r="239" spans="1:14" s="1" customFormat="1" ht="12.75">
      <c r="A239" s="1" t="str">
        <f t="shared" si="21"/>
        <v>1122</v>
      </c>
      <c r="B239" s="374" t="s">
        <v>140</v>
      </c>
      <c r="C239" s="3">
        <v>112</v>
      </c>
      <c r="D239" s="373" t="s">
        <v>22</v>
      </c>
      <c r="E239" s="378" t="s">
        <v>63</v>
      </c>
      <c r="F239" s="374" t="s">
        <v>1173</v>
      </c>
      <c r="G239" s="374" t="s">
        <v>1241</v>
      </c>
      <c r="H239" s="375">
        <v>2</v>
      </c>
      <c r="I239" s="379">
        <f>6.2*3.1*2</f>
        <v>38.440000000000005</v>
      </c>
      <c r="J239" s="376" t="s">
        <v>1171</v>
      </c>
      <c r="K239" s="376"/>
      <c r="L239" s="377">
        <f t="shared" si="18"/>
        <v>0</v>
      </c>
      <c r="M239" s="377">
        <f t="shared" si="19"/>
        <v>0</v>
      </c>
      <c r="N239" s="377">
        <f t="shared" si="20"/>
        <v>0</v>
      </c>
    </row>
    <row r="240" spans="1:14" s="1" customFormat="1" ht="12.75">
      <c r="A240" s="1" t="str">
        <f t="shared" si="21"/>
        <v>1122</v>
      </c>
      <c r="B240" s="374" t="s">
        <v>140</v>
      </c>
      <c r="C240" s="3">
        <v>112</v>
      </c>
      <c r="D240" s="373" t="s">
        <v>22</v>
      </c>
      <c r="E240" s="378" t="s">
        <v>63</v>
      </c>
      <c r="F240" s="374" t="s">
        <v>1170</v>
      </c>
      <c r="G240" s="374" t="s">
        <v>1242</v>
      </c>
      <c r="H240" s="375">
        <v>2</v>
      </c>
      <c r="I240" s="379">
        <f>1.95*2.1*2</f>
        <v>8.19</v>
      </c>
      <c r="J240" s="376" t="s">
        <v>1174</v>
      </c>
      <c r="K240" s="376"/>
      <c r="L240" s="377">
        <f t="shared" si="18"/>
        <v>0</v>
      </c>
      <c r="M240" s="377">
        <f t="shared" si="19"/>
        <v>0</v>
      </c>
      <c r="N240" s="377">
        <f t="shared" si="20"/>
        <v>0</v>
      </c>
    </row>
    <row r="241" spans="1:14" s="1" customFormat="1" ht="12.75">
      <c r="A241" s="1" t="str">
        <f t="shared" si="21"/>
        <v>1122</v>
      </c>
      <c r="B241" s="374" t="s">
        <v>140</v>
      </c>
      <c r="C241" s="3">
        <v>112</v>
      </c>
      <c r="D241" s="373" t="s">
        <v>22</v>
      </c>
      <c r="E241" s="378" t="s">
        <v>63</v>
      </c>
      <c r="F241" s="374" t="s">
        <v>1173</v>
      </c>
      <c r="G241" s="374" t="s">
        <v>1242</v>
      </c>
      <c r="H241" s="375">
        <v>2</v>
      </c>
      <c r="I241" s="379">
        <f>1.95*2.1*2</f>
        <v>8.19</v>
      </c>
      <c r="J241" s="376" t="s">
        <v>1171</v>
      </c>
      <c r="K241" s="376"/>
      <c r="L241" s="377">
        <f t="shared" si="18"/>
        <v>0</v>
      </c>
      <c r="M241" s="377">
        <f t="shared" si="19"/>
        <v>0</v>
      </c>
      <c r="N241" s="377">
        <f t="shared" si="20"/>
        <v>0</v>
      </c>
    </row>
    <row r="242" spans="1:14" s="1" customFormat="1" ht="12.75">
      <c r="A242" s="1" t="str">
        <f t="shared" si="21"/>
        <v>1122</v>
      </c>
      <c r="B242" s="374" t="s">
        <v>140</v>
      </c>
      <c r="C242" s="3">
        <v>112</v>
      </c>
      <c r="D242" s="373" t="s">
        <v>22</v>
      </c>
      <c r="E242" s="378" t="s">
        <v>63</v>
      </c>
      <c r="F242" s="374" t="s">
        <v>1181</v>
      </c>
      <c r="G242" s="374" t="s">
        <v>1243</v>
      </c>
      <c r="H242" s="375">
        <v>2</v>
      </c>
      <c r="I242" s="379">
        <f>+(1.35+0.65)*12</f>
        <v>24</v>
      </c>
      <c r="J242" s="376" t="s">
        <v>1174</v>
      </c>
      <c r="K242" s="376" t="s">
        <v>1238</v>
      </c>
      <c r="L242" s="377">
        <f t="shared" si="18"/>
        <v>0</v>
      </c>
      <c r="M242" s="377">
        <f t="shared" si="19"/>
        <v>0</v>
      </c>
      <c r="N242" s="377">
        <f t="shared" si="20"/>
        <v>0</v>
      </c>
    </row>
    <row r="243" spans="1:14" s="1" customFormat="1" ht="12.75">
      <c r="A243" s="1" t="str">
        <f t="shared" si="21"/>
        <v>1122</v>
      </c>
      <c r="B243" s="374" t="s">
        <v>140</v>
      </c>
      <c r="C243" s="3">
        <v>112</v>
      </c>
      <c r="D243" s="373" t="s">
        <v>22</v>
      </c>
      <c r="E243" s="378" t="s">
        <v>63</v>
      </c>
      <c r="F243" s="374" t="s">
        <v>1179</v>
      </c>
      <c r="G243" s="374" t="s">
        <v>1243</v>
      </c>
      <c r="H243" s="375">
        <v>2</v>
      </c>
      <c r="I243" s="379">
        <f>+(1.35+0.65)*12</f>
        <v>24</v>
      </c>
      <c r="J243" s="376" t="s">
        <v>1171</v>
      </c>
      <c r="K243" s="376" t="s">
        <v>1238</v>
      </c>
      <c r="L243" s="377">
        <f t="shared" si="18"/>
        <v>0</v>
      </c>
      <c r="M243" s="377">
        <f t="shared" si="19"/>
        <v>0</v>
      </c>
      <c r="N243" s="377">
        <f t="shared" si="20"/>
        <v>0</v>
      </c>
    </row>
    <row r="244" spans="1:14" s="1" customFormat="1" ht="12.75">
      <c r="A244" s="1" t="str">
        <f t="shared" si="21"/>
        <v>1122</v>
      </c>
      <c r="B244" s="374" t="s">
        <v>140</v>
      </c>
      <c r="C244" s="3">
        <v>112</v>
      </c>
      <c r="D244" s="373" t="s">
        <v>22</v>
      </c>
      <c r="E244" s="378" t="s">
        <v>63</v>
      </c>
      <c r="F244" s="374" t="s">
        <v>1182</v>
      </c>
      <c r="G244" s="374" t="s">
        <v>1226</v>
      </c>
      <c r="H244" s="375">
        <v>2</v>
      </c>
      <c r="I244" s="379">
        <v>11.85</v>
      </c>
      <c r="J244" s="376" t="s">
        <v>1171</v>
      </c>
      <c r="K244" s="376"/>
      <c r="L244" s="377">
        <f t="shared" si="18"/>
        <v>0</v>
      </c>
      <c r="M244" s="377">
        <f t="shared" si="19"/>
        <v>0</v>
      </c>
      <c r="N244" s="377">
        <f t="shared" si="20"/>
        <v>0</v>
      </c>
    </row>
    <row r="245" spans="1:14" s="1" customFormat="1" ht="12.75">
      <c r="A245" s="1" t="str">
        <f t="shared" si="21"/>
        <v>1122</v>
      </c>
      <c r="B245" s="374" t="s">
        <v>140</v>
      </c>
      <c r="C245" s="3">
        <v>112</v>
      </c>
      <c r="D245" s="373" t="s">
        <v>22</v>
      </c>
      <c r="E245" s="378" t="s">
        <v>63</v>
      </c>
      <c r="F245" s="374" t="s">
        <v>1184</v>
      </c>
      <c r="G245" s="374" t="s">
        <v>1226</v>
      </c>
      <c r="H245" s="375">
        <v>2</v>
      </c>
      <c r="I245" s="379">
        <v>11.85</v>
      </c>
      <c r="J245" s="376" t="s">
        <v>1171</v>
      </c>
      <c r="K245" s="376"/>
      <c r="L245" s="377">
        <f t="shared" si="18"/>
        <v>0</v>
      </c>
      <c r="M245" s="377">
        <f t="shared" si="19"/>
        <v>0</v>
      </c>
      <c r="N245" s="377">
        <f t="shared" si="20"/>
        <v>0</v>
      </c>
    </row>
    <row r="246" spans="1:14" s="1" customFormat="1" ht="12.75">
      <c r="A246" s="1" t="str">
        <f t="shared" si="21"/>
        <v>1122</v>
      </c>
      <c r="B246" s="374" t="s">
        <v>140</v>
      </c>
      <c r="C246" s="3">
        <v>112</v>
      </c>
      <c r="D246" s="373" t="s">
        <v>22</v>
      </c>
      <c r="E246" s="378" t="s">
        <v>63</v>
      </c>
      <c r="F246" s="374" t="s">
        <v>1185</v>
      </c>
      <c r="G246" s="374" t="s">
        <v>1227</v>
      </c>
      <c r="H246" s="375">
        <v>2</v>
      </c>
      <c r="I246" s="379">
        <v>1.92</v>
      </c>
      <c r="J246" s="376" t="s">
        <v>1171</v>
      </c>
      <c r="K246" s="376"/>
      <c r="L246" s="377">
        <f t="shared" si="18"/>
        <v>0</v>
      </c>
      <c r="M246" s="377">
        <f t="shared" si="19"/>
        <v>0</v>
      </c>
      <c r="N246" s="377">
        <f t="shared" si="20"/>
        <v>0</v>
      </c>
    </row>
    <row r="247" spans="1:14" s="1" customFormat="1" ht="12.75">
      <c r="A247" s="1" t="str">
        <f t="shared" si="21"/>
        <v>1122</v>
      </c>
      <c r="B247" s="374" t="s">
        <v>140</v>
      </c>
      <c r="C247" s="3">
        <v>112</v>
      </c>
      <c r="D247" s="373" t="s">
        <v>22</v>
      </c>
      <c r="E247" s="378" t="s">
        <v>63</v>
      </c>
      <c r="F247" s="374" t="s">
        <v>1187</v>
      </c>
      <c r="G247" s="374" t="s">
        <v>1227</v>
      </c>
      <c r="H247" s="375">
        <v>2</v>
      </c>
      <c r="I247" s="379">
        <v>1.92</v>
      </c>
      <c r="J247" s="376" t="s">
        <v>1171</v>
      </c>
      <c r="K247" s="376"/>
      <c r="L247" s="377">
        <f t="shared" si="18"/>
        <v>0</v>
      </c>
      <c r="M247" s="377">
        <f t="shared" si="19"/>
        <v>0</v>
      </c>
      <c r="N247" s="377">
        <f t="shared" si="20"/>
        <v>0</v>
      </c>
    </row>
    <row r="248" spans="1:14" s="1" customFormat="1" ht="12.75">
      <c r="A248" s="1" t="str">
        <f t="shared" si="21"/>
        <v>11226</v>
      </c>
      <c r="B248" s="374" t="s">
        <v>140</v>
      </c>
      <c r="C248" s="3">
        <v>112</v>
      </c>
      <c r="D248" s="373" t="s">
        <v>22</v>
      </c>
      <c r="E248" s="4"/>
      <c r="F248" s="374" t="s">
        <v>1172</v>
      </c>
      <c r="G248" s="374" t="s">
        <v>1320</v>
      </c>
      <c r="H248" s="375">
        <v>26</v>
      </c>
      <c r="I248" s="379">
        <v>28</v>
      </c>
      <c r="J248" s="376" t="s">
        <v>1171</v>
      </c>
      <c r="K248" s="376" t="s">
        <v>1321</v>
      </c>
      <c r="L248" s="377">
        <f t="shared" si="18"/>
        <v>0</v>
      </c>
      <c r="M248" s="377">
        <f t="shared" si="19"/>
        <v>0</v>
      </c>
      <c r="N248" s="377">
        <f t="shared" si="20"/>
        <v>0</v>
      </c>
    </row>
    <row r="249" spans="1:14" s="1" customFormat="1" ht="12.75">
      <c r="A249" s="1" t="str">
        <f t="shared" si="21"/>
        <v>1132</v>
      </c>
      <c r="B249" s="374" t="s">
        <v>855</v>
      </c>
      <c r="C249" s="3">
        <v>113</v>
      </c>
      <c r="D249" s="373" t="s">
        <v>22</v>
      </c>
      <c r="E249" s="378" t="s">
        <v>63</v>
      </c>
      <c r="F249" s="374" t="s">
        <v>1170</v>
      </c>
      <c r="G249" s="374" t="s">
        <v>1230</v>
      </c>
      <c r="H249" s="375">
        <v>2</v>
      </c>
      <c r="I249" s="379">
        <f>+(1.55+2+4.2+8.2+1+1.5)*3.1-2</f>
        <v>55.195</v>
      </c>
      <c r="J249" s="376" t="s">
        <v>1171</v>
      </c>
      <c r="K249" s="376"/>
      <c r="L249" s="377">
        <f t="shared" si="18"/>
        <v>0</v>
      </c>
      <c r="M249" s="377">
        <f t="shared" si="19"/>
        <v>0</v>
      </c>
      <c r="N249" s="377">
        <f t="shared" si="20"/>
        <v>0</v>
      </c>
    </row>
    <row r="250" spans="1:14" s="1" customFormat="1" ht="12.75">
      <c r="A250" s="1" t="str">
        <f t="shared" si="21"/>
        <v>1132</v>
      </c>
      <c r="B250" s="374" t="s">
        <v>855</v>
      </c>
      <c r="C250" s="3">
        <v>113</v>
      </c>
      <c r="D250" s="373" t="s">
        <v>22</v>
      </c>
      <c r="E250" s="378" t="s">
        <v>63</v>
      </c>
      <c r="F250" s="374" t="s">
        <v>1173</v>
      </c>
      <c r="G250" s="374" t="s">
        <v>1230</v>
      </c>
      <c r="H250" s="375">
        <v>2</v>
      </c>
      <c r="I250" s="379">
        <f>+(1.55+2+4.2+8.2+1+1.5)*3.1-2</f>
        <v>55.195</v>
      </c>
      <c r="J250" s="376" t="s">
        <v>1171</v>
      </c>
      <c r="K250" s="376"/>
      <c r="L250" s="377">
        <f t="shared" si="18"/>
        <v>0</v>
      </c>
      <c r="M250" s="377">
        <f t="shared" si="19"/>
        <v>0</v>
      </c>
      <c r="N250" s="377">
        <f t="shared" si="20"/>
        <v>0</v>
      </c>
    </row>
    <row r="251" spans="1:14" s="1" customFormat="1" ht="12.75">
      <c r="A251" s="1" t="str">
        <f t="shared" si="21"/>
        <v>1132</v>
      </c>
      <c r="B251" s="374" t="s">
        <v>855</v>
      </c>
      <c r="C251" s="3">
        <v>113</v>
      </c>
      <c r="D251" s="373" t="s">
        <v>22</v>
      </c>
      <c r="E251" s="378" t="s">
        <v>182</v>
      </c>
      <c r="F251" s="374" t="s">
        <v>1170</v>
      </c>
      <c r="G251" s="374" t="s">
        <v>1230</v>
      </c>
      <c r="H251" s="375">
        <v>2</v>
      </c>
      <c r="I251" s="379">
        <f>(4+2+4+2.8)*3.1+5*2.5</f>
        <v>52.180000000000007</v>
      </c>
      <c r="J251" s="376" t="s">
        <v>1171</v>
      </c>
      <c r="K251" s="376"/>
      <c r="L251" s="377">
        <f t="shared" si="18"/>
        <v>0</v>
      </c>
      <c r="M251" s="377">
        <f t="shared" si="19"/>
        <v>0</v>
      </c>
      <c r="N251" s="377">
        <f t="shared" si="20"/>
        <v>0</v>
      </c>
    </row>
    <row r="252" spans="1:14" s="1" customFormat="1" ht="12.75">
      <c r="A252" s="1" t="str">
        <f t="shared" si="21"/>
        <v>1132</v>
      </c>
      <c r="B252" s="374" t="s">
        <v>855</v>
      </c>
      <c r="C252" s="3">
        <v>113</v>
      </c>
      <c r="D252" s="373" t="s">
        <v>22</v>
      </c>
      <c r="E252" s="378" t="s">
        <v>182</v>
      </c>
      <c r="F252" s="374" t="s">
        <v>1173</v>
      </c>
      <c r="G252" s="374" t="s">
        <v>1230</v>
      </c>
      <c r="H252" s="375">
        <v>2</v>
      </c>
      <c r="I252" s="379">
        <f>(4+2+4+2.8)*3.1+5*2.5</f>
        <v>52.180000000000007</v>
      </c>
      <c r="J252" s="376" t="s">
        <v>1171</v>
      </c>
      <c r="K252" s="376"/>
      <c r="L252" s="377">
        <f t="shared" si="18"/>
        <v>0</v>
      </c>
      <c r="M252" s="377">
        <f t="shared" si="19"/>
        <v>0</v>
      </c>
      <c r="N252" s="377">
        <f t="shared" si="20"/>
        <v>0</v>
      </c>
    </row>
    <row r="253" spans="1:14" s="1" customFormat="1" ht="12.75">
      <c r="A253" s="1" t="str">
        <f t="shared" si="21"/>
        <v>1132</v>
      </c>
      <c r="B253" s="374" t="s">
        <v>855</v>
      </c>
      <c r="C253" s="3">
        <v>113</v>
      </c>
      <c r="D253" s="373" t="s">
        <v>22</v>
      </c>
      <c r="E253" s="378" t="s">
        <v>63</v>
      </c>
      <c r="F253" s="374" t="s">
        <v>1231</v>
      </c>
      <c r="G253" s="374" t="s">
        <v>1232</v>
      </c>
      <c r="H253" s="375">
        <v>2</v>
      </c>
      <c r="I253" s="379">
        <f>6.8*5</f>
        <v>34</v>
      </c>
      <c r="J253" s="376" t="s">
        <v>1171</v>
      </c>
      <c r="K253" s="376" t="s">
        <v>1233</v>
      </c>
      <c r="L253" s="377">
        <f t="shared" si="18"/>
        <v>0</v>
      </c>
      <c r="M253" s="377">
        <f t="shared" si="19"/>
        <v>0</v>
      </c>
      <c r="N253" s="377">
        <f t="shared" si="20"/>
        <v>0</v>
      </c>
    </row>
    <row r="254" spans="1:14" s="1" customFormat="1" ht="12.75">
      <c r="A254" s="1" t="str">
        <f t="shared" si="21"/>
        <v>1132</v>
      </c>
      <c r="B254" s="374" t="s">
        <v>855</v>
      </c>
      <c r="C254" s="3">
        <v>113</v>
      </c>
      <c r="D254" s="373" t="s">
        <v>22</v>
      </c>
      <c r="E254" s="378" t="s">
        <v>63</v>
      </c>
      <c r="F254" s="374" t="s">
        <v>1231</v>
      </c>
      <c r="G254" s="374" t="s">
        <v>1234</v>
      </c>
      <c r="H254" s="375">
        <v>2</v>
      </c>
      <c r="I254" s="379">
        <f>6.6*3.2</f>
        <v>21.12</v>
      </c>
      <c r="J254" s="376" t="s">
        <v>1174</v>
      </c>
      <c r="K254" s="376" t="s">
        <v>1233</v>
      </c>
      <c r="L254" s="377">
        <f t="shared" si="18"/>
        <v>0</v>
      </c>
      <c r="M254" s="377">
        <f t="shared" si="19"/>
        <v>0</v>
      </c>
      <c r="N254" s="377">
        <f t="shared" si="20"/>
        <v>0</v>
      </c>
    </row>
    <row r="255" spans="1:14" s="1" customFormat="1" ht="12.75">
      <c r="A255" s="1" t="str">
        <f t="shared" si="21"/>
        <v>1132</v>
      </c>
      <c r="B255" s="374" t="s">
        <v>855</v>
      </c>
      <c r="C255" s="3">
        <v>113</v>
      </c>
      <c r="D255" s="373" t="s">
        <v>22</v>
      </c>
      <c r="E255" s="378" t="s">
        <v>63</v>
      </c>
      <c r="F255" s="374" t="s">
        <v>1170</v>
      </c>
      <c r="G255" s="374" t="s">
        <v>1235</v>
      </c>
      <c r="H255" s="375">
        <v>2</v>
      </c>
      <c r="I255" s="379">
        <f>6.5*3.1*2</f>
        <v>40.300000000000004</v>
      </c>
      <c r="J255" s="376" t="s">
        <v>1174</v>
      </c>
      <c r="K255" s="376"/>
      <c r="L255" s="377">
        <f t="shared" si="18"/>
        <v>0</v>
      </c>
      <c r="M255" s="377">
        <f t="shared" si="19"/>
        <v>0</v>
      </c>
      <c r="N255" s="377">
        <f t="shared" si="20"/>
        <v>0</v>
      </c>
    </row>
    <row r="256" spans="1:14" s="1" customFormat="1" ht="12.75">
      <c r="A256" s="1" t="str">
        <f t="shared" si="21"/>
        <v>1132</v>
      </c>
      <c r="B256" s="374" t="s">
        <v>855</v>
      </c>
      <c r="C256" s="3">
        <v>113</v>
      </c>
      <c r="D256" s="373" t="s">
        <v>22</v>
      </c>
      <c r="E256" s="378" t="s">
        <v>63</v>
      </c>
      <c r="F256" s="374" t="s">
        <v>1173</v>
      </c>
      <c r="G256" s="374" t="s">
        <v>1235</v>
      </c>
      <c r="H256" s="375">
        <v>2</v>
      </c>
      <c r="I256" s="379">
        <f>6.5*3.1*2</f>
        <v>40.300000000000004</v>
      </c>
      <c r="J256" s="376" t="s">
        <v>1171</v>
      </c>
      <c r="K256" s="376"/>
      <c r="L256" s="377">
        <f t="shared" si="18"/>
        <v>0</v>
      </c>
      <c r="M256" s="377">
        <f t="shared" si="19"/>
        <v>0</v>
      </c>
      <c r="N256" s="377">
        <f t="shared" si="20"/>
        <v>0</v>
      </c>
    </row>
    <row r="257" spans="1:14" s="1" customFormat="1" ht="12.75">
      <c r="A257" s="1" t="str">
        <f t="shared" si="21"/>
        <v>1132</v>
      </c>
      <c r="B257" s="374" t="s">
        <v>855</v>
      </c>
      <c r="C257" s="3">
        <v>113</v>
      </c>
      <c r="D257" s="373" t="s">
        <v>22</v>
      </c>
      <c r="E257" s="378" t="s">
        <v>63</v>
      </c>
      <c r="F257" s="374" t="s">
        <v>1170</v>
      </c>
      <c r="G257" s="374" t="s">
        <v>1236</v>
      </c>
      <c r="H257" s="375">
        <v>2</v>
      </c>
      <c r="I257" s="379">
        <f>1.95*2.15*2</f>
        <v>8.3849999999999998</v>
      </c>
      <c r="J257" s="376" t="s">
        <v>1174</v>
      </c>
      <c r="K257" s="376"/>
      <c r="L257" s="377">
        <f t="shared" si="18"/>
        <v>0</v>
      </c>
      <c r="M257" s="377">
        <f t="shared" si="19"/>
        <v>0</v>
      </c>
      <c r="N257" s="377">
        <f t="shared" si="20"/>
        <v>0</v>
      </c>
    </row>
    <row r="258" spans="1:14" s="1" customFormat="1" ht="12.75">
      <c r="A258" s="1" t="str">
        <f t="shared" si="21"/>
        <v>1132</v>
      </c>
      <c r="B258" s="374" t="s">
        <v>855</v>
      </c>
      <c r="C258" s="3">
        <v>113</v>
      </c>
      <c r="D258" s="373" t="s">
        <v>22</v>
      </c>
      <c r="E258" s="378" t="s">
        <v>63</v>
      </c>
      <c r="F258" s="374" t="s">
        <v>1173</v>
      </c>
      <c r="G258" s="374" t="s">
        <v>1236</v>
      </c>
      <c r="H258" s="375">
        <v>2</v>
      </c>
      <c r="I258" s="379">
        <f>1.95*2.15*2</f>
        <v>8.3849999999999998</v>
      </c>
      <c r="J258" s="376" t="s">
        <v>1171</v>
      </c>
      <c r="K258" s="376"/>
      <c r="L258" s="377">
        <f t="shared" si="18"/>
        <v>0</v>
      </c>
      <c r="M258" s="377">
        <f t="shared" si="19"/>
        <v>0</v>
      </c>
      <c r="N258" s="377">
        <f t="shared" si="20"/>
        <v>0</v>
      </c>
    </row>
    <row r="259" spans="1:14" s="1" customFormat="1" ht="12.75">
      <c r="A259" s="1" t="str">
        <f t="shared" si="21"/>
        <v>1132</v>
      </c>
      <c r="B259" s="374" t="s">
        <v>855</v>
      </c>
      <c r="C259" s="3">
        <v>113</v>
      </c>
      <c r="D259" s="373" t="s">
        <v>22</v>
      </c>
      <c r="E259" s="378" t="s">
        <v>63</v>
      </c>
      <c r="F259" s="374" t="s">
        <v>1181</v>
      </c>
      <c r="G259" s="374" t="s">
        <v>1237</v>
      </c>
      <c r="H259" s="375">
        <v>2</v>
      </c>
      <c r="I259" s="379">
        <f>+(1.35+0.65)*12</f>
        <v>24</v>
      </c>
      <c r="J259" s="376" t="s">
        <v>1174</v>
      </c>
      <c r="K259" s="376" t="s">
        <v>1238</v>
      </c>
      <c r="L259" s="377">
        <f t="shared" si="18"/>
        <v>0</v>
      </c>
      <c r="M259" s="377">
        <f t="shared" si="19"/>
        <v>0</v>
      </c>
      <c r="N259" s="377">
        <f t="shared" si="20"/>
        <v>0</v>
      </c>
    </row>
    <row r="260" spans="1:14" s="1" customFormat="1" ht="12.75">
      <c r="A260" s="1" t="str">
        <f t="shared" si="21"/>
        <v>1132</v>
      </c>
      <c r="B260" s="374" t="s">
        <v>855</v>
      </c>
      <c r="C260" s="3">
        <v>113</v>
      </c>
      <c r="D260" s="373" t="s">
        <v>22</v>
      </c>
      <c r="E260" s="378" t="s">
        <v>63</v>
      </c>
      <c r="F260" s="374" t="s">
        <v>1179</v>
      </c>
      <c r="G260" s="374" t="s">
        <v>1237</v>
      </c>
      <c r="H260" s="375">
        <v>2</v>
      </c>
      <c r="I260" s="379">
        <f>+(1.35+0.65)*12</f>
        <v>24</v>
      </c>
      <c r="J260" s="376" t="s">
        <v>1171</v>
      </c>
      <c r="K260" s="376" t="s">
        <v>1238</v>
      </c>
      <c r="L260" s="377">
        <f t="shared" si="18"/>
        <v>0</v>
      </c>
      <c r="M260" s="377">
        <f t="shared" si="19"/>
        <v>0</v>
      </c>
      <c r="N260" s="377">
        <f t="shared" si="20"/>
        <v>0</v>
      </c>
    </row>
    <row r="261" spans="1:14" s="1" customFormat="1" ht="12.75">
      <c r="A261" s="1" t="str">
        <f t="shared" si="21"/>
        <v>1132</v>
      </c>
      <c r="B261" s="374" t="s">
        <v>855</v>
      </c>
      <c r="C261" s="3">
        <v>113</v>
      </c>
      <c r="D261" s="373" t="s">
        <v>22</v>
      </c>
      <c r="E261" s="378" t="s">
        <v>63</v>
      </c>
      <c r="F261" s="374" t="s">
        <v>1182</v>
      </c>
      <c r="G261" s="374" t="s">
        <v>1991</v>
      </c>
      <c r="H261" s="375">
        <v>2</v>
      </c>
      <c r="I261" s="379">
        <v>11.85</v>
      </c>
      <c r="J261" s="376" t="s">
        <v>1171</v>
      </c>
      <c r="K261" s="376"/>
      <c r="L261" s="377">
        <f t="shared" si="18"/>
        <v>0</v>
      </c>
      <c r="M261" s="377">
        <f t="shared" si="19"/>
        <v>0</v>
      </c>
      <c r="N261" s="377">
        <f t="shared" si="20"/>
        <v>0</v>
      </c>
    </row>
    <row r="262" spans="1:14" s="1" customFormat="1" ht="12.75">
      <c r="A262" s="1" t="str">
        <f t="shared" si="21"/>
        <v>1132</v>
      </c>
      <c r="B262" s="374" t="s">
        <v>855</v>
      </c>
      <c r="C262" s="3">
        <v>113</v>
      </c>
      <c r="D262" s="373" t="s">
        <v>22</v>
      </c>
      <c r="E262" s="378" t="s">
        <v>63</v>
      </c>
      <c r="F262" s="374" t="s">
        <v>1184</v>
      </c>
      <c r="G262" s="374" t="s">
        <v>1991</v>
      </c>
      <c r="H262" s="375">
        <v>2</v>
      </c>
      <c r="I262" s="379">
        <v>11.85</v>
      </c>
      <c r="J262" s="376" t="s">
        <v>1171</v>
      </c>
      <c r="K262" s="376"/>
      <c r="L262" s="377">
        <f t="shared" si="18"/>
        <v>0</v>
      </c>
      <c r="M262" s="377">
        <f t="shared" si="19"/>
        <v>0</v>
      </c>
      <c r="N262" s="377">
        <f t="shared" si="20"/>
        <v>0</v>
      </c>
    </row>
    <row r="263" spans="1:14" s="1" customFormat="1" ht="12.75">
      <c r="A263" s="1" t="str">
        <f t="shared" si="21"/>
        <v>1132</v>
      </c>
      <c r="B263" s="374" t="s">
        <v>855</v>
      </c>
      <c r="C263" s="3">
        <v>113</v>
      </c>
      <c r="D263" s="373" t="s">
        <v>22</v>
      </c>
      <c r="E263" s="378" t="s">
        <v>63</v>
      </c>
      <c r="F263" s="374" t="s">
        <v>1185</v>
      </c>
      <c r="G263" s="374" t="s">
        <v>1992</v>
      </c>
      <c r="H263" s="375">
        <v>2</v>
      </c>
      <c r="I263" s="379">
        <v>1.92</v>
      </c>
      <c r="J263" s="376" t="s">
        <v>1171</v>
      </c>
      <c r="K263" s="376"/>
      <c r="L263" s="377">
        <f t="shared" si="18"/>
        <v>0</v>
      </c>
      <c r="M263" s="377">
        <f t="shared" si="19"/>
        <v>0</v>
      </c>
      <c r="N263" s="377">
        <f t="shared" si="20"/>
        <v>0</v>
      </c>
    </row>
    <row r="264" spans="1:14" s="1" customFormat="1" ht="12.75">
      <c r="A264" s="1" t="str">
        <f t="shared" si="21"/>
        <v>1132</v>
      </c>
      <c r="B264" s="374" t="s">
        <v>855</v>
      </c>
      <c r="C264" s="3">
        <v>113</v>
      </c>
      <c r="D264" s="373" t="s">
        <v>22</v>
      </c>
      <c r="E264" s="378" t="s">
        <v>63</v>
      </c>
      <c r="F264" s="374" t="s">
        <v>1187</v>
      </c>
      <c r="G264" s="374" t="s">
        <v>1992</v>
      </c>
      <c r="H264" s="375">
        <v>2</v>
      </c>
      <c r="I264" s="379">
        <v>1.92</v>
      </c>
      <c r="J264" s="376" t="s">
        <v>1171</v>
      </c>
      <c r="K264" s="376"/>
      <c r="L264" s="377">
        <f t="shared" si="18"/>
        <v>0</v>
      </c>
      <c r="M264" s="377">
        <f t="shared" si="19"/>
        <v>0</v>
      </c>
      <c r="N264" s="377">
        <f t="shared" si="20"/>
        <v>0</v>
      </c>
    </row>
    <row r="265" spans="1:14" s="1" customFormat="1" ht="12.75">
      <c r="A265" s="1" t="str">
        <f t="shared" si="21"/>
        <v>1132</v>
      </c>
      <c r="B265" s="374" t="s">
        <v>855</v>
      </c>
      <c r="C265" s="3">
        <v>113</v>
      </c>
      <c r="D265" s="373" t="s">
        <v>22</v>
      </c>
      <c r="E265" s="378" t="s">
        <v>237</v>
      </c>
      <c r="F265" s="374" t="s">
        <v>1222</v>
      </c>
      <c r="G265" s="374" t="s">
        <v>1239</v>
      </c>
      <c r="H265" s="375">
        <v>2</v>
      </c>
      <c r="I265" s="379">
        <v>2</v>
      </c>
      <c r="J265" s="376" t="s">
        <v>1171</v>
      </c>
      <c r="K265" s="376"/>
      <c r="L265" s="377">
        <f t="shared" si="18"/>
        <v>0</v>
      </c>
      <c r="M265" s="377">
        <f t="shared" si="19"/>
        <v>0</v>
      </c>
      <c r="N265" s="377">
        <f t="shared" si="20"/>
        <v>0</v>
      </c>
    </row>
    <row r="266" spans="1:14" s="1" customFormat="1" ht="12.75">
      <c r="A266" s="1" t="str">
        <f t="shared" si="21"/>
        <v>1132</v>
      </c>
      <c r="B266" s="374" t="s">
        <v>855</v>
      </c>
      <c r="C266" s="3">
        <v>113</v>
      </c>
      <c r="D266" s="373" t="s">
        <v>22</v>
      </c>
      <c r="E266" s="378" t="s">
        <v>237</v>
      </c>
      <c r="F266" s="374" t="s">
        <v>1225</v>
      </c>
      <c r="G266" s="374" t="s">
        <v>1239</v>
      </c>
      <c r="H266" s="375">
        <v>2</v>
      </c>
      <c r="I266" s="379">
        <v>2</v>
      </c>
      <c r="J266" s="376" t="s">
        <v>1171</v>
      </c>
      <c r="K266" s="376"/>
      <c r="L266" s="377">
        <f t="shared" si="18"/>
        <v>0</v>
      </c>
      <c r="M266" s="377">
        <f t="shared" si="19"/>
        <v>0</v>
      </c>
      <c r="N266" s="377">
        <f t="shared" si="20"/>
        <v>0</v>
      </c>
    </row>
    <row r="267" spans="1:14" s="1" customFormat="1" ht="12.75">
      <c r="A267" s="1" t="str">
        <f t="shared" si="21"/>
        <v>1132</v>
      </c>
      <c r="B267" s="374" t="s">
        <v>855</v>
      </c>
      <c r="C267" s="3">
        <v>113</v>
      </c>
      <c r="D267" s="373" t="s">
        <v>22</v>
      </c>
      <c r="E267" s="378" t="s">
        <v>63</v>
      </c>
      <c r="F267" s="374" t="s">
        <v>1170</v>
      </c>
      <c r="G267" s="374" t="s">
        <v>1240</v>
      </c>
      <c r="H267" s="375">
        <v>2</v>
      </c>
      <c r="I267" s="379">
        <f>+(1.55+2+4.2+8.2+1+1.5)*3.1-2</f>
        <v>55.195</v>
      </c>
      <c r="J267" s="376" t="s">
        <v>1171</v>
      </c>
      <c r="K267" s="376"/>
      <c r="L267" s="377">
        <f t="shared" si="18"/>
        <v>0</v>
      </c>
      <c r="M267" s="377">
        <f t="shared" si="19"/>
        <v>0</v>
      </c>
      <c r="N267" s="377">
        <f t="shared" si="20"/>
        <v>0</v>
      </c>
    </row>
    <row r="268" spans="1:14" s="1" customFormat="1" ht="12.75">
      <c r="A268" s="1" t="str">
        <f t="shared" si="21"/>
        <v>1132</v>
      </c>
      <c r="B268" s="374" t="s">
        <v>855</v>
      </c>
      <c r="C268" s="3">
        <v>113</v>
      </c>
      <c r="D268" s="373" t="s">
        <v>22</v>
      </c>
      <c r="E268" s="378" t="s">
        <v>63</v>
      </c>
      <c r="F268" s="374" t="s">
        <v>1173</v>
      </c>
      <c r="G268" s="374" t="s">
        <v>1240</v>
      </c>
      <c r="H268" s="375">
        <v>2</v>
      </c>
      <c r="I268" s="379">
        <f>+(1.55+2+4.2+8.2+1+1.5)*3.1-2</f>
        <v>55.195</v>
      </c>
      <c r="J268" s="376" t="s">
        <v>1171</v>
      </c>
      <c r="K268" s="376"/>
      <c r="L268" s="377">
        <f t="shared" si="18"/>
        <v>0</v>
      </c>
      <c r="M268" s="377">
        <f t="shared" si="19"/>
        <v>0</v>
      </c>
      <c r="N268" s="377">
        <f t="shared" si="20"/>
        <v>0</v>
      </c>
    </row>
    <row r="269" spans="1:14" s="1" customFormat="1" ht="12.75">
      <c r="A269" s="1" t="str">
        <f t="shared" si="21"/>
        <v>1132</v>
      </c>
      <c r="B269" s="374" t="s">
        <v>855</v>
      </c>
      <c r="C269" s="3">
        <v>113</v>
      </c>
      <c r="D269" s="373" t="s">
        <v>22</v>
      </c>
      <c r="E269" s="378" t="s">
        <v>182</v>
      </c>
      <c r="F269" s="374" t="s">
        <v>1170</v>
      </c>
      <c r="G269" s="374" t="s">
        <v>1240</v>
      </c>
      <c r="H269" s="375">
        <v>2</v>
      </c>
      <c r="I269" s="379">
        <f>(4+2+4+2.8)*3.1+5*2.5</f>
        <v>52.180000000000007</v>
      </c>
      <c r="J269" s="376" t="s">
        <v>1171</v>
      </c>
      <c r="K269" s="376"/>
      <c r="L269" s="377">
        <f t="shared" si="18"/>
        <v>0</v>
      </c>
      <c r="M269" s="377">
        <f t="shared" si="19"/>
        <v>0</v>
      </c>
      <c r="N269" s="377">
        <f t="shared" si="20"/>
        <v>0</v>
      </c>
    </row>
    <row r="270" spans="1:14" s="1" customFormat="1" ht="12.75">
      <c r="A270" s="1" t="str">
        <f t="shared" ref="A270:A301" si="22">CONCATENATE(C270,H270)</f>
        <v>1132</v>
      </c>
      <c r="B270" s="374" t="s">
        <v>855</v>
      </c>
      <c r="C270" s="3">
        <v>113</v>
      </c>
      <c r="D270" s="373" t="s">
        <v>22</v>
      </c>
      <c r="E270" s="378" t="s">
        <v>182</v>
      </c>
      <c r="F270" s="374" t="s">
        <v>1173</v>
      </c>
      <c r="G270" s="374" t="s">
        <v>1240</v>
      </c>
      <c r="H270" s="375">
        <v>2</v>
      </c>
      <c r="I270" s="379">
        <f>(4+2+4+2.8)*3.1+5*2.5</f>
        <v>52.180000000000007</v>
      </c>
      <c r="J270" s="376" t="s">
        <v>1171</v>
      </c>
      <c r="K270" s="376"/>
      <c r="L270" s="377">
        <f t="shared" si="18"/>
        <v>0</v>
      </c>
      <c r="M270" s="377">
        <f t="shared" si="19"/>
        <v>0</v>
      </c>
      <c r="N270" s="377">
        <f t="shared" si="20"/>
        <v>0</v>
      </c>
    </row>
    <row r="271" spans="1:14" s="1" customFormat="1" ht="12.75">
      <c r="A271" s="1" t="str">
        <f t="shared" si="22"/>
        <v>1132</v>
      </c>
      <c r="B271" s="374" t="s">
        <v>855</v>
      </c>
      <c r="C271" s="3">
        <v>113</v>
      </c>
      <c r="D271" s="373" t="s">
        <v>22</v>
      </c>
      <c r="E271" s="378" t="s">
        <v>63</v>
      </c>
      <c r="F271" s="374" t="s">
        <v>1231</v>
      </c>
      <c r="G271" s="374" t="s">
        <v>1232</v>
      </c>
      <c r="H271" s="375">
        <v>2</v>
      </c>
      <c r="I271" s="379">
        <f>6.8*5</f>
        <v>34</v>
      </c>
      <c r="J271" s="376" t="s">
        <v>1171</v>
      </c>
      <c r="K271" s="376" t="s">
        <v>1233</v>
      </c>
      <c r="L271" s="377">
        <f t="shared" si="18"/>
        <v>0</v>
      </c>
      <c r="M271" s="377">
        <f t="shared" si="19"/>
        <v>0</v>
      </c>
      <c r="N271" s="377">
        <f t="shared" si="20"/>
        <v>0</v>
      </c>
    </row>
    <row r="272" spans="1:14" s="1" customFormat="1" ht="12.75">
      <c r="A272" s="1" t="str">
        <f t="shared" si="22"/>
        <v>1132</v>
      </c>
      <c r="B272" s="374" t="s">
        <v>855</v>
      </c>
      <c r="C272" s="3">
        <v>113</v>
      </c>
      <c r="D272" s="373" t="s">
        <v>22</v>
      </c>
      <c r="E272" s="378" t="s">
        <v>63</v>
      </c>
      <c r="F272" s="374" t="s">
        <v>1231</v>
      </c>
      <c r="G272" s="374" t="s">
        <v>1234</v>
      </c>
      <c r="H272" s="375">
        <v>2</v>
      </c>
      <c r="I272" s="379">
        <f>6.6*3.2</f>
        <v>21.12</v>
      </c>
      <c r="J272" s="376" t="s">
        <v>1174</v>
      </c>
      <c r="K272" s="376" t="s">
        <v>1233</v>
      </c>
      <c r="L272" s="377">
        <f t="shared" si="18"/>
        <v>0</v>
      </c>
      <c r="M272" s="377">
        <f t="shared" si="19"/>
        <v>0</v>
      </c>
      <c r="N272" s="377">
        <f t="shared" si="20"/>
        <v>0</v>
      </c>
    </row>
    <row r="273" spans="1:14" s="1" customFormat="1" ht="12.75">
      <c r="A273" s="1" t="str">
        <f t="shared" si="22"/>
        <v>1132</v>
      </c>
      <c r="B273" s="374" t="s">
        <v>855</v>
      </c>
      <c r="C273" s="3">
        <v>113</v>
      </c>
      <c r="D273" s="373" t="s">
        <v>22</v>
      </c>
      <c r="E273" s="378" t="s">
        <v>63</v>
      </c>
      <c r="F273" s="374" t="s">
        <v>1170</v>
      </c>
      <c r="G273" s="374" t="s">
        <v>1241</v>
      </c>
      <c r="H273" s="375">
        <v>2</v>
      </c>
      <c r="I273" s="379">
        <f>6.5*3.1*2</f>
        <v>40.300000000000004</v>
      </c>
      <c r="J273" s="376" t="s">
        <v>1174</v>
      </c>
      <c r="K273" s="376"/>
      <c r="L273" s="377">
        <f t="shared" ref="L273:L336" si="23">IF(J273="ja",VLOOKUP(F273,Glassoort2,2,0))*I273</f>
        <v>0</v>
      </c>
      <c r="M273" s="377">
        <f t="shared" ref="M273:M336" si="24">IF(J273="nee",VLOOKUP(F273,Glassoort2,3,0))*I273</f>
        <v>0</v>
      </c>
      <c r="N273" s="377">
        <f t="shared" si="20"/>
        <v>0</v>
      </c>
    </row>
    <row r="274" spans="1:14" s="1" customFormat="1" ht="12.75">
      <c r="A274" s="1" t="str">
        <f t="shared" si="22"/>
        <v>1132</v>
      </c>
      <c r="B274" s="374" t="s">
        <v>855</v>
      </c>
      <c r="C274" s="3">
        <v>113</v>
      </c>
      <c r="D274" s="373" t="s">
        <v>22</v>
      </c>
      <c r="E274" s="378" t="s">
        <v>63</v>
      </c>
      <c r="F274" s="374" t="s">
        <v>1173</v>
      </c>
      <c r="G274" s="374" t="s">
        <v>1241</v>
      </c>
      <c r="H274" s="375">
        <v>2</v>
      </c>
      <c r="I274" s="379">
        <f>6.5*3.1*2</f>
        <v>40.300000000000004</v>
      </c>
      <c r="J274" s="376" t="s">
        <v>1171</v>
      </c>
      <c r="K274" s="376"/>
      <c r="L274" s="377">
        <f t="shared" si="23"/>
        <v>0</v>
      </c>
      <c r="M274" s="377">
        <f t="shared" si="24"/>
        <v>0</v>
      </c>
      <c r="N274" s="377">
        <f t="shared" ref="N274:N337" si="25">(M274*H274)+(L274*H274)</f>
        <v>0</v>
      </c>
    </row>
    <row r="275" spans="1:14" s="1" customFormat="1" ht="12.75">
      <c r="A275" s="1" t="str">
        <f t="shared" si="22"/>
        <v>1132</v>
      </c>
      <c r="B275" s="374" t="s">
        <v>855</v>
      </c>
      <c r="C275" s="3">
        <v>113</v>
      </c>
      <c r="D275" s="373" t="s">
        <v>22</v>
      </c>
      <c r="E275" s="378" t="s">
        <v>63</v>
      </c>
      <c r="F275" s="374" t="s">
        <v>1170</v>
      </c>
      <c r="G275" s="374" t="s">
        <v>1242</v>
      </c>
      <c r="H275" s="375">
        <v>2</v>
      </c>
      <c r="I275" s="379">
        <f>1.95*2.15*2</f>
        <v>8.3849999999999998</v>
      </c>
      <c r="J275" s="376" t="s">
        <v>1174</v>
      </c>
      <c r="K275" s="376"/>
      <c r="L275" s="377">
        <f t="shared" si="23"/>
        <v>0</v>
      </c>
      <c r="M275" s="377">
        <f t="shared" si="24"/>
        <v>0</v>
      </c>
      <c r="N275" s="377">
        <f t="shared" si="25"/>
        <v>0</v>
      </c>
    </row>
    <row r="276" spans="1:14" s="1" customFormat="1" ht="12.75">
      <c r="A276" s="1" t="str">
        <f t="shared" si="22"/>
        <v>1132</v>
      </c>
      <c r="B276" s="374" t="s">
        <v>855</v>
      </c>
      <c r="C276" s="3">
        <v>113</v>
      </c>
      <c r="D276" s="373" t="s">
        <v>22</v>
      </c>
      <c r="E276" s="378" t="s">
        <v>63</v>
      </c>
      <c r="F276" s="374" t="s">
        <v>1173</v>
      </c>
      <c r="G276" s="374" t="s">
        <v>1242</v>
      </c>
      <c r="H276" s="375">
        <v>2</v>
      </c>
      <c r="I276" s="379">
        <f>1.95*2.15*2</f>
        <v>8.3849999999999998</v>
      </c>
      <c r="J276" s="376" t="s">
        <v>1171</v>
      </c>
      <c r="K276" s="376"/>
      <c r="L276" s="377">
        <f t="shared" si="23"/>
        <v>0</v>
      </c>
      <c r="M276" s="377">
        <f t="shared" si="24"/>
        <v>0</v>
      </c>
      <c r="N276" s="377">
        <f t="shared" si="25"/>
        <v>0</v>
      </c>
    </row>
    <row r="277" spans="1:14" s="1" customFormat="1" ht="12.75">
      <c r="A277" s="1" t="str">
        <f t="shared" si="22"/>
        <v>1132</v>
      </c>
      <c r="B277" s="374" t="s">
        <v>855</v>
      </c>
      <c r="C277" s="3">
        <v>113</v>
      </c>
      <c r="D277" s="373" t="s">
        <v>22</v>
      </c>
      <c r="E277" s="378" t="s">
        <v>63</v>
      </c>
      <c r="F277" s="374" t="s">
        <v>1181</v>
      </c>
      <c r="G277" s="374" t="s">
        <v>1243</v>
      </c>
      <c r="H277" s="375">
        <v>2</v>
      </c>
      <c r="I277" s="379">
        <f>+(1.35+0.65)*12</f>
        <v>24</v>
      </c>
      <c r="J277" s="376" t="s">
        <v>1174</v>
      </c>
      <c r="K277" s="376" t="s">
        <v>1238</v>
      </c>
      <c r="L277" s="377">
        <f t="shared" si="23"/>
        <v>0</v>
      </c>
      <c r="M277" s="377">
        <f t="shared" si="24"/>
        <v>0</v>
      </c>
      <c r="N277" s="377">
        <f t="shared" si="25"/>
        <v>0</v>
      </c>
    </row>
    <row r="278" spans="1:14" s="1" customFormat="1" ht="12.75">
      <c r="A278" s="1" t="str">
        <f t="shared" si="22"/>
        <v>1132</v>
      </c>
      <c r="B278" s="374" t="s">
        <v>855</v>
      </c>
      <c r="C278" s="3">
        <v>113</v>
      </c>
      <c r="D278" s="373" t="s">
        <v>22</v>
      </c>
      <c r="E278" s="378" t="s">
        <v>63</v>
      </c>
      <c r="F278" s="374" t="s">
        <v>1179</v>
      </c>
      <c r="G278" s="374" t="s">
        <v>1243</v>
      </c>
      <c r="H278" s="375">
        <v>2</v>
      </c>
      <c r="I278" s="379">
        <f>+(1.35+0.65)*12</f>
        <v>24</v>
      </c>
      <c r="J278" s="376" t="s">
        <v>1171</v>
      </c>
      <c r="K278" s="376" t="s">
        <v>1238</v>
      </c>
      <c r="L278" s="377">
        <f t="shared" si="23"/>
        <v>0</v>
      </c>
      <c r="M278" s="377">
        <f t="shared" si="24"/>
        <v>0</v>
      </c>
      <c r="N278" s="377">
        <f t="shared" si="25"/>
        <v>0</v>
      </c>
    </row>
    <row r="279" spans="1:14" s="1" customFormat="1" ht="12.75">
      <c r="A279" s="1" t="str">
        <f t="shared" si="22"/>
        <v>1132</v>
      </c>
      <c r="B279" s="374" t="s">
        <v>855</v>
      </c>
      <c r="C279" s="3">
        <v>113</v>
      </c>
      <c r="D279" s="373" t="s">
        <v>22</v>
      </c>
      <c r="E279" s="378" t="s">
        <v>63</v>
      </c>
      <c r="F279" s="374" t="s">
        <v>1182</v>
      </c>
      <c r="G279" s="374" t="s">
        <v>1226</v>
      </c>
      <c r="H279" s="375">
        <v>2</v>
      </c>
      <c r="I279" s="379">
        <v>11.85</v>
      </c>
      <c r="J279" s="376" t="s">
        <v>1171</v>
      </c>
      <c r="K279" s="376"/>
      <c r="L279" s="377">
        <f t="shared" si="23"/>
        <v>0</v>
      </c>
      <c r="M279" s="377">
        <f t="shared" si="24"/>
        <v>0</v>
      </c>
      <c r="N279" s="377">
        <f t="shared" si="25"/>
        <v>0</v>
      </c>
    </row>
    <row r="280" spans="1:14" s="1" customFormat="1" ht="12.75">
      <c r="A280" s="1" t="str">
        <f t="shared" si="22"/>
        <v>1132</v>
      </c>
      <c r="B280" s="374" t="s">
        <v>855</v>
      </c>
      <c r="C280" s="3">
        <v>113</v>
      </c>
      <c r="D280" s="373" t="s">
        <v>22</v>
      </c>
      <c r="E280" s="378" t="s">
        <v>63</v>
      </c>
      <c r="F280" s="374" t="s">
        <v>1184</v>
      </c>
      <c r="G280" s="374" t="s">
        <v>1226</v>
      </c>
      <c r="H280" s="375">
        <v>2</v>
      </c>
      <c r="I280" s="379">
        <v>11.85</v>
      </c>
      <c r="J280" s="376" t="s">
        <v>1171</v>
      </c>
      <c r="K280" s="376"/>
      <c r="L280" s="377">
        <f t="shared" si="23"/>
        <v>0</v>
      </c>
      <c r="M280" s="377">
        <f t="shared" si="24"/>
        <v>0</v>
      </c>
      <c r="N280" s="377">
        <f t="shared" si="25"/>
        <v>0</v>
      </c>
    </row>
    <row r="281" spans="1:14" s="1" customFormat="1" ht="12.75">
      <c r="A281" s="1" t="str">
        <f t="shared" si="22"/>
        <v>1132</v>
      </c>
      <c r="B281" s="374" t="s">
        <v>855</v>
      </c>
      <c r="C281" s="3">
        <v>113</v>
      </c>
      <c r="D281" s="373" t="s">
        <v>22</v>
      </c>
      <c r="E281" s="378" t="s">
        <v>63</v>
      </c>
      <c r="F281" s="374" t="s">
        <v>1185</v>
      </c>
      <c r="G281" s="374" t="s">
        <v>1227</v>
      </c>
      <c r="H281" s="375">
        <v>2</v>
      </c>
      <c r="I281" s="379">
        <v>1.92</v>
      </c>
      <c r="J281" s="376" t="s">
        <v>1171</v>
      </c>
      <c r="K281" s="376"/>
      <c r="L281" s="377">
        <f t="shared" si="23"/>
        <v>0</v>
      </c>
      <c r="M281" s="377">
        <f t="shared" si="24"/>
        <v>0</v>
      </c>
      <c r="N281" s="377">
        <f t="shared" si="25"/>
        <v>0</v>
      </c>
    </row>
    <row r="282" spans="1:14" s="1" customFormat="1" ht="12.75">
      <c r="A282" s="1" t="str">
        <f t="shared" si="22"/>
        <v>1132</v>
      </c>
      <c r="B282" s="374" t="s">
        <v>855</v>
      </c>
      <c r="C282" s="3">
        <v>113</v>
      </c>
      <c r="D282" s="373" t="s">
        <v>22</v>
      </c>
      <c r="E282" s="378" t="s">
        <v>63</v>
      </c>
      <c r="F282" s="374" t="s">
        <v>1187</v>
      </c>
      <c r="G282" s="374" t="s">
        <v>1227</v>
      </c>
      <c r="H282" s="375">
        <v>2</v>
      </c>
      <c r="I282" s="379">
        <v>1.92</v>
      </c>
      <c r="J282" s="376" t="s">
        <v>1171</v>
      </c>
      <c r="K282" s="376"/>
      <c r="L282" s="377">
        <f t="shared" si="23"/>
        <v>0</v>
      </c>
      <c r="M282" s="377">
        <f t="shared" si="24"/>
        <v>0</v>
      </c>
      <c r="N282" s="377">
        <f t="shared" si="25"/>
        <v>0</v>
      </c>
    </row>
    <row r="283" spans="1:14" s="1" customFormat="1" ht="12.75">
      <c r="A283" s="1" t="str">
        <f t="shared" si="22"/>
        <v>1142</v>
      </c>
      <c r="B283" s="374" t="s">
        <v>21</v>
      </c>
      <c r="C283" s="3">
        <v>114</v>
      </c>
      <c r="D283" s="373" t="s">
        <v>22</v>
      </c>
      <c r="E283" s="378" t="s">
        <v>197</v>
      </c>
      <c r="F283" s="374" t="s">
        <v>1222</v>
      </c>
      <c r="G283" s="374" t="s">
        <v>1239</v>
      </c>
      <c r="H283" s="375">
        <v>2</v>
      </c>
      <c r="I283" s="379">
        <v>2</v>
      </c>
      <c r="J283" s="376" t="s">
        <v>1171</v>
      </c>
      <c r="K283" s="376"/>
      <c r="L283" s="377">
        <f t="shared" si="23"/>
        <v>0</v>
      </c>
      <c r="M283" s="377">
        <f t="shared" si="24"/>
        <v>0</v>
      </c>
      <c r="N283" s="377">
        <f t="shared" si="25"/>
        <v>0</v>
      </c>
    </row>
    <row r="284" spans="1:14" s="1" customFormat="1" ht="12.75">
      <c r="A284" s="1" t="str">
        <f t="shared" si="22"/>
        <v>1142</v>
      </c>
      <c r="B284" s="374" t="s">
        <v>21</v>
      </c>
      <c r="C284" s="3">
        <v>114</v>
      </c>
      <c r="D284" s="373" t="s">
        <v>22</v>
      </c>
      <c r="E284" s="378" t="s">
        <v>197</v>
      </c>
      <c r="F284" s="374" t="s">
        <v>1225</v>
      </c>
      <c r="G284" s="374" t="s">
        <v>1239</v>
      </c>
      <c r="H284" s="375">
        <v>2</v>
      </c>
      <c r="I284" s="379">
        <v>2</v>
      </c>
      <c r="J284" s="376" t="s">
        <v>1171</v>
      </c>
      <c r="K284" s="376"/>
      <c r="L284" s="377">
        <f t="shared" si="23"/>
        <v>0</v>
      </c>
      <c r="M284" s="377">
        <f t="shared" si="24"/>
        <v>0</v>
      </c>
      <c r="N284" s="377">
        <f t="shared" si="25"/>
        <v>0</v>
      </c>
    </row>
    <row r="285" spans="1:14" s="1" customFormat="1" ht="12.75">
      <c r="A285" s="1" t="str">
        <f t="shared" si="22"/>
        <v>1142</v>
      </c>
      <c r="B285" s="374" t="s">
        <v>21</v>
      </c>
      <c r="C285" s="3">
        <v>114</v>
      </c>
      <c r="D285" s="373" t="s">
        <v>22</v>
      </c>
      <c r="E285" s="378" t="s">
        <v>63</v>
      </c>
      <c r="F285" s="374" t="s">
        <v>1170</v>
      </c>
      <c r="G285" s="374" t="s">
        <v>1253</v>
      </c>
      <c r="H285" s="375">
        <v>2</v>
      </c>
      <c r="I285" s="379">
        <f>(3.85+2.9+9.5*2)*3.9</f>
        <v>100.425</v>
      </c>
      <c r="J285" s="376" t="s">
        <v>1171</v>
      </c>
      <c r="K285" s="376"/>
      <c r="L285" s="377">
        <f t="shared" si="23"/>
        <v>0</v>
      </c>
      <c r="M285" s="377">
        <f t="shared" si="24"/>
        <v>0</v>
      </c>
      <c r="N285" s="377">
        <f t="shared" si="25"/>
        <v>0</v>
      </c>
    </row>
    <row r="286" spans="1:14" s="1" customFormat="1" ht="12.75">
      <c r="A286" s="1" t="str">
        <f t="shared" si="22"/>
        <v>1142</v>
      </c>
      <c r="B286" s="374" t="s">
        <v>21</v>
      </c>
      <c r="C286" s="3">
        <v>114</v>
      </c>
      <c r="D286" s="373" t="s">
        <v>22</v>
      </c>
      <c r="E286" s="378" t="s">
        <v>63</v>
      </c>
      <c r="F286" s="374" t="s">
        <v>1173</v>
      </c>
      <c r="G286" s="374" t="s">
        <v>1253</v>
      </c>
      <c r="H286" s="375">
        <v>2</v>
      </c>
      <c r="I286" s="379">
        <f>(3.85+2.9+9.5*2)*3.9</f>
        <v>100.425</v>
      </c>
      <c r="J286" s="376" t="s">
        <v>1171</v>
      </c>
      <c r="K286" s="376"/>
      <c r="L286" s="377">
        <f t="shared" si="23"/>
        <v>0</v>
      </c>
      <c r="M286" s="377">
        <f t="shared" si="24"/>
        <v>0</v>
      </c>
      <c r="N286" s="377">
        <f t="shared" si="25"/>
        <v>0</v>
      </c>
    </row>
    <row r="287" spans="1:14" s="1" customFormat="1" ht="12.75">
      <c r="A287" s="1" t="str">
        <f t="shared" si="22"/>
        <v>1142</v>
      </c>
      <c r="B287" s="374" t="s">
        <v>21</v>
      </c>
      <c r="C287" s="3">
        <v>114</v>
      </c>
      <c r="D287" s="373" t="s">
        <v>22</v>
      </c>
      <c r="E287" s="378" t="s">
        <v>63</v>
      </c>
      <c r="F287" s="374" t="s">
        <v>1170</v>
      </c>
      <c r="G287" s="374" t="s">
        <v>1254</v>
      </c>
      <c r="H287" s="375">
        <v>2</v>
      </c>
      <c r="I287" s="379">
        <f>6.6*4.4</f>
        <v>29.04</v>
      </c>
      <c r="J287" s="376" t="s">
        <v>1171</v>
      </c>
      <c r="K287" s="376"/>
      <c r="L287" s="377">
        <f t="shared" si="23"/>
        <v>0</v>
      </c>
      <c r="M287" s="377">
        <f t="shared" si="24"/>
        <v>0</v>
      </c>
      <c r="N287" s="377">
        <f t="shared" si="25"/>
        <v>0</v>
      </c>
    </row>
    <row r="288" spans="1:14" s="1" customFormat="1" ht="12.75">
      <c r="A288" s="1" t="str">
        <f t="shared" si="22"/>
        <v>1142</v>
      </c>
      <c r="B288" s="374" t="s">
        <v>21</v>
      </c>
      <c r="C288" s="3">
        <v>114</v>
      </c>
      <c r="D288" s="373" t="s">
        <v>22</v>
      </c>
      <c r="E288" s="378" t="s">
        <v>63</v>
      </c>
      <c r="F288" s="374" t="s">
        <v>1173</v>
      </c>
      <c r="G288" s="374" t="s">
        <v>1254</v>
      </c>
      <c r="H288" s="375">
        <v>2</v>
      </c>
      <c r="I288" s="379">
        <f>6.6*4.4</f>
        <v>29.04</v>
      </c>
      <c r="J288" s="376" t="s">
        <v>1171</v>
      </c>
      <c r="K288" s="376"/>
      <c r="L288" s="377">
        <f t="shared" si="23"/>
        <v>0</v>
      </c>
      <c r="M288" s="377">
        <f t="shared" si="24"/>
        <v>0</v>
      </c>
      <c r="N288" s="377">
        <f t="shared" si="25"/>
        <v>0</v>
      </c>
    </row>
    <row r="289" spans="1:14" s="1" customFormat="1" ht="12.75">
      <c r="A289" s="1" t="str">
        <f t="shared" si="22"/>
        <v>1142</v>
      </c>
      <c r="B289" s="374" t="s">
        <v>21</v>
      </c>
      <c r="C289" s="3">
        <v>114</v>
      </c>
      <c r="D289" s="373" t="s">
        <v>22</v>
      </c>
      <c r="E289" s="378" t="s">
        <v>63</v>
      </c>
      <c r="F289" s="374" t="s">
        <v>1170</v>
      </c>
      <c r="G289" s="374" t="s">
        <v>1255</v>
      </c>
      <c r="H289" s="375">
        <v>2</v>
      </c>
      <c r="I289" s="379">
        <f>6.6*2.85</f>
        <v>18.809999999999999</v>
      </c>
      <c r="J289" s="376" t="s">
        <v>1174</v>
      </c>
      <c r="K289" s="376"/>
      <c r="L289" s="377">
        <f t="shared" si="23"/>
        <v>0</v>
      </c>
      <c r="M289" s="377">
        <f t="shared" si="24"/>
        <v>0</v>
      </c>
      <c r="N289" s="377">
        <f t="shared" si="25"/>
        <v>0</v>
      </c>
    </row>
    <row r="290" spans="1:14" s="1" customFormat="1" ht="12.75">
      <c r="A290" s="1" t="str">
        <f t="shared" si="22"/>
        <v>1142</v>
      </c>
      <c r="B290" s="374" t="s">
        <v>21</v>
      </c>
      <c r="C290" s="3">
        <v>114</v>
      </c>
      <c r="D290" s="373" t="s">
        <v>22</v>
      </c>
      <c r="E290" s="378" t="s">
        <v>63</v>
      </c>
      <c r="F290" s="374" t="s">
        <v>1173</v>
      </c>
      <c r="G290" s="374" t="s">
        <v>1255</v>
      </c>
      <c r="H290" s="375">
        <v>2</v>
      </c>
      <c r="I290" s="379">
        <f>6.6*2.85</f>
        <v>18.809999999999999</v>
      </c>
      <c r="J290" s="376" t="s">
        <v>1171</v>
      </c>
      <c r="K290" s="376"/>
      <c r="L290" s="377">
        <f t="shared" si="23"/>
        <v>0</v>
      </c>
      <c r="M290" s="377">
        <f t="shared" si="24"/>
        <v>0</v>
      </c>
      <c r="N290" s="377">
        <f t="shared" si="25"/>
        <v>0</v>
      </c>
    </row>
    <row r="291" spans="1:14" s="1" customFormat="1" ht="12.75">
      <c r="A291" s="1" t="str">
        <f t="shared" si="22"/>
        <v>1142</v>
      </c>
      <c r="B291" s="374" t="s">
        <v>21</v>
      </c>
      <c r="C291" s="3">
        <v>114</v>
      </c>
      <c r="D291" s="373" t="s">
        <v>22</v>
      </c>
      <c r="E291" s="378" t="s">
        <v>63</v>
      </c>
      <c r="F291" s="374" t="s">
        <v>1231</v>
      </c>
      <c r="G291" s="374" t="s">
        <v>1234</v>
      </c>
      <c r="H291" s="375">
        <v>2</v>
      </c>
      <c r="I291" s="379">
        <f>6.6*3.6</f>
        <v>23.759999999999998</v>
      </c>
      <c r="J291" s="376" t="s">
        <v>1174</v>
      </c>
      <c r="K291" s="376" t="s">
        <v>1233</v>
      </c>
      <c r="L291" s="377">
        <f t="shared" si="23"/>
        <v>0</v>
      </c>
      <c r="M291" s="377">
        <f t="shared" si="24"/>
        <v>0</v>
      </c>
      <c r="N291" s="377">
        <f t="shared" si="25"/>
        <v>0</v>
      </c>
    </row>
    <row r="292" spans="1:14" s="1" customFormat="1" ht="12.75">
      <c r="A292" s="1" t="str">
        <f t="shared" si="22"/>
        <v>1142</v>
      </c>
      <c r="B292" s="374" t="s">
        <v>21</v>
      </c>
      <c r="C292" s="3">
        <v>114</v>
      </c>
      <c r="D292" s="373" t="s">
        <v>22</v>
      </c>
      <c r="E292" s="378" t="s">
        <v>63</v>
      </c>
      <c r="F292" s="374" t="s">
        <v>1170</v>
      </c>
      <c r="G292" s="374" t="s">
        <v>1256</v>
      </c>
      <c r="H292" s="375">
        <v>2</v>
      </c>
      <c r="I292" s="379">
        <f>+(2*1.85+1*1.3)*2</f>
        <v>10</v>
      </c>
      <c r="J292" s="376" t="s">
        <v>1174</v>
      </c>
      <c r="K292" s="376"/>
      <c r="L292" s="377">
        <f t="shared" si="23"/>
        <v>0</v>
      </c>
      <c r="M292" s="377">
        <f t="shared" si="24"/>
        <v>0</v>
      </c>
      <c r="N292" s="377">
        <f t="shared" si="25"/>
        <v>0</v>
      </c>
    </row>
    <row r="293" spans="1:14" s="1" customFormat="1" ht="12.75">
      <c r="A293" s="1" t="str">
        <f t="shared" si="22"/>
        <v>1142</v>
      </c>
      <c r="B293" s="374" t="s">
        <v>21</v>
      </c>
      <c r="C293" s="3">
        <v>114</v>
      </c>
      <c r="D293" s="373" t="s">
        <v>22</v>
      </c>
      <c r="E293" s="378" t="s">
        <v>63</v>
      </c>
      <c r="F293" s="374" t="s">
        <v>1173</v>
      </c>
      <c r="G293" s="374" t="s">
        <v>1256</v>
      </c>
      <c r="H293" s="375">
        <v>2</v>
      </c>
      <c r="I293" s="379">
        <f>+(2*1.85+1*1.3)*2</f>
        <v>10</v>
      </c>
      <c r="J293" s="376" t="s">
        <v>1171</v>
      </c>
      <c r="K293" s="376"/>
      <c r="L293" s="377">
        <f t="shared" si="23"/>
        <v>0</v>
      </c>
      <c r="M293" s="377">
        <f t="shared" si="24"/>
        <v>0</v>
      </c>
      <c r="N293" s="377">
        <f t="shared" si="25"/>
        <v>0</v>
      </c>
    </row>
    <row r="294" spans="1:14" s="1" customFormat="1" ht="12.75">
      <c r="A294" s="1" t="str">
        <f t="shared" si="22"/>
        <v>1142</v>
      </c>
      <c r="B294" s="374" t="s">
        <v>21</v>
      </c>
      <c r="C294" s="3">
        <v>114</v>
      </c>
      <c r="D294" s="373" t="s">
        <v>22</v>
      </c>
      <c r="E294" s="378" t="s">
        <v>63</v>
      </c>
      <c r="F294" s="374" t="s">
        <v>1181</v>
      </c>
      <c r="G294" s="374" t="s">
        <v>1257</v>
      </c>
      <c r="H294" s="375">
        <v>2</v>
      </c>
      <c r="I294" s="379">
        <f>+(1.35+0.65)*10</f>
        <v>20</v>
      </c>
      <c r="J294" s="376" t="s">
        <v>1174</v>
      </c>
      <c r="K294" s="376" t="s">
        <v>1238</v>
      </c>
      <c r="L294" s="377">
        <f t="shared" si="23"/>
        <v>0</v>
      </c>
      <c r="M294" s="377">
        <f t="shared" si="24"/>
        <v>0</v>
      </c>
      <c r="N294" s="377">
        <f t="shared" si="25"/>
        <v>0</v>
      </c>
    </row>
    <row r="295" spans="1:14" s="1" customFormat="1" ht="12.75">
      <c r="A295" s="1" t="str">
        <f t="shared" si="22"/>
        <v>1142</v>
      </c>
      <c r="B295" s="374" t="s">
        <v>21</v>
      </c>
      <c r="C295" s="3">
        <v>114</v>
      </c>
      <c r="D295" s="373" t="s">
        <v>22</v>
      </c>
      <c r="E295" s="378" t="s">
        <v>63</v>
      </c>
      <c r="F295" s="374" t="s">
        <v>1179</v>
      </c>
      <c r="G295" s="374" t="s">
        <v>1257</v>
      </c>
      <c r="H295" s="375">
        <v>2</v>
      </c>
      <c r="I295" s="379">
        <f>+(1.35+0.65)*10</f>
        <v>20</v>
      </c>
      <c r="J295" s="376" t="s">
        <v>1171</v>
      </c>
      <c r="K295" s="376" t="s">
        <v>1238</v>
      </c>
      <c r="L295" s="377">
        <f t="shared" si="23"/>
        <v>0</v>
      </c>
      <c r="M295" s="377">
        <f t="shared" si="24"/>
        <v>0</v>
      </c>
      <c r="N295" s="377">
        <f t="shared" si="25"/>
        <v>0</v>
      </c>
    </row>
    <row r="296" spans="1:14" s="1" customFormat="1" ht="12.75">
      <c r="A296" s="1" t="str">
        <f t="shared" si="22"/>
        <v>1142</v>
      </c>
      <c r="B296" s="374" t="s">
        <v>21</v>
      </c>
      <c r="C296" s="3">
        <v>114</v>
      </c>
      <c r="D296" s="373" t="s">
        <v>22</v>
      </c>
      <c r="E296" s="378" t="s">
        <v>63</v>
      </c>
      <c r="F296" s="374" t="s">
        <v>1182</v>
      </c>
      <c r="G296" s="374" t="s">
        <v>1226</v>
      </c>
      <c r="H296" s="375">
        <v>2</v>
      </c>
      <c r="I296" s="379">
        <v>12.18</v>
      </c>
      <c r="J296" s="376" t="s">
        <v>1171</v>
      </c>
      <c r="K296" s="376"/>
      <c r="L296" s="377">
        <f t="shared" si="23"/>
        <v>0</v>
      </c>
      <c r="M296" s="377">
        <f t="shared" si="24"/>
        <v>0</v>
      </c>
      <c r="N296" s="377">
        <f t="shared" si="25"/>
        <v>0</v>
      </c>
    </row>
    <row r="297" spans="1:14" s="1" customFormat="1" ht="12.75">
      <c r="A297" s="1" t="str">
        <f t="shared" si="22"/>
        <v>1142</v>
      </c>
      <c r="B297" s="374" t="s">
        <v>21</v>
      </c>
      <c r="C297" s="3">
        <v>114</v>
      </c>
      <c r="D297" s="373" t="s">
        <v>22</v>
      </c>
      <c r="E297" s="378" t="s">
        <v>63</v>
      </c>
      <c r="F297" s="374" t="s">
        <v>1184</v>
      </c>
      <c r="G297" s="374" t="s">
        <v>1226</v>
      </c>
      <c r="H297" s="375">
        <v>2</v>
      </c>
      <c r="I297" s="379">
        <v>12.18</v>
      </c>
      <c r="J297" s="376" t="s">
        <v>1171</v>
      </c>
      <c r="K297" s="376"/>
      <c r="L297" s="377">
        <f t="shared" si="23"/>
        <v>0</v>
      </c>
      <c r="M297" s="377">
        <f t="shared" si="24"/>
        <v>0</v>
      </c>
      <c r="N297" s="377">
        <f t="shared" si="25"/>
        <v>0</v>
      </c>
    </row>
    <row r="298" spans="1:14" s="1" customFormat="1" ht="12.75">
      <c r="A298" s="1" t="str">
        <f t="shared" si="22"/>
        <v>1142</v>
      </c>
      <c r="B298" s="374" t="s">
        <v>21</v>
      </c>
      <c r="C298" s="3">
        <v>114</v>
      </c>
      <c r="D298" s="373" t="s">
        <v>22</v>
      </c>
      <c r="E298" s="378" t="s">
        <v>63</v>
      </c>
      <c r="F298" s="374" t="s">
        <v>1185</v>
      </c>
      <c r="G298" s="374" t="s">
        <v>1227</v>
      </c>
      <c r="H298" s="375">
        <v>2</v>
      </c>
      <c r="I298" s="379">
        <v>1.92</v>
      </c>
      <c r="J298" s="376" t="s">
        <v>1171</v>
      </c>
      <c r="K298" s="376"/>
      <c r="L298" s="377">
        <f t="shared" si="23"/>
        <v>0</v>
      </c>
      <c r="M298" s="377">
        <f t="shared" si="24"/>
        <v>0</v>
      </c>
      <c r="N298" s="377">
        <f t="shared" si="25"/>
        <v>0</v>
      </c>
    </row>
    <row r="299" spans="1:14" s="1" customFormat="1" ht="12.75">
      <c r="A299" s="1" t="str">
        <f t="shared" si="22"/>
        <v>1142</v>
      </c>
      <c r="B299" s="374" t="s">
        <v>21</v>
      </c>
      <c r="C299" s="3">
        <v>114</v>
      </c>
      <c r="D299" s="373" t="s">
        <v>22</v>
      </c>
      <c r="E299" s="378" t="s">
        <v>63</v>
      </c>
      <c r="F299" s="374" t="s">
        <v>1187</v>
      </c>
      <c r="G299" s="374" t="s">
        <v>1227</v>
      </c>
      <c r="H299" s="375">
        <v>2</v>
      </c>
      <c r="I299" s="379">
        <v>1.92</v>
      </c>
      <c r="J299" s="376" t="s">
        <v>1171</v>
      </c>
      <c r="K299" s="376"/>
      <c r="L299" s="377">
        <f t="shared" si="23"/>
        <v>0</v>
      </c>
      <c r="M299" s="377">
        <f t="shared" si="24"/>
        <v>0</v>
      </c>
      <c r="N299" s="377">
        <f t="shared" si="25"/>
        <v>0</v>
      </c>
    </row>
    <row r="300" spans="1:14" s="1" customFormat="1" ht="12.75">
      <c r="A300" s="1" t="str">
        <f t="shared" si="22"/>
        <v>1142</v>
      </c>
      <c r="B300" s="374" t="s">
        <v>21</v>
      </c>
      <c r="C300" s="3">
        <v>114</v>
      </c>
      <c r="D300" s="373" t="s">
        <v>22</v>
      </c>
      <c r="E300" s="378" t="s">
        <v>224</v>
      </c>
      <c r="F300" s="374" t="s">
        <v>1181</v>
      </c>
      <c r="G300" s="374" t="s">
        <v>1258</v>
      </c>
      <c r="H300" s="375">
        <v>2</v>
      </c>
      <c r="I300" s="379">
        <f>+(19+7.5+17)*2.7</f>
        <v>117.45</v>
      </c>
      <c r="J300" s="376" t="s">
        <v>1174</v>
      </c>
      <c r="K300" s="376"/>
      <c r="L300" s="377">
        <f t="shared" si="23"/>
        <v>0</v>
      </c>
      <c r="M300" s="377">
        <f t="shared" si="24"/>
        <v>0</v>
      </c>
      <c r="N300" s="377">
        <f t="shared" si="25"/>
        <v>0</v>
      </c>
    </row>
    <row r="301" spans="1:14" s="1" customFormat="1" ht="12.75">
      <c r="A301" s="1" t="str">
        <f t="shared" si="22"/>
        <v>1142</v>
      </c>
      <c r="B301" s="374" t="s">
        <v>21</v>
      </c>
      <c r="C301" s="3">
        <v>114</v>
      </c>
      <c r="D301" s="373" t="s">
        <v>22</v>
      </c>
      <c r="E301" s="378" t="s">
        <v>224</v>
      </c>
      <c r="F301" s="374" t="s">
        <v>1179</v>
      </c>
      <c r="G301" s="374" t="s">
        <v>1258</v>
      </c>
      <c r="H301" s="375">
        <v>2</v>
      </c>
      <c r="I301" s="379">
        <f>+(19+7.5+17)*2.7</f>
        <v>117.45</v>
      </c>
      <c r="J301" s="376" t="s">
        <v>1171</v>
      </c>
      <c r="K301" s="376"/>
      <c r="L301" s="377">
        <f t="shared" si="23"/>
        <v>0</v>
      </c>
      <c r="M301" s="377">
        <f t="shared" si="24"/>
        <v>0</v>
      </c>
      <c r="N301" s="377">
        <f t="shared" si="25"/>
        <v>0</v>
      </c>
    </row>
    <row r="302" spans="1:14" s="1" customFormat="1" ht="12.75">
      <c r="A302" s="1" t="str">
        <f t="shared" ref="A302:A333" si="26">CONCATENATE(C302,H302)</f>
        <v>11412</v>
      </c>
      <c r="B302" s="374" t="s">
        <v>21</v>
      </c>
      <c r="C302" s="3">
        <v>114</v>
      </c>
      <c r="D302" s="373" t="s">
        <v>22</v>
      </c>
      <c r="E302" s="378" t="s">
        <v>224</v>
      </c>
      <c r="F302" s="374" t="s">
        <v>1172</v>
      </c>
      <c r="G302" s="374" t="s">
        <v>1259</v>
      </c>
      <c r="H302" s="375">
        <v>12</v>
      </c>
      <c r="I302" s="379">
        <f>13.5*2</f>
        <v>27</v>
      </c>
      <c r="J302" s="376" t="s">
        <v>1171</v>
      </c>
      <c r="K302" s="376"/>
      <c r="L302" s="377">
        <f t="shared" si="23"/>
        <v>0</v>
      </c>
      <c r="M302" s="377">
        <f t="shared" si="24"/>
        <v>0</v>
      </c>
      <c r="N302" s="377">
        <f t="shared" si="25"/>
        <v>0</v>
      </c>
    </row>
    <row r="303" spans="1:14" s="1" customFormat="1" ht="12.75">
      <c r="A303" s="1" t="str">
        <f t="shared" si="26"/>
        <v>1142</v>
      </c>
      <c r="B303" s="374" t="s">
        <v>21</v>
      </c>
      <c r="C303" s="3">
        <v>114</v>
      </c>
      <c r="D303" s="373" t="s">
        <v>22</v>
      </c>
      <c r="E303" s="378" t="s">
        <v>224</v>
      </c>
      <c r="F303" s="374" t="s">
        <v>1170</v>
      </c>
      <c r="G303" s="374" t="s">
        <v>1260</v>
      </c>
      <c r="H303" s="375">
        <v>2</v>
      </c>
      <c r="I303" s="379">
        <f>22.2*3.85</f>
        <v>85.47</v>
      </c>
      <c r="J303" s="376" t="s">
        <v>1174</v>
      </c>
      <c r="K303" s="376"/>
      <c r="L303" s="377">
        <f t="shared" si="23"/>
        <v>0</v>
      </c>
      <c r="M303" s="377">
        <f t="shared" si="24"/>
        <v>0</v>
      </c>
      <c r="N303" s="377">
        <f t="shared" si="25"/>
        <v>0</v>
      </c>
    </row>
    <row r="304" spans="1:14" s="1" customFormat="1" ht="12.75">
      <c r="A304" s="1" t="str">
        <f t="shared" si="26"/>
        <v>1142</v>
      </c>
      <c r="B304" s="374" t="s">
        <v>21</v>
      </c>
      <c r="C304" s="3">
        <v>114</v>
      </c>
      <c r="D304" s="373" t="s">
        <v>22</v>
      </c>
      <c r="E304" s="378" t="s">
        <v>224</v>
      </c>
      <c r="F304" s="374" t="s">
        <v>1173</v>
      </c>
      <c r="G304" s="374" t="s">
        <v>1260</v>
      </c>
      <c r="H304" s="375">
        <v>2</v>
      </c>
      <c r="I304" s="379">
        <f>22.2*3.85</f>
        <v>85.47</v>
      </c>
      <c r="J304" s="376" t="s">
        <v>1171</v>
      </c>
      <c r="K304" s="376"/>
      <c r="L304" s="377">
        <f t="shared" si="23"/>
        <v>0</v>
      </c>
      <c r="M304" s="377">
        <f t="shared" si="24"/>
        <v>0</v>
      </c>
      <c r="N304" s="377">
        <f t="shared" si="25"/>
        <v>0</v>
      </c>
    </row>
    <row r="305" spans="1:14" s="1" customFormat="1" ht="12.75">
      <c r="A305" s="1" t="str">
        <f t="shared" si="26"/>
        <v>1142</v>
      </c>
      <c r="B305" s="374" t="s">
        <v>21</v>
      </c>
      <c r="C305" s="3">
        <v>114</v>
      </c>
      <c r="D305" s="373" t="s">
        <v>22</v>
      </c>
      <c r="E305" s="378" t="s">
        <v>224</v>
      </c>
      <c r="F305" s="374" t="s">
        <v>1170</v>
      </c>
      <c r="G305" s="374" t="s">
        <v>1261</v>
      </c>
      <c r="H305" s="375">
        <v>2</v>
      </c>
      <c r="I305" s="379">
        <f>22.2*3.85</f>
        <v>85.47</v>
      </c>
      <c r="J305" s="376" t="s">
        <v>1174</v>
      </c>
      <c r="K305" s="376"/>
      <c r="L305" s="377">
        <f t="shared" si="23"/>
        <v>0</v>
      </c>
      <c r="M305" s="377">
        <f t="shared" si="24"/>
        <v>0</v>
      </c>
      <c r="N305" s="377">
        <f t="shared" si="25"/>
        <v>0</v>
      </c>
    </row>
    <row r="306" spans="1:14" s="1" customFormat="1" ht="12.75">
      <c r="A306" s="1" t="str">
        <f t="shared" si="26"/>
        <v>1142</v>
      </c>
      <c r="B306" s="374" t="s">
        <v>21</v>
      </c>
      <c r="C306" s="3">
        <v>114</v>
      </c>
      <c r="D306" s="373" t="s">
        <v>22</v>
      </c>
      <c r="E306" s="378" t="s">
        <v>224</v>
      </c>
      <c r="F306" s="374" t="s">
        <v>1173</v>
      </c>
      <c r="G306" s="374" t="s">
        <v>1261</v>
      </c>
      <c r="H306" s="375">
        <v>2</v>
      </c>
      <c r="I306" s="379">
        <f>17.65*3.85</f>
        <v>67.952500000000001</v>
      </c>
      <c r="J306" s="376" t="s">
        <v>1171</v>
      </c>
      <c r="K306" s="376"/>
      <c r="L306" s="377">
        <f t="shared" si="23"/>
        <v>0</v>
      </c>
      <c r="M306" s="377">
        <f t="shared" si="24"/>
        <v>0</v>
      </c>
      <c r="N306" s="377">
        <f t="shared" si="25"/>
        <v>0</v>
      </c>
    </row>
    <row r="307" spans="1:14" s="1" customFormat="1" ht="12.75">
      <c r="A307" s="1" t="str">
        <f t="shared" si="26"/>
        <v>1142</v>
      </c>
      <c r="B307" s="374" t="s">
        <v>21</v>
      </c>
      <c r="C307" s="3">
        <v>114</v>
      </c>
      <c r="D307" s="373" t="s">
        <v>22</v>
      </c>
      <c r="E307" s="378" t="s">
        <v>224</v>
      </c>
      <c r="F307" s="374" t="s">
        <v>1173</v>
      </c>
      <c r="G307" s="374" t="s">
        <v>1262</v>
      </c>
      <c r="H307" s="375">
        <v>2</v>
      </c>
      <c r="I307" s="379">
        <f>(22.2-17.65-2.2)*3.85</f>
        <v>9.047500000000003</v>
      </c>
      <c r="J307" s="376" t="s">
        <v>1171</v>
      </c>
      <c r="K307" s="376"/>
      <c r="L307" s="377">
        <f t="shared" si="23"/>
        <v>0</v>
      </c>
      <c r="M307" s="377">
        <f t="shared" si="24"/>
        <v>0</v>
      </c>
      <c r="N307" s="377">
        <f t="shared" si="25"/>
        <v>0</v>
      </c>
    </row>
    <row r="308" spans="1:14" s="1" customFormat="1" ht="12.75">
      <c r="A308" s="1" t="str">
        <f t="shared" si="26"/>
        <v>1142</v>
      </c>
      <c r="B308" s="374" t="s">
        <v>21</v>
      </c>
      <c r="C308" s="3">
        <v>114</v>
      </c>
      <c r="D308" s="373" t="s">
        <v>22</v>
      </c>
      <c r="E308" s="378" t="s">
        <v>224</v>
      </c>
      <c r="F308" s="374" t="s">
        <v>1182</v>
      </c>
      <c r="G308" s="374" t="s">
        <v>1263</v>
      </c>
      <c r="H308" s="375">
        <v>2</v>
      </c>
      <c r="I308" s="379">
        <f>2.2*3.85</f>
        <v>8.4700000000000006</v>
      </c>
      <c r="J308" s="376" t="s">
        <v>1171</v>
      </c>
      <c r="K308" s="376"/>
      <c r="L308" s="377">
        <f t="shared" si="23"/>
        <v>0</v>
      </c>
      <c r="M308" s="377">
        <f t="shared" si="24"/>
        <v>0</v>
      </c>
      <c r="N308" s="377">
        <f t="shared" si="25"/>
        <v>0</v>
      </c>
    </row>
    <row r="309" spans="1:14" s="1" customFormat="1" ht="12.75">
      <c r="A309" s="1" t="str">
        <f t="shared" si="26"/>
        <v>1142</v>
      </c>
      <c r="B309" s="374" t="s">
        <v>21</v>
      </c>
      <c r="C309" s="3">
        <v>114</v>
      </c>
      <c r="D309" s="373" t="s">
        <v>22</v>
      </c>
      <c r="E309" s="378" t="s">
        <v>224</v>
      </c>
      <c r="F309" s="374" t="s">
        <v>1182</v>
      </c>
      <c r="G309" s="374" t="s">
        <v>1264</v>
      </c>
      <c r="H309" s="375">
        <v>2</v>
      </c>
      <c r="I309" s="379">
        <f>3*9.9+2.1*11+2.2*3.85</f>
        <v>61.27</v>
      </c>
      <c r="J309" s="376" t="s">
        <v>1171</v>
      </c>
      <c r="K309" s="376"/>
      <c r="L309" s="377">
        <f t="shared" si="23"/>
        <v>0</v>
      </c>
      <c r="M309" s="377">
        <f t="shared" si="24"/>
        <v>0</v>
      </c>
      <c r="N309" s="377">
        <f t="shared" si="25"/>
        <v>0</v>
      </c>
    </row>
    <row r="310" spans="1:14" s="1" customFormat="1" ht="12.75">
      <c r="A310" s="1" t="str">
        <f t="shared" si="26"/>
        <v>1142</v>
      </c>
      <c r="B310" s="374" t="s">
        <v>21</v>
      </c>
      <c r="C310" s="3">
        <v>114</v>
      </c>
      <c r="D310" s="373" t="s">
        <v>22</v>
      </c>
      <c r="E310" s="378" t="s">
        <v>224</v>
      </c>
      <c r="F310" s="374" t="s">
        <v>1185</v>
      </c>
      <c r="G310" s="374" t="s">
        <v>1248</v>
      </c>
      <c r="H310" s="375">
        <v>2</v>
      </c>
      <c r="I310" s="379">
        <f>2*1.15*2.3+2*2.15*2.3</f>
        <v>15.179999999999998</v>
      </c>
      <c r="J310" s="376" t="s">
        <v>1171</v>
      </c>
      <c r="K310" s="376"/>
      <c r="L310" s="377">
        <f t="shared" si="23"/>
        <v>0</v>
      </c>
      <c r="M310" s="377">
        <f t="shared" si="24"/>
        <v>0</v>
      </c>
      <c r="N310" s="377">
        <f t="shared" si="25"/>
        <v>0</v>
      </c>
    </row>
    <row r="311" spans="1:14" s="1" customFormat="1" ht="12.75">
      <c r="A311" s="1" t="str">
        <f t="shared" si="26"/>
        <v>1142</v>
      </c>
      <c r="B311" s="374" t="s">
        <v>21</v>
      </c>
      <c r="C311" s="3">
        <v>114</v>
      </c>
      <c r="D311" s="373" t="s">
        <v>22</v>
      </c>
      <c r="E311" s="378" t="s">
        <v>224</v>
      </c>
      <c r="F311" s="374" t="s">
        <v>1187</v>
      </c>
      <c r="G311" s="374" t="s">
        <v>1248</v>
      </c>
      <c r="H311" s="375">
        <v>2</v>
      </c>
      <c r="I311" s="379">
        <f>2*1.15*2.3+2*2.15*2.3</f>
        <v>15.179999999999998</v>
      </c>
      <c r="J311" s="376" t="s">
        <v>1171</v>
      </c>
      <c r="K311" s="376"/>
      <c r="L311" s="377">
        <f t="shared" si="23"/>
        <v>0</v>
      </c>
      <c r="M311" s="377">
        <f t="shared" si="24"/>
        <v>0</v>
      </c>
      <c r="N311" s="377">
        <f t="shared" si="25"/>
        <v>0</v>
      </c>
    </row>
    <row r="312" spans="1:14" s="1" customFormat="1" ht="12.75">
      <c r="A312" s="1" t="str">
        <f t="shared" si="26"/>
        <v>1142</v>
      </c>
      <c r="B312" s="374" t="s">
        <v>21</v>
      </c>
      <c r="C312" s="3">
        <v>114</v>
      </c>
      <c r="D312" s="373" t="s">
        <v>22</v>
      </c>
      <c r="E312" s="378" t="s">
        <v>224</v>
      </c>
      <c r="F312" s="374" t="s">
        <v>1170</v>
      </c>
      <c r="G312" s="374" t="s">
        <v>1265</v>
      </c>
      <c r="H312" s="375">
        <v>2</v>
      </c>
      <c r="I312" s="379">
        <f>5.85*4.1+3*1.15*2</f>
        <v>30.884999999999994</v>
      </c>
      <c r="J312" s="376" t="s">
        <v>1171</v>
      </c>
      <c r="K312" s="376"/>
      <c r="L312" s="377">
        <f t="shared" si="23"/>
        <v>0</v>
      </c>
      <c r="M312" s="377">
        <f t="shared" si="24"/>
        <v>0</v>
      </c>
      <c r="N312" s="377">
        <f t="shared" si="25"/>
        <v>0</v>
      </c>
    </row>
    <row r="313" spans="1:14" s="1" customFormat="1" ht="12.75">
      <c r="A313" s="1" t="str">
        <f t="shared" si="26"/>
        <v>1142</v>
      </c>
      <c r="B313" s="374" t="s">
        <v>21</v>
      </c>
      <c r="C313" s="3">
        <v>114</v>
      </c>
      <c r="D313" s="373" t="s">
        <v>22</v>
      </c>
      <c r="E313" s="378" t="s">
        <v>224</v>
      </c>
      <c r="F313" s="374" t="s">
        <v>1173</v>
      </c>
      <c r="G313" s="374" t="s">
        <v>1265</v>
      </c>
      <c r="H313" s="375">
        <v>2</v>
      </c>
      <c r="I313" s="379">
        <f>5.85*4.1+3*1.15*2</f>
        <v>30.884999999999994</v>
      </c>
      <c r="J313" s="376" t="s">
        <v>1171</v>
      </c>
      <c r="K313" s="376"/>
      <c r="L313" s="377">
        <f t="shared" si="23"/>
        <v>0</v>
      </c>
      <c r="M313" s="377">
        <f t="shared" si="24"/>
        <v>0</v>
      </c>
      <c r="N313" s="377">
        <f t="shared" si="25"/>
        <v>0</v>
      </c>
    </row>
    <row r="314" spans="1:14" s="1" customFormat="1" ht="12.75">
      <c r="A314" s="1" t="str">
        <f t="shared" si="26"/>
        <v>1142</v>
      </c>
      <c r="B314" s="374" t="s">
        <v>21</v>
      </c>
      <c r="C314" s="3">
        <v>114</v>
      </c>
      <c r="D314" s="373" t="s">
        <v>22</v>
      </c>
      <c r="E314" s="378" t="s">
        <v>224</v>
      </c>
      <c r="F314" s="374" t="s">
        <v>1175</v>
      </c>
      <c r="G314" s="374" t="s">
        <v>1266</v>
      </c>
      <c r="H314" s="375">
        <v>2</v>
      </c>
      <c r="I314" s="379">
        <f>5.3*4.1+10.1*4.1*2+1.1*4.1*2</f>
        <v>113.56999999999998</v>
      </c>
      <c r="J314" s="376" t="s">
        <v>1171</v>
      </c>
      <c r="K314" s="376" t="s">
        <v>1233</v>
      </c>
      <c r="L314" s="377">
        <f t="shared" si="23"/>
        <v>0</v>
      </c>
      <c r="M314" s="377">
        <f t="shared" si="24"/>
        <v>0</v>
      </c>
      <c r="N314" s="377">
        <f t="shared" si="25"/>
        <v>0</v>
      </c>
    </row>
    <row r="315" spans="1:14" s="1" customFormat="1" ht="12.75">
      <c r="A315" s="1" t="str">
        <f t="shared" si="26"/>
        <v>1142</v>
      </c>
      <c r="B315" s="374" t="s">
        <v>21</v>
      </c>
      <c r="C315" s="3">
        <v>114</v>
      </c>
      <c r="D315" s="373" t="s">
        <v>22</v>
      </c>
      <c r="E315" s="378" t="s">
        <v>188</v>
      </c>
      <c r="F315" s="374" t="s">
        <v>1170</v>
      </c>
      <c r="G315" s="374" t="s">
        <v>1267</v>
      </c>
      <c r="H315" s="375">
        <v>2</v>
      </c>
      <c r="I315" s="379">
        <f>5.3*4.1</f>
        <v>21.729999999999997</v>
      </c>
      <c r="J315" s="376" t="s">
        <v>1171</v>
      </c>
      <c r="K315" s="376"/>
      <c r="L315" s="377">
        <f t="shared" si="23"/>
        <v>0</v>
      </c>
      <c r="M315" s="377">
        <f t="shared" si="24"/>
        <v>0</v>
      </c>
      <c r="N315" s="377">
        <f t="shared" si="25"/>
        <v>0</v>
      </c>
    </row>
    <row r="316" spans="1:14" s="1" customFormat="1" ht="12.75">
      <c r="A316" s="1" t="str">
        <f t="shared" si="26"/>
        <v>1142</v>
      </c>
      <c r="B316" s="374" t="s">
        <v>21</v>
      </c>
      <c r="C316" s="3">
        <v>114</v>
      </c>
      <c r="D316" s="373" t="s">
        <v>22</v>
      </c>
      <c r="E316" s="378" t="s">
        <v>188</v>
      </c>
      <c r="F316" s="374" t="s">
        <v>1173</v>
      </c>
      <c r="G316" s="374" t="s">
        <v>1267</v>
      </c>
      <c r="H316" s="375">
        <v>2</v>
      </c>
      <c r="I316" s="379">
        <f>5.3*3</f>
        <v>15.899999999999999</v>
      </c>
      <c r="J316" s="376" t="s">
        <v>1171</v>
      </c>
      <c r="K316" s="376"/>
      <c r="L316" s="377">
        <f t="shared" si="23"/>
        <v>0</v>
      </c>
      <c r="M316" s="377">
        <f t="shared" si="24"/>
        <v>0</v>
      </c>
      <c r="N316" s="377">
        <f t="shared" si="25"/>
        <v>0</v>
      </c>
    </row>
    <row r="317" spans="1:14" s="1" customFormat="1" ht="12.75">
      <c r="A317" s="1" t="str">
        <f t="shared" si="26"/>
        <v>1142</v>
      </c>
      <c r="B317" s="374" t="s">
        <v>21</v>
      </c>
      <c r="C317" s="3">
        <v>114</v>
      </c>
      <c r="D317" s="373" t="s">
        <v>22</v>
      </c>
      <c r="E317" s="378" t="s">
        <v>16</v>
      </c>
      <c r="F317" s="374" t="s">
        <v>1173</v>
      </c>
      <c r="G317" s="374" t="s">
        <v>1268</v>
      </c>
      <c r="H317" s="375">
        <v>2</v>
      </c>
      <c r="I317" s="379">
        <f>2*2*2.5</f>
        <v>10</v>
      </c>
      <c r="J317" s="376" t="s">
        <v>1171</v>
      </c>
      <c r="K317" s="376" t="s">
        <v>1233</v>
      </c>
      <c r="L317" s="377">
        <f t="shared" si="23"/>
        <v>0</v>
      </c>
      <c r="M317" s="377">
        <f t="shared" si="24"/>
        <v>0</v>
      </c>
      <c r="N317" s="377">
        <f t="shared" si="25"/>
        <v>0</v>
      </c>
    </row>
    <row r="318" spans="1:14" s="1" customFormat="1" ht="12.75">
      <c r="A318" s="1" t="str">
        <f t="shared" si="26"/>
        <v>11426</v>
      </c>
      <c r="B318" s="374" t="s">
        <v>21</v>
      </c>
      <c r="C318" s="3">
        <v>114</v>
      </c>
      <c r="D318" s="373" t="s">
        <v>22</v>
      </c>
      <c r="E318" s="4"/>
      <c r="F318" s="374" t="s">
        <v>1172</v>
      </c>
      <c r="G318" s="374" t="s">
        <v>1320</v>
      </c>
      <c r="H318" s="375">
        <v>26</v>
      </c>
      <c r="I318" s="379">
        <v>18</v>
      </c>
      <c r="J318" s="376" t="s">
        <v>1171</v>
      </c>
      <c r="K318" s="376" t="s">
        <v>1321</v>
      </c>
      <c r="L318" s="377">
        <f t="shared" si="23"/>
        <v>0</v>
      </c>
      <c r="M318" s="377">
        <f t="shared" si="24"/>
        <v>0</v>
      </c>
      <c r="N318" s="377">
        <f t="shared" si="25"/>
        <v>0</v>
      </c>
    </row>
    <row r="319" spans="1:14" s="1" customFormat="1" ht="12.75">
      <c r="A319" s="1" t="str">
        <f t="shared" si="26"/>
        <v>1152</v>
      </c>
      <c r="B319" s="374" t="s">
        <v>73</v>
      </c>
      <c r="C319" s="3">
        <v>115</v>
      </c>
      <c r="D319" s="373" t="s">
        <v>22</v>
      </c>
      <c r="E319" s="378" t="s">
        <v>63</v>
      </c>
      <c r="F319" s="374" t="s">
        <v>1181</v>
      </c>
      <c r="G319" s="374" t="s">
        <v>1269</v>
      </c>
      <c r="H319" s="375">
        <v>2</v>
      </c>
      <c r="I319" s="379">
        <f>+(1.35+0.65)*12</f>
        <v>24</v>
      </c>
      <c r="J319" s="376" t="s">
        <v>1174</v>
      </c>
      <c r="K319" s="376" t="s">
        <v>1238</v>
      </c>
      <c r="L319" s="377">
        <f t="shared" si="23"/>
        <v>0</v>
      </c>
      <c r="M319" s="377">
        <f t="shared" si="24"/>
        <v>0</v>
      </c>
      <c r="N319" s="377">
        <f t="shared" si="25"/>
        <v>0</v>
      </c>
    </row>
    <row r="320" spans="1:14" s="1" customFormat="1" ht="12.75">
      <c r="A320" s="1" t="str">
        <f t="shared" si="26"/>
        <v>1152</v>
      </c>
      <c r="B320" s="374" t="s">
        <v>73</v>
      </c>
      <c r="C320" s="3">
        <v>115</v>
      </c>
      <c r="D320" s="373" t="s">
        <v>22</v>
      </c>
      <c r="E320" s="378" t="s">
        <v>63</v>
      </c>
      <c r="F320" s="374" t="s">
        <v>1179</v>
      </c>
      <c r="G320" s="374" t="s">
        <v>1269</v>
      </c>
      <c r="H320" s="375">
        <v>2</v>
      </c>
      <c r="I320" s="379">
        <f>+(1.35+0.65)*12</f>
        <v>24</v>
      </c>
      <c r="J320" s="376" t="s">
        <v>1171</v>
      </c>
      <c r="K320" s="376" t="s">
        <v>1238</v>
      </c>
      <c r="L320" s="377">
        <f t="shared" si="23"/>
        <v>0</v>
      </c>
      <c r="M320" s="377">
        <f t="shared" si="24"/>
        <v>0</v>
      </c>
      <c r="N320" s="377">
        <f t="shared" si="25"/>
        <v>0</v>
      </c>
    </row>
    <row r="321" spans="1:14" s="1" customFormat="1" ht="12.75">
      <c r="A321" s="1" t="str">
        <f t="shared" si="26"/>
        <v>1152</v>
      </c>
      <c r="B321" s="374" t="s">
        <v>73</v>
      </c>
      <c r="C321" s="3">
        <v>115</v>
      </c>
      <c r="D321" s="373" t="s">
        <v>22</v>
      </c>
      <c r="E321" s="378" t="s">
        <v>63</v>
      </c>
      <c r="F321" s="374" t="s">
        <v>1170</v>
      </c>
      <c r="G321" s="374" t="s">
        <v>1255</v>
      </c>
      <c r="H321" s="375">
        <v>2</v>
      </c>
      <c r="I321" s="379">
        <f>6.3*2.85</f>
        <v>17.954999999999998</v>
      </c>
      <c r="J321" s="376" t="s">
        <v>1174</v>
      </c>
      <c r="K321" s="376"/>
      <c r="L321" s="377">
        <f t="shared" si="23"/>
        <v>0</v>
      </c>
      <c r="M321" s="377">
        <f t="shared" si="24"/>
        <v>0</v>
      </c>
      <c r="N321" s="377">
        <f t="shared" si="25"/>
        <v>0</v>
      </c>
    </row>
    <row r="322" spans="1:14" s="1" customFormat="1" ht="12.75">
      <c r="A322" s="1" t="str">
        <f t="shared" si="26"/>
        <v>1152</v>
      </c>
      <c r="B322" s="374" t="s">
        <v>73</v>
      </c>
      <c r="C322" s="3">
        <v>115</v>
      </c>
      <c r="D322" s="373" t="s">
        <v>22</v>
      </c>
      <c r="E322" s="378" t="s">
        <v>63</v>
      </c>
      <c r="F322" s="374" t="s">
        <v>1173</v>
      </c>
      <c r="G322" s="374" t="s">
        <v>1255</v>
      </c>
      <c r="H322" s="375">
        <v>2</v>
      </c>
      <c r="I322" s="379">
        <f>6.3*2.85</f>
        <v>17.954999999999998</v>
      </c>
      <c r="J322" s="376" t="s">
        <v>1171</v>
      </c>
      <c r="K322" s="376"/>
      <c r="L322" s="377">
        <f t="shared" si="23"/>
        <v>0</v>
      </c>
      <c r="M322" s="377">
        <f t="shared" si="24"/>
        <v>0</v>
      </c>
      <c r="N322" s="377">
        <f t="shared" si="25"/>
        <v>0</v>
      </c>
    </row>
    <row r="323" spans="1:14" s="1" customFormat="1" ht="12.75">
      <c r="A323" s="1" t="str">
        <f t="shared" si="26"/>
        <v>1152</v>
      </c>
      <c r="B323" s="374" t="s">
        <v>73</v>
      </c>
      <c r="C323" s="3">
        <v>115</v>
      </c>
      <c r="D323" s="373" t="s">
        <v>22</v>
      </c>
      <c r="E323" s="378" t="s">
        <v>63</v>
      </c>
      <c r="F323" s="374" t="s">
        <v>1170</v>
      </c>
      <c r="G323" s="374" t="s">
        <v>1253</v>
      </c>
      <c r="H323" s="375">
        <v>2</v>
      </c>
      <c r="I323" s="379">
        <f>(8.55+8.55+3.15+5)*3.35</f>
        <v>84.587500000000006</v>
      </c>
      <c r="J323" s="376" t="s">
        <v>1171</v>
      </c>
      <c r="K323" s="376"/>
      <c r="L323" s="377">
        <f t="shared" si="23"/>
        <v>0</v>
      </c>
      <c r="M323" s="377">
        <f t="shared" si="24"/>
        <v>0</v>
      </c>
      <c r="N323" s="377">
        <f t="shared" si="25"/>
        <v>0</v>
      </c>
    </row>
    <row r="324" spans="1:14" s="1" customFormat="1" ht="12.75">
      <c r="A324" s="1" t="str">
        <f t="shared" si="26"/>
        <v>1152</v>
      </c>
      <c r="B324" s="374" t="s">
        <v>73</v>
      </c>
      <c r="C324" s="3">
        <v>115</v>
      </c>
      <c r="D324" s="373" t="s">
        <v>22</v>
      </c>
      <c r="E324" s="378" t="s">
        <v>63</v>
      </c>
      <c r="F324" s="374" t="s">
        <v>1173</v>
      </c>
      <c r="G324" s="374" t="s">
        <v>1253</v>
      </c>
      <c r="H324" s="375">
        <v>2</v>
      </c>
      <c r="I324" s="379">
        <f>(8.55+8.55+3.15+5)*3.35</f>
        <v>84.587500000000006</v>
      </c>
      <c r="J324" s="376" t="s">
        <v>1171</v>
      </c>
      <c r="K324" s="376"/>
      <c r="L324" s="377">
        <f t="shared" si="23"/>
        <v>0</v>
      </c>
      <c r="M324" s="377">
        <f t="shared" si="24"/>
        <v>0</v>
      </c>
      <c r="N324" s="377">
        <f t="shared" si="25"/>
        <v>0</v>
      </c>
    </row>
    <row r="325" spans="1:14" s="1" customFormat="1" ht="12.75">
      <c r="A325" s="1" t="str">
        <f t="shared" si="26"/>
        <v>1152</v>
      </c>
      <c r="B325" s="374" t="s">
        <v>73</v>
      </c>
      <c r="C325" s="3">
        <v>115</v>
      </c>
      <c r="D325" s="373" t="s">
        <v>22</v>
      </c>
      <c r="E325" s="378" t="s">
        <v>63</v>
      </c>
      <c r="F325" s="374" t="s">
        <v>1231</v>
      </c>
      <c r="G325" s="374" t="s">
        <v>1232</v>
      </c>
      <c r="H325" s="375">
        <v>2</v>
      </c>
      <c r="I325" s="379">
        <f>6.3*3.1</f>
        <v>19.53</v>
      </c>
      <c r="J325" s="376" t="s">
        <v>1171</v>
      </c>
      <c r="K325" s="376" t="s">
        <v>1233</v>
      </c>
      <c r="L325" s="377">
        <f t="shared" si="23"/>
        <v>0</v>
      </c>
      <c r="M325" s="377">
        <f t="shared" si="24"/>
        <v>0</v>
      </c>
      <c r="N325" s="377">
        <f t="shared" si="25"/>
        <v>0</v>
      </c>
    </row>
    <row r="326" spans="1:14" s="1" customFormat="1" ht="12.75">
      <c r="A326" s="1" t="str">
        <f t="shared" si="26"/>
        <v>1152</v>
      </c>
      <c r="B326" s="374" t="s">
        <v>73</v>
      </c>
      <c r="C326" s="3">
        <v>115</v>
      </c>
      <c r="D326" s="373" t="s">
        <v>22</v>
      </c>
      <c r="E326" s="378" t="s">
        <v>63</v>
      </c>
      <c r="F326" s="374" t="s">
        <v>1231</v>
      </c>
      <c r="G326" s="374" t="s">
        <v>1234</v>
      </c>
      <c r="H326" s="375">
        <v>2</v>
      </c>
      <c r="I326" s="379">
        <f>6.3*3.5</f>
        <v>22.05</v>
      </c>
      <c r="J326" s="376" t="s">
        <v>1174</v>
      </c>
      <c r="K326" s="376" t="s">
        <v>1233</v>
      </c>
      <c r="L326" s="377">
        <f t="shared" si="23"/>
        <v>0</v>
      </c>
      <c r="M326" s="377">
        <f t="shared" si="24"/>
        <v>0</v>
      </c>
      <c r="N326" s="377">
        <f t="shared" si="25"/>
        <v>0</v>
      </c>
    </row>
    <row r="327" spans="1:14" s="1" customFormat="1" ht="12.75">
      <c r="A327" s="1" t="str">
        <f t="shared" si="26"/>
        <v>1152</v>
      </c>
      <c r="B327" s="374" t="s">
        <v>73</v>
      </c>
      <c r="C327" s="3">
        <v>115</v>
      </c>
      <c r="D327" s="373" t="s">
        <v>22</v>
      </c>
      <c r="E327" s="378" t="s">
        <v>63</v>
      </c>
      <c r="F327" s="374" t="s">
        <v>1182</v>
      </c>
      <c r="G327" s="374" t="s">
        <v>1270</v>
      </c>
      <c r="H327" s="375">
        <v>2</v>
      </c>
      <c r="I327" s="379">
        <v>12.87</v>
      </c>
      <c r="J327" s="376" t="s">
        <v>1171</v>
      </c>
      <c r="K327" s="376"/>
      <c r="L327" s="377">
        <f t="shared" si="23"/>
        <v>0</v>
      </c>
      <c r="M327" s="377">
        <f t="shared" si="24"/>
        <v>0</v>
      </c>
      <c r="N327" s="377">
        <f t="shared" si="25"/>
        <v>0</v>
      </c>
    </row>
    <row r="328" spans="1:14" s="1" customFormat="1" ht="12.75">
      <c r="A328" s="1" t="str">
        <f t="shared" si="26"/>
        <v>1152</v>
      </c>
      <c r="B328" s="374" t="s">
        <v>73</v>
      </c>
      <c r="C328" s="3">
        <v>115</v>
      </c>
      <c r="D328" s="373" t="s">
        <v>22</v>
      </c>
      <c r="E328" s="378" t="s">
        <v>63</v>
      </c>
      <c r="F328" s="374" t="s">
        <v>1184</v>
      </c>
      <c r="G328" s="374" t="s">
        <v>1270</v>
      </c>
      <c r="H328" s="375">
        <v>2</v>
      </c>
      <c r="I328" s="379">
        <v>12.87</v>
      </c>
      <c r="J328" s="376" t="s">
        <v>1171</v>
      </c>
      <c r="K328" s="376"/>
      <c r="L328" s="377">
        <f t="shared" si="23"/>
        <v>0</v>
      </c>
      <c r="M328" s="377">
        <f t="shared" si="24"/>
        <v>0</v>
      </c>
      <c r="N328" s="377">
        <f t="shared" si="25"/>
        <v>0</v>
      </c>
    </row>
    <row r="329" spans="1:14" s="1" customFormat="1" ht="12.75">
      <c r="A329" s="1" t="str">
        <f t="shared" si="26"/>
        <v>1152</v>
      </c>
      <c r="B329" s="374" t="s">
        <v>73</v>
      </c>
      <c r="C329" s="3">
        <v>115</v>
      </c>
      <c r="D329" s="373" t="s">
        <v>22</v>
      </c>
      <c r="E329" s="378" t="s">
        <v>63</v>
      </c>
      <c r="F329" s="374" t="s">
        <v>1185</v>
      </c>
      <c r="G329" s="374" t="s">
        <v>1227</v>
      </c>
      <c r="H329" s="375">
        <v>2</v>
      </c>
      <c r="I329" s="379">
        <v>1.92</v>
      </c>
      <c r="J329" s="376" t="s">
        <v>1171</v>
      </c>
      <c r="K329" s="376"/>
      <c r="L329" s="377">
        <f t="shared" si="23"/>
        <v>0</v>
      </c>
      <c r="M329" s="377">
        <f t="shared" si="24"/>
        <v>0</v>
      </c>
      <c r="N329" s="377">
        <f t="shared" si="25"/>
        <v>0</v>
      </c>
    </row>
    <row r="330" spans="1:14" s="1" customFormat="1" ht="12.75">
      <c r="A330" s="1" t="str">
        <f t="shared" si="26"/>
        <v>1152</v>
      </c>
      <c r="B330" s="374" t="s">
        <v>73</v>
      </c>
      <c r="C330" s="3">
        <v>115</v>
      </c>
      <c r="D330" s="373" t="s">
        <v>22</v>
      </c>
      <c r="E330" s="378" t="s">
        <v>63</v>
      </c>
      <c r="F330" s="374" t="s">
        <v>1187</v>
      </c>
      <c r="G330" s="374" t="s">
        <v>1227</v>
      </c>
      <c r="H330" s="375">
        <v>2</v>
      </c>
      <c r="I330" s="379">
        <v>1.92</v>
      </c>
      <c r="J330" s="376" t="s">
        <v>1171</v>
      </c>
      <c r="K330" s="376"/>
      <c r="L330" s="377">
        <f t="shared" si="23"/>
        <v>0</v>
      </c>
      <c r="M330" s="377">
        <f t="shared" si="24"/>
        <v>0</v>
      </c>
      <c r="N330" s="377">
        <f t="shared" si="25"/>
        <v>0</v>
      </c>
    </row>
    <row r="331" spans="1:14" s="1" customFormat="1" ht="12.75">
      <c r="A331" s="1" t="str">
        <f t="shared" si="26"/>
        <v>1152</v>
      </c>
      <c r="B331" s="374" t="s">
        <v>73</v>
      </c>
      <c r="C331" s="3">
        <v>115</v>
      </c>
      <c r="D331" s="373" t="s">
        <v>22</v>
      </c>
      <c r="E331" s="378" t="s">
        <v>63</v>
      </c>
      <c r="F331" s="374" t="s">
        <v>1170</v>
      </c>
      <c r="G331" s="374" t="s">
        <v>1256</v>
      </c>
      <c r="H331" s="375">
        <v>2</v>
      </c>
      <c r="I331" s="379">
        <f>2*1.9*2</f>
        <v>7.6</v>
      </c>
      <c r="J331" s="376" t="s">
        <v>1174</v>
      </c>
      <c r="K331" s="376"/>
      <c r="L331" s="377">
        <f t="shared" si="23"/>
        <v>0</v>
      </c>
      <c r="M331" s="377">
        <f t="shared" si="24"/>
        <v>0</v>
      </c>
      <c r="N331" s="377">
        <f t="shared" si="25"/>
        <v>0</v>
      </c>
    </row>
    <row r="332" spans="1:14" s="1" customFormat="1" ht="12.75">
      <c r="A332" s="1" t="str">
        <f t="shared" si="26"/>
        <v>1152</v>
      </c>
      <c r="B332" s="374" t="s">
        <v>73</v>
      </c>
      <c r="C332" s="3">
        <v>115</v>
      </c>
      <c r="D332" s="373" t="s">
        <v>22</v>
      </c>
      <c r="E332" s="378" t="s">
        <v>63</v>
      </c>
      <c r="F332" s="374" t="s">
        <v>1173</v>
      </c>
      <c r="G332" s="374" t="s">
        <v>1256</v>
      </c>
      <c r="H332" s="375">
        <v>2</v>
      </c>
      <c r="I332" s="379">
        <f>2*1.9*2</f>
        <v>7.6</v>
      </c>
      <c r="J332" s="376" t="s">
        <v>1171</v>
      </c>
      <c r="K332" s="376"/>
      <c r="L332" s="377">
        <f t="shared" si="23"/>
        <v>0</v>
      </c>
      <c r="M332" s="377">
        <f t="shared" si="24"/>
        <v>0</v>
      </c>
      <c r="N332" s="377">
        <f t="shared" si="25"/>
        <v>0</v>
      </c>
    </row>
    <row r="333" spans="1:14" s="1" customFormat="1" ht="12.75">
      <c r="A333" s="1" t="str">
        <f t="shared" si="26"/>
        <v>1152</v>
      </c>
      <c r="B333" s="374" t="s">
        <v>73</v>
      </c>
      <c r="C333" s="3">
        <v>115</v>
      </c>
      <c r="D333" s="373" t="s">
        <v>22</v>
      </c>
      <c r="E333" s="378" t="s">
        <v>224</v>
      </c>
      <c r="F333" s="374" t="s">
        <v>1182</v>
      </c>
      <c r="G333" s="374" t="s">
        <v>1271</v>
      </c>
      <c r="H333" s="375">
        <v>2</v>
      </c>
      <c r="I333" s="379">
        <v>12.87</v>
      </c>
      <c r="J333" s="376" t="s">
        <v>1171</v>
      </c>
      <c r="K333" s="376"/>
      <c r="L333" s="377">
        <f t="shared" si="23"/>
        <v>0</v>
      </c>
      <c r="M333" s="377">
        <f t="shared" si="24"/>
        <v>0</v>
      </c>
      <c r="N333" s="377">
        <f t="shared" si="25"/>
        <v>0</v>
      </c>
    </row>
    <row r="334" spans="1:14" s="1" customFormat="1" ht="12.75">
      <c r="A334" s="1" t="str">
        <f t="shared" ref="A334:A348" si="27">CONCATENATE(C334,H334)</f>
        <v>1152</v>
      </c>
      <c r="B334" s="374" t="s">
        <v>73</v>
      </c>
      <c r="C334" s="3">
        <v>115</v>
      </c>
      <c r="D334" s="373" t="s">
        <v>22</v>
      </c>
      <c r="E334" s="378" t="s">
        <v>224</v>
      </c>
      <c r="F334" s="374" t="s">
        <v>1184</v>
      </c>
      <c r="G334" s="374" t="s">
        <v>1271</v>
      </c>
      <c r="H334" s="375">
        <v>2</v>
      </c>
      <c r="I334" s="379">
        <v>12.87</v>
      </c>
      <c r="J334" s="376" t="s">
        <v>1171</v>
      </c>
      <c r="K334" s="376"/>
      <c r="L334" s="377">
        <f t="shared" si="23"/>
        <v>0</v>
      </c>
      <c r="M334" s="377">
        <f t="shared" si="24"/>
        <v>0</v>
      </c>
      <c r="N334" s="377">
        <f t="shared" si="25"/>
        <v>0</v>
      </c>
    </row>
    <row r="335" spans="1:14" s="1" customFormat="1" ht="12.75">
      <c r="A335" s="1" t="str">
        <f t="shared" si="27"/>
        <v>1152</v>
      </c>
      <c r="B335" s="374" t="s">
        <v>73</v>
      </c>
      <c r="C335" s="3">
        <v>115</v>
      </c>
      <c r="D335" s="373" t="s">
        <v>22</v>
      </c>
      <c r="E335" s="378" t="s">
        <v>224</v>
      </c>
      <c r="F335" s="374" t="s">
        <v>1185</v>
      </c>
      <c r="G335" s="374" t="s">
        <v>1227</v>
      </c>
      <c r="H335" s="375">
        <v>2</v>
      </c>
      <c r="I335" s="379">
        <v>1.92</v>
      </c>
      <c r="J335" s="376" t="s">
        <v>1171</v>
      </c>
      <c r="K335" s="376"/>
      <c r="L335" s="377">
        <f t="shared" si="23"/>
        <v>0</v>
      </c>
      <c r="M335" s="377">
        <f t="shared" si="24"/>
        <v>0</v>
      </c>
      <c r="N335" s="377">
        <f t="shared" si="25"/>
        <v>0</v>
      </c>
    </row>
    <row r="336" spans="1:14" s="1" customFormat="1" ht="12.75">
      <c r="A336" s="1" t="str">
        <f t="shared" si="27"/>
        <v>1152</v>
      </c>
      <c r="B336" s="374" t="s">
        <v>73</v>
      </c>
      <c r="C336" s="3">
        <v>115</v>
      </c>
      <c r="D336" s="373" t="s">
        <v>22</v>
      </c>
      <c r="E336" s="378" t="s">
        <v>224</v>
      </c>
      <c r="F336" s="374" t="s">
        <v>1187</v>
      </c>
      <c r="G336" s="374" t="s">
        <v>1227</v>
      </c>
      <c r="H336" s="375">
        <v>2</v>
      </c>
      <c r="I336" s="379">
        <v>1.92</v>
      </c>
      <c r="J336" s="376" t="s">
        <v>1171</v>
      </c>
      <c r="K336" s="376"/>
      <c r="L336" s="377">
        <f t="shared" si="23"/>
        <v>0</v>
      </c>
      <c r="M336" s="377">
        <f t="shared" si="24"/>
        <v>0</v>
      </c>
      <c r="N336" s="377">
        <f t="shared" si="25"/>
        <v>0</v>
      </c>
    </row>
    <row r="337" spans="1:14" s="1" customFormat="1" ht="12.75">
      <c r="A337" s="1" t="str">
        <f t="shared" si="27"/>
        <v>1152</v>
      </c>
      <c r="B337" s="374" t="s">
        <v>73</v>
      </c>
      <c r="C337" s="3">
        <v>115</v>
      </c>
      <c r="D337" s="373" t="s">
        <v>22</v>
      </c>
      <c r="E337" s="378" t="s">
        <v>197</v>
      </c>
      <c r="F337" s="374" t="s">
        <v>1170</v>
      </c>
      <c r="G337" s="374" t="s">
        <v>1272</v>
      </c>
      <c r="H337" s="375">
        <v>2</v>
      </c>
      <c r="I337" s="379">
        <f>1.7*2.25*12+1.9*2.35</f>
        <v>50.364999999999995</v>
      </c>
      <c r="J337" s="376" t="s">
        <v>1171</v>
      </c>
      <c r="K337" s="376"/>
      <c r="L337" s="377">
        <f t="shared" ref="L337:L400" si="28">IF(J337="ja",VLOOKUP(F337,Glassoort2,2,0))*I337</f>
        <v>0</v>
      </c>
      <c r="M337" s="377">
        <f t="shared" ref="M337:M400" si="29">IF(J337="nee",VLOOKUP(F337,Glassoort2,3,0))*I337</f>
        <v>0</v>
      </c>
      <c r="N337" s="377">
        <f t="shared" si="25"/>
        <v>0</v>
      </c>
    </row>
    <row r="338" spans="1:14" s="1" customFormat="1" ht="12.75">
      <c r="A338" s="1" t="str">
        <f t="shared" si="27"/>
        <v>1152</v>
      </c>
      <c r="B338" s="374" t="s">
        <v>73</v>
      </c>
      <c r="C338" s="3">
        <v>115</v>
      </c>
      <c r="D338" s="373" t="s">
        <v>22</v>
      </c>
      <c r="E338" s="378" t="s">
        <v>197</v>
      </c>
      <c r="F338" s="374" t="s">
        <v>1170</v>
      </c>
      <c r="G338" s="374" t="s">
        <v>1272</v>
      </c>
      <c r="H338" s="375">
        <v>2</v>
      </c>
      <c r="I338" s="379">
        <f>2.3*0.3*5+1*6.3</f>
        <v>9.75</v>
      </c>
      <c r="J338" s="376" t="s">
        <v>1174</v>
      </c>
      <c r="K338" s="376"/>
      <c r="L338" s="377">
        <f t="shared" si="28"/>
        <v>0</v>
      </c>
      <c r="M338" s="377">
        <f t="shared" si="29"/>
        <v>0</v>
      </c>
      <c r="N338" s="377">
        <f t="shared" ref="N338:N401" si="30">(M338*H338)+(L338*H338)</f>
        <v>0</v>
      </c>
    </row>
    <row r="339" spans="1:14" s="1" customFormat="1" ht="12.75">
      <c r="A339" s="1" t="str">
        <f t="shared" si="27"/>
        <v>1152</v>
      </c>
      <c r="B339" s="374" t="s">
        <v>73</v>
      </c>
      <c r="C339" s="3">
        <v>115</v>
      </c>
      <c r="D339" s="373" t="s">
        <v>22</v>
      </c>
      <c r="E339" s="378" t="s">
        <v>197</v>
      </c>
      <c r="F339" s="374" t="s">
        <v>1173</v>
      </c>
      <c r="G339" s="374" t="s">
        <v>1272</v>
      </c>
      <c r="H339" s="375">
        <v>2</v>
      </c>
      <c r="I339" s="379">
        <f>+I337+I338</f>
        <v>60.114999999999995</v>
      </c>
      <c r="J339" s="376" t="s">
        <v>1171</v>
      </c>
      <c r="K339" s="376"/>
      <c r="L339" s="377">
        <f t="shared" si="28"/>
        <v>0</v>
      </c>
      <c r="M339" s="377">
        <f t="shared" si="29"/>
        <v>0</v>
      </c>
      <c r="N339" s="377">
        <f t="shared" si="30"/>
        <v>0</v>
      </c>
    </row>
    <row r="340" spans="1:14" s="1" customFormat="1" ht="12.75">
      <c r="A340" s="1" t="str">
        <f t="shared" si="27"/>
        <v>1152</v>
      </c>
      <c r="B340" s="374" t="s">
        <v>73</v>
      </c>
      <c r="C340" s="3">
        <v>115</v>
      </c>
      <c r="D340" s="373" t="s">
        <v>22</v>
      </c>
      <c r="E340" s="378" t="s">
        <v>197</v>
      </c>
      <c r="F340" s="374" t="s">
        <v>1170</v>
      </c>
      <c r="G340" s="374" t="s">
        <v>1273</v>
      </c>
      <c r="H340" s="375">
        <v>2</v>
      </c>
      <c r="I340" s="379">
        <f>0.45*2.3*2</f>
        <v>2.0699999999999998</v>
      </c>
      <c r="J340" s="376" t="s">
        <v>1171</v>
      </c>
      <c r="K340" s="376" t="s">
        <v>1233</v>
      </c>
      <c r="L340" s="377">
        <f t="shared" si="28"/>
        <v>0</v>
      </c>
      <c r="M340" s="377">
        <f t="shared" si="29"/>
        <v>0</v>
      </c>
      <c r="N340" s="377">
        <f t="shared" si="30"/>
        <v>0</v>
      </c>
    </row>
    <row r="341" spans="1:14" s="1" customFormat="1" ht="12.75">
      <c r="A341" s="1" t="str">
        <f t="shared" si="27"/>
        <v>1152</v>
      </c>
      <c r="B341" s="374" t="s">
        <v>73</v>
      </c>
      <c r="C341" s="3">
        <v>115</v>
      </c>
      <c r="D341" s="373" t="s">
        <v>22</v>
      </c>
      <c r="E341" s="378" t="s">
        <v>197</v>
      </c>
      <c r="F341" s="374" t="s">
        <v>1181</v>
      </c>
      <c r="G341" s="374" t="s">
        <v>1273</v>
      </c>
      <c r="H341" s="375">
        <v>2</v>
      </c>
      <c r="I341" s="379">
        <f>1.7*2.5</f>
        <v>4.25</v>
      </c>
      <c r="J341" s="376" t="s">
        <v>1171</v>
      </c>
      <c r="K341" s="376" t="s">
        <v>1233</v>
      </c>
      <c r="L341" s="377">
        <f t="shared" si="28"/>
        <v>0</v>
      </c>
      <c r="M341" s="377">
        <f t="shared" si="29"/>
        <v>0</v>
      </c>
      <c r="N341" s="377">
        <f t="shared" si="30"/>
        <v>0</v>
      </c>
    </row>
    <row r="342" spans="1:14" s="1" customFormat="1" ht="12.75">
      <c r="A342" s="1" t="str">
        <f t="shared" si="27"/>
        <v>11526</v>
      </c>
      <c r="B342" s="374" t="s">
        <v>73</v>
      </c>
      <c r="C342" s="3">
        <v>115</v>
      </c>
      <c r="D342" s="373" t="s">
        <v>22</v>
      </c>
      <c r="E342" s="4"/>
      <c r="F342" s="374" t="s">
        <v>1172</v>
      </c>
      <c r="G342" s="374" t="s">
        <v>1320</v>
      </c>
      <c r="H342" s="375">
        <v>26</v>
      </c>
      <c r="I342" s="379">
        <v>52</v>
      </c>
      <c r="J342" s="376" t="s">
        <v>1171</v>
      </c>
      <c r="K342" s="376" t="s">
        <v>1321</v>
      </c>
      <c r="L342" s="377">
        <f t="shared" si="28"/>
        <v>0</v>
      </c>
      <c r="M342" s="377">
        <f t="shared" si="29"/>
        <v>0</v>
      </c>
      <c r="N342" s="377">
        <f t="shared" si="30"/>
        <v>0</v>
      </c>
    </row>
    <row r="343" spans="1:14" s="1" customFormat="1" ht="12.75">
      <c r="A343" s="1" t="str">
        <f t="shared" si="27"/>
        <v>1162</v>
      </c>
      <c r="B343" s="374" t="s">
        <v>238</v>
      </c>
      <c r="C343" s="3">
        <v>116</v>
      </c>
      <c r="D343" s="373" t="s">
        <v>22</v>
      </c>
      <c r="E343" s="378" t="s">
        <v>63</v>
      </c>
      <c r="F343" s="374" t="s">
        <v>1170</v>
      </c>
      <c r="G343" s="374" t="s">
        <v>1274</v>
      </c>
      <c r="H343" s="375">
        <v>2</v>
      </c>
      <c r="I343" s="379">
        <f>+(2.7+5.1+2.05+4.15)*2.5+(1.6+1+7.5+5.6)*2.5-2</f>
        <v>72.25</v>
      </c>
      <c r="J343" s="376" t="s">
        <v>1171</v>
      </c>
      <c r="K343" s="376"/>
      <c r="L343" s="377">
        <f t="shared" si="28"/>
        <v>0</v>
      </c>
      <c r="M343" s="377">
        <f t="shared" si="29"/>
        <v>0</v>
      </c>
      <c r="N343" s="377">
        <f t="shared" si="30"/>
        <v>0</v>
      </c>
    </row>
    <row r="344" spans="1:14" s="1" customFormat="1" ht="12.75">
      <c r="A344" s="1" t="str">
        <f t="shared" si="27"/>
        <v>1162</v>
      </c>
      <c r="B344" s="374" t="s">
        <v>238</v>
      </c>
      <c r="C344" s="3">
        <v>116</v>
      </c>
      <c r="D344" s="373" t="s">
        <v>22</v>
      </c>
      <c r="E344" s="378" t="s">
        <v>63</v>
      </c>
      <c r="F344" s="374" t="s">
        <v>1173</v>
      </c>
      <c r="G344" s="374" t="s">
        <v>1274</v>
      </c>
      <c r="H344" s="375">
        <v>2</v>
      </c>
      <c r="I344" s="379">
        <f>+(2.7+5.1+2.05+4.15)*2.5+(1.6+1+7.5+5.6)*2.5-2</f>
        <v>72.25</v>
      </c>
      <c r="J344" s="376" t="s">
        <v>1171</v>
      </c>
      <c r="K344" s="376"/>
      <c r="L344" s="377">
        <f t="shared" si="28"/>
        <v>0</v>
      </c>
      <c r="M344" s="377">
        <f t="shared" si="29"/>
        <v>0</v>
      </c>
      <c r="N344" s="377">
        <f t="shared" si="30"/>
        <v>0</v>
      </c>
    </row>
    <row r="345" spans="1:14" s="1" customFormat="1" ht="12.75">
      <c r="A345" s="1" t="str">
        <f t="shared" si="27"/>
        <v>1162</v>
      </c>
      <c r="B345" s="374" t="s">
        <v>238</v>
      </c>
      <c r="C345" s="3">
        <v>116</v>
      </c>
      <c r="D345" s="373" t="s">
        <v>22</v>
      </c>
      <c r="E345" s="378" t="s">
        <v>209</v>
      </c>
      <c r="F345" s="374" t="s">
        <v>1170</v>
      </c>
      <c r="G345" s="374" t="s">
        <v>1275</v>
      </c>
      <c r="H345" s="375">
        <v>2</v>
      </c>
      <c r="I345" s="379">
        <f>(1.9+1+1+1.9)*1.25</f>
        <v>7.25</v>
      </c>
      <c r="J345" s="376" t="s">
        <v>1171</v>
      </c>
      <c r="K345" s="376"/>
      <c r="L345" s="377">
        <f t="shared" si="28"/>
        <v>0</v>
      </c>
      <c r="M345" s="377">
        <f t="shared" si="29"/>
        <v>0</v>
      </c>
      <c r="N345" s="377">
        <f t="shared" si="30"/>
        <v>0</v>
      </c>
    </row>
    <row r="346" spans="1:14" s="1" customFormat="1" ht="12.75">
      <c r="A346" s="1" t="str">
        <f t="shared" si="27"/>
        <v>1162</v>
      </c>
      <c r="B346" s="374" t="s">
        <v>238</v>
      </c>
      <c r="C346" s="3">
        <v>116</v>
      </c>
      <c r="D346" s="373" t="s">
        <v>22</v>
      </c>
      <c r="E346" s="378" t="s">
        <v>209</v>
      </c>
      <c r="F346" s="374" t="s">
        <v>1173</v>
      </c>
      <c r="G346" s="374" t="s">
        <v>1275</v>
      </c>
      <c r="H346" s="375">
        <v>2</v>
      </c>
      <c r="I346" s="379">
        <f>(1.9+1+1+1.9)*1.25</f>
        <v>7.25</v>
      </c>
      <c r="J346" s="376" t="s">
        <v>1171</v>
      </c>
      <c r="K346" s="376"/>
      <c r="L346" s="377">
        <f t="shared" si="28"/>
        <v>0</v>
      </c>
      <c r="M346" s="377">
        <f t="shared" si="29"/>
        <v>0</v>
      </c>
      <c r="N346" s="377">
        <f t="shared" si="30"/>
        <v>0</v>
      </c>
    </row>
    <row r="347" spans="1:14" s="1" customFormat="1" ht="12.75">
      <c r="A347" s="1" t="str">
        <f t="shared" si="27"/>
        <v>1162</v>
      </c>
      <c r="B347" s="374" t="s">
        <v>238</v>
      </c>
      <c r="C347" s="3">
        <v>116</v>
      </c>
      <c r="D347" s="373" t="s">
        <v>22</v>
      </c>
      <c r="E347" s="378" t="s">
        <v>197</v>
      </c>
      <c r="F347" s="374" t="s">
        <v>1179</v>
      </c>
      <c r="G347" s="374" t="s">
        <v>1276</v>
      </c>
      <c r="H347" s="375">
        <v>2</v>
      </c>
      <c r="I347" s="379">
        <f>+(1.25*5.9)*2+(0.75*5.2)*2</f>
        <v>22.55</v>
      </c>
      <c r="J347" s="376" t="s">
        <v>1171</v>
      </c>
      <c r="K347" s="376"/>
      <c r="L347" s="377">
        <f t="shared" si="28"/>
        <v>0</v>
      </c>
      <c r="M347" s="377">
        <f t="shared" si="29"/>
        <v>0</v>
      </c>
      <c r="N347" s="377">
        <f t="shared" si="30"/>
        <v>0</v>
      </c>
    </row>
    <row r="348" spans="1:14" s="1" customFormat="1" ht="12.75">
      <c r="A348" s="1" t="str">
        <f t="shared" si="27"/>
        <v>1162</v>
      </c>
      <c r="B348" s="374" t="s">
        <v>238</v>
      </c>
      <c r="C348" s="3">
        <v>116</v>
      </c>
      <c r="D348" s="373" t="s">
        <v>22</v>
      </c>
      <c r="E348" s="378" t="s">
        <v>197</v>
      </c>
      <c r="F348" s="374" t="s">
        <v>1181</v>
      </c>
      <c r="G348" s="374" t="s">
        <v>1276</v>
      </c>
      <c r="H348" s="375">
        <v>2</v>
      </c>
      <c r="I348" s="379">
        <f>+(1.25*5.9)*2+(0.75*5.2)*2</f>
        <v>22.55</v>
      </c>
      <c r="J348" s="376" t="s">
        <v>1171</v>
      </c>
      <c r="K348" s="376"/>
      <c r="L348" s="377">
        <f t="shared" si="28"/>
        <v>0</v>
      </c>
      <c r="M348" s="377">
        <f t="shared" si="29"/>
        <v>0</v>
      </c>
      <c r="N348" s="377">
        <f t="shared" si="30"/>
        <v>0</v>
      </c>
    </row>
    <row r="349" spans="1:14" s="1" customFormat="1" ht="12.75">
      <c r="B349" s="374" t="s">
        <v>238</v>
      </c>
      <c r="C349" s="3">
        <v>117</v>
      </c>
      <c r="D349" s="373" t="s">
        <v>22</v>
      </c>
      <c r="E349" s="4"/>
      <c r="F349" s="374" t="s">
        <v>1172</v>
      </c>
      <c r="G349" s="374" t="s">
        <v>1993</v>
      </c>
      <c r="H349" s="375">
        <v>12</v>
      </c>
      <c r="I349" s="379">
        <v>32.479999999999997</v>
      </c>
      <c r="J349" s="376" t="s">
        <v>1171</v>
      </c>
      <c r="K349" s="376"/>
      <c r="L349" s="377">
        <f t="shared" si="28"/>
        <v>0</v>
      </c>
      <c r="M349" s="377">
        <f t="shared" si="29"/>
        <v>0</v>
      </c>
      <c r="N349" s="377">
        <f t="shared" si="30"/>
        <v>0</v>
      </c>
    </row>
    <row r="350" spans="1:14" s="1" customFormat="1" ht="12.75">
      <c r="B350" s="374" t="s">
        <v>238</v>
      </c>
      <c r="C350" s="3">
        <v>117</v>
      </c>
      <c r="D350" s="373" t="s">
        <v>22</v>
      </c>
      <c r="E350" s="4"/>
      <c r="F350" s="374" t="s">
        <v>1172</v>
      </c>
      <c r="G350" s="374" t="s">
        <v>1993</v>
      </c>
      <c r="H350" s="375">
        <v>12</v>
      </c>
      <c r="I350" s="379">
        <v>32.479999999999997</v>
      </c>
      <c r="J350" s="376" t="s">
        <v>1171</v>
      </c>
      <c r="K350" s="376"/>
      <c r="L350" s="377">
        <f t="shared" si="28"/>
        <v>0</v>
      </c>
      <c r="M350" s="377">
        <f t="shared" si="29"/>
        <v>0</v>
      </c>
      <c r="N350" s="377">
        <f t="shared" si="30"/>
        <v>0</v>
      </c>
    </row>
    <row r="351" spans="1:14" s="1" customFormat="1" ht="12.75">
      <c r="A351" s="1" t="str">
        <f t="shared" ref="A351:A378" si="31">CONCATENATE(C351,H351)</f>
        <v>1162</v>
      </c>
      <c r="B351" s="374" t="s">
        <v>238</v>
      </c>
      <c r="C351" s="3">
        <v>116</v>
      </c>
      <c r="D351" s="373" t="s">
        <v>22</v>
      </c>
      <c r="E351" s="378" t="s">
        <v>191</v>
      </c>
      <c r="F351" s="374" t="s">
        <v>1182</v>
      </c>
      <c r="G351" s="374" t="s">
        <v>1277</v>
      </c>
      <c r="H351" s="375">
        <v>2</v>
      </c>
      <c r="I351" s="379">
        <v>14.99</v>
      </c>
      <c r="J351" s="376" t="s">
        <v>1171</v>
      </c>
      <c r="K351" s="376"/>
      <c r="L351" s="377">
        <f t="shared" si="28"/>
        <v>0</v>
      </c>
      <c r="M351" s="377">
        <f t="shared" si="29"/>
        <v>0</v>
      </c>
      <c r="N351" s="377">
        <f t="shared" si="30"/>
        <v>0</v>
      </c>
    </row>
    <row r="352" spans="1:14" s="1" customFormat="1" ht="12.75">
      <c r="A352" s="1" t="str">
        <f t="shared" si="31"/>
        <v>1162</v>
      </c>
      <c r="B352" s="374" t="s">
        <v>238</v>
      </c>
      <c r="C352" s="3">
        <v>116</v>
      </c>
      <c r="D352" s="373" t="s">
        <v>22</v>
      </c>
      <c r="E352" s="378" t="s">
        <v>191</v>
      </c>
      <c r="F352" s="374" t="s">
        <v>1184</v>
      </c>
      <c r="G352" s="374" t="s">
        <v>1277</v>
      </c>
      <c r="H352" s="375">
        <v>2</v>
      </c>
      <c r="I352" s="379">
        <v>14.99</v>
      </c>
      <c r="J352" s="376" t="s">
        <v>1171</v>
      </c>
      <c r="K352" s="376"/>
      <c r="L352" s="377">
        <f t="shared" si="28"/>
        <v>0</v>
      </c>
      <c r="M352" s="377">
        <f t="shared" si="29"/>
        <v>0</v>
      </c>
      <c r="N352" s="377">
        <f t="shared" si="30"/>
        <v>0</v>
      </c>
    </row>
    <row r="353" spans="1:14" s="1" customFormat="1" ht="12.75">
      <c r="A353" s="1" t="str">
        <f t="shared" si="31"/>
        <v>1162</v>
      </c>
      <c r="B353" s="374" t="s">
        <v>238</v>
      </c>
      <c r="C353" s="3">
        <v>116</v>
      </c>
      <c r="D353" s="373" t="s">
        <v>22</v>
      </c>
      <c r="E353" s="378" t="s">
        <v>191</v>
      </c>
      <c r="F353" s="374" t="s">
        <v>1185</v>
      </c>
      <c r="G353" s="374" t="s">
        <v>1227</v>
      </c>
      <c r="H353" s="375">
        <v>2</v>
      </c>
      <c r="I353" s="379">
        <v>1.92</v>
      </c>
      <c r="J353" s="376" t="s">
        <v>1171</v>
      </c>
      <c r="K353" s="376"/>
      <c r="L353" s="377">
        <f t="shared" si="28"/>
        <v>0</v>
      </c>
      <c r="M353" s="377">
        <f t="shared" si="29"/>
        <v>0</v>
      </c>
      <c r="N353" s="377">
        <f t="shared" si="30"/>
        <v>0</v>
      </c>
    </row>
    <row r="354" spans="1:14" s="1" customFormat="1" ht="12.75">
      <c r="A354" s="1" t="str">
        <f t="shared" si="31"/>
        <v>1162</v>
      </c>
      <c r="B354" s="374" t="s">
        <v>238</v>
      </c>
      <c r="C354" s="3">
        <v>116</v>
      </c>
      <c r="D354" s="373" t="s">
        <v>22</v>
      </c>
      <c r="E354" s="378" t="s">
        <v>191</v>
      </c>
      <c r="F354" s="374" t="s">
        <v>1187</v>
      </c>
      <c r="G354" s="374" t="s">
        <v>1227</v>
      </c>
      <c r="H354" s="375">
        <v>2</v>
      </c>
      <c r="I354" s="379">
        <v>1.92</v>
      </c>
      <c r="J354" s="376" t="s">
        <v>1171</v>
      </c>
      <c r="K354" s="376"/>
      <c r="L354" s="377">
        <f t="shared" si="28"/>
        <v>0</v>
      </c>
      <c r="M354" s="377">
        <f t="shared" si="29"/>
        <v>0</v>
      </c>
      <c r="N354" s="377">
        <f t="shared" si="30"/>
        <v>0</v>
      </c>
    </row>
    <row r="355" spans="1:14" s="1" customFormat="1" ht="12.75">
      <c r="A355" s="1" t="str">
        <f t="shared" si="31"/>
        <v>11626</v>
      </c>
      <c r="B355" s="374" t="s">
        <v>238</v>
      </c>
      <c r="C355" s="3">
        <v>116</v>
      </c>
      <c r="D355" s="373" t="s">
        <v>22</v>
      </c>
      <c r="E355" s="4"/>
      <c r="F355" s="374" t="s">
        <v>1172</v>
      </c>
      <c r="G355" s="374" t="s">
        <v>1320</v>
      </c>
      <c r="H355" s="375">
        <v>26</v>
      </c>
      <c r="I355" s="379">
        <v>20</v>
      </c>
      <c r="J355" s="376" t="s">
        <v>1171</v>
      </c>
      <c r="K355" s="376" t="s">
        <v>1321</v>
      </c>
      <c r="L355" s="377">
        <f t="shared" si="28"/>
        <v>0</v>
      </c>
      <c r="M355" s="377">
        <f t="shared" si="29"/>
        <v>0</v>
      </c>
      <c r="N355" s="377">
        <f t="shared" si="30"/>
        <v>0</v>
      </c>
    </row>
    <row r="356" spans="1:14" s="1" customFormat="1" ht="12.75">
      <c r="A356" s="1" t="str">
        <f t="shared" si="31"/>
        <v>1172</v>
      </c>
      <c r="B356" s="374" t="s">
        <v>297</v>
      </c>
      <c r="C356" s="3">
        <v>117</v>
      </c>
      <c r="D356" s="373" t="s">
        <v>22</v>
      </c>
      <c r="E356" s="378" t="s">
        <v>63</v>
      </c>
      <c r="F356" s="374" t="s">
        <v>1170</v>
      </c>
      <c r="G356" s="374" t="s">
        <v>1278</v>
      </c>
      <c r="H356" s="375">
        <v>2</v>
      </c>
      <c r="I356" s="379">
        <f>3.5*2.8+(3.15+4.6+4.6+3.2)*4.8-2</f>
        <v>82.44</v>
      </c>
      <c r="J356" s="376" t="s">
        <v>1171</v>
      </c>
      <c r="K356" s="376"/>
      <c r="L356" s="377">
        <f t="shared" si="28"/>
        <v>0</v>
      </c>
      <c r="M356" s="377">
        <f t="shared" si="29"/>
        <v>0</v>
      </c>
      <c r="N356" s="377">
        <f t="shared" si="30"/>
        <v>0</v>
      </c>
    </row>
    <row r="357" spans="1:14" s="1" customFormat="1" ht="12.75">
      <c r="A357" s="1" t="str">
        <f t="shared" si="31"/>
        <v>1172</v>
      </c>
      <c r="B357" s="374" t="s">
        <v>297</v>
      </c>
      <c r="C357" s="3">
        <v>117</v>
      </c>
      <c r="D357" s="373" t="s">
        <v>22</v>
      </c>
      <c r="E357" s="378" t="s">
        <v>63</v>
      </c>
      <c r="F357" s="374" t="s">
        <v>1173</v>
      </c>
      <c r="G357" s="374" t="s">
        <v>1278</v>
      </c>
      <c r="H357" s="375">
        <v>2</v>
      </c>
      <c r="I357" s="379">
        <f>3.5*2.8+(3.15+4.6+4.6+3.2)*4.8-2</f>
        <v>82.44</v>
      </c>
      <c r="J357" s="376" t="s">
        <v>1171</v>
      </c>
      <c r="K357" s="376"/>
      <c r="L357" s="377">
        <f t="shared" si="28"/>
        <v>0</v>
      </c>
      <c r="M357" s="377">
        <f t="shared" si="29"/>
        <v>0</v>
      </c>
      <c r="N357" s="377">
        <f t="shared" si="30"/>
        <v>0</v>
      </c>
    </row>
    <row r="358" spans="1:14" s="1" customFormat="1" ht="12.75">
      <c r="A358" s="1" t="str">
        <f t="shared" si="31"/>
        <v>1172</v>
      </c>
      <c r="B358" s="374" t="s">
        <v>297</v>
      </c>
      <c r="C358" s="3">
        <v>117</v>
      </c>
      <c r="D358" s="373" t="s">
        <v>22</v>
      </c>
      <c r="E358" s="378" t="s">
        <v>63</v>
      </c>
      <c r="F358" s="374" t="s">
        <v>1231</v>
      </c>
      <c r="G358" s="374" t="s">
        <v>1279</v>
      </c>
      <c r="H358" s="375">
        <v>2</v>
      </c>
      <c r="I358" s="379">
        <f>6.7*5.1</f>
        <v>34.17</v>
      </c>
      <c r="J358" s="376" t="s">
        <v>1171</v>
      </c>
      <c r="K358" s="376" t="s">
        <v>1233</v>
      </c>
      <c r="L358" s="377">
        <f t="shared" si="28"/>
        <v>0</v>
      </c>
      <c r="M358" s="377">
        <f t="shared" si="29"/>
        <v>0</v>
      </c>
      <c r="N358" s="377">
        <f t="shared" si="30"/>
        <v>0</v>
      </c>
    </row>
    <row r="359" spans="1:14" s="1" customFormat="1" ht="12.75">
      <c r="A359" s="1" t="str">
        <f t="shared" si="31"/>
        <v>1172</v>
      </c>
      <c r="B359" s="374" t="s">
        <v>297</v>
      </c>
      <c r="C359" s="3">
        <v>117</v>
      </c>
      <c r="D359" s="373" t="s">
        <v>22</v>
      </c>
      <c r="E359" s="378" t="s">
        <v>63</v>
      </c>
      <c r="F359" s="374" t="s">
        <v>1231</v>
      </c>
      <c r="G359" s="374" t="s">
        <v>1280</v>
      </c>
      <c r="H359" s="375">
        <v>2</v>
      </c>
      <c r="I359" s="379">
        <f>6.7*2.3</f>
        <v>15.409999999999998</v>
      </c>
      <c r="J359" s="376" t="s">
        <v>1171</v>
      </c>
      <c r="K359" s="376" t="s">
        <v>1233</v>
      </c>
      <c r="L359" s="377">
        <f t="shared" si="28"/>
        <v>0</v>
      </c>
      <c r="M359" s="377">
        <f t="shared" si="29"/>
        <v>0</v>
      </c>
      <c r="N359" s="377">
        <f t="shared" si="30"/>
        <v>0</v>
      </c>
    </row>
    <row r="360" spans="1:14" s="1" customFormat="1" ht="12.75">
      <c r="A360" s="1" t="str">
        <f t="shared" si="31"/>
        <v>1172</v>
      </c>
      <c r="B360" s="374" t="s">
        <v>297</v>
      </c>
      <c r="C360" s="3">
        <v>117</v>
      </c>
      <c r="D360" s="373" t="s">
        <v>22</v>
      </c>
      <c r="E360" s="378" t="s">
        <v>63</v>
      </c>
      <c r="F360" s="374" t="s">
        <v>1181</v>
      </c>
      <c r="G360" s="374" t="s">
        <v>1269</v>
      </c>
      <c r="H360" s="375">
        <v>2</v>
      </c>
      <c r="I360" s="379">
        <f>+(1.35+0.65)*12</f>
        <v>24</v>
      </c>
      <c r="J360" s="376" t="s">
        <v>1174</v>
      </c>
      <c r="K360" s="376" t="s">
        <v>1238</v>
      </c>
      <c r="L360" s="377">
        <f t="shared" si="28"/>
        <v>0</v>
      </c>
      <c r="M360" s="377">
        <f t="shared" si="29"/>
        <v>0</v>
      </c>
      <c r="N360" s="377">
        <f t="shared" si="30"/>
        <v>0</v>
      </c>
    </row>
    <row r="361" spans="1:14" s="1" customFormat="1" ht="12.75">
      <c r="A361" s="1" t="str">
        <f t="shared" si="31"/>
        <v>1172</v>
      </c>
      <c r="B361" s="374" t="s">
        <v>297</v>
      </c>
      <c r="C361" s="3">
        <v>117</v>
      </c>
      <c r="D361" s="373" t="s">
        <v>22</v>
      </c>
      <c r="E361" s="378" t="s">
        <v>63</v>
      </c>
      <c r="F361" s="374" t="s">
        <v>1179</v>
      </c>
      <c r="G361" s="374" t="s">
        <v>1269</v>
      </c>
      <c r="H361" s="375">
        <v>2</v>
      </c>
      <c r="I361" s="379">
        <f>+(1.35+0.65)*12</f>
        <v>24</v>
      </c>
      <c r="J361" s="376" t="s">
        <v>1171</v>
      </c>
      <c r="K361" s="376" t="s">
        <v>1238</v>
      </c>
      <c r="L361" s="377">
        <f t="shared" si="28"/>
        <v>0</v>
      </c>
      <c r="M361" s="377">
        <f t="shared" si="29"/>
        <v>0</v>
      </c>
      <c r="N361" s="377">
        <f t="shared" si="30"/>
        <v>0</v>
      </c>
    </row>
    <row r="362" spans="1:14" s="1" customFormat="1" ht="12.75">
      <c r="A362" s="1" t="str">
        <f t="shared" si="31"/>
        <v>11712</v>
      </c>
      <c r="B362" s="374" t="s">
        <v>297</v>
      </c>
      <c r="C362" s="3">
        <v>117</v>
      </c>
      <c r="D362" s="373" t="s">
        <v>22</v>
      </c>
      <c r="E362" s="378" t="s">
        <v>237</v>
      </c>
      <c r="F362" s="374" t="s">
        <v>1172</v>
      </c>
      <c r="G362" s="374" t="s">
        <v>1281</v>
      </c>
      <c r="H362" s="375">
        <v>12</v>
      </c>
      <c r="I362" s="379">
        <f>1*3.25*2</f>
        <v>6.5</v>
      </c>
      <c r="J362" s="376" t="s">
        <v>1171</v>
      </c>
      <c r="K362" s="376"/>
      <c r="L362" s="377">
        <f t="shared" si="28"/>
        <v>0</v>
      </c>
      <c r="M362" s="377">
        <f t="shared" si="29"/>
        <v>0</v>
      </c>
      <c r="N362" s="377">
        <f t="shared" si="30"/>
        <v>0</v>
      </c>
    </row>
    <row r="363" spans="1:14" s="1" customFormat="1" ht="12.75">
      <c r="A363" s="1" t="str">
        <f t="shared" si="31"/>
        <v>1172</v>
      </c>
      <c r="B363" s="374" t="s">
        <v>297</v>
      </c>
      <c r="C363" s="3">
        <v>117</v>
      </c>
      <c r="D363" s="373" t="s">
        <v>22</v>
      </c>
      <c r="E363" s="378" t="s">
        <v>191</v>
      </c>
      <c r="F363" s="374" t="s">
        <v>1182</v>
      </c>
      <c r="G363" s="374" t="s">
        <v>1282</v>
      </c>
      <c r="H363" s="375">
        <v>2</v>
      </c>
      <c r="I363" s="379">
        <v>12.01</v>
      </c>
      <c r="J363" s="376" t="s">
        <v>1171</v>
      </c>
      <c r="K363" s="376"/>
      <c r="L363" s="377">
        <f t="shared" si="28"/>
        <v>0</v>
      </c>
      <c r="M363" s="377">
        <f t="shared" si="29"/>
        <v>0</v>
      </c>
      <c r="N363" s="377">
        <f t="shared" si="30"/>
        <v>0</v>
      </c>
    </row>
    <row r="364" spans="1:14" s="1" customFormat="1" ht="12.75">
      <c r="A364" s="1" t="str">
        <f t="shared" si="31"/>
        <v>1172</v>
      </c>
      <c r="B364" s="374" t="s">
        <v>297</v>
      </c>
      <c r="C364" s="3">
        <v>117</v>
      </c>
      <c r="D364" s="373" t="s">
        <v>22</v>
      </c>
      <c r="E364" s="378" t="s">
        <v>191</v>
      </c>
      <c r="F364" s="374" t="s">
        <v>1184</v>
      </c>
      <c r="G364" s="374" t="s">
        <v>1282</v>
      </c>
      <c r="H364" s="375">
        <v>2</v>
      </c>
      <c r="I364" s="379">
        <v>12.01</v>
      </c>
      <c r="J364" s="376" t="s">
        <v>1171</v>
      </c>
      <c r="K364" s="376"/>
      <c r="L364" s="377">
        <f t="shared" si="28"/>
        <v>0</v>
      </c>
      <c r="M364" s="377">
        <f t="shared" si="29"/>
        <v>0</v>
      </c>
      <c r="N364" s="377">
        <f t="shared" si="30"/>
        <v>0</v>
      </c>
    </row>
    <row r="365" spans="1:14" s="1" customFormat="1" ht="12.75">
      <c r="A365" s="1" t="str">
        <f t="shared" si="31"/>
        <v>1172</v>
      </c>
      <c r="B365" s="374" t="s">
        <v>297</v>
      </c>
      <c r="C365" s="3">
        <v>117</v>
      </c>
      <c r="D365" s="373" t="s">
        <v>22</v>
      </c>
      <c r="E365" s="378" t="s">
        <v>191</v>
      </c>
      <c r="F365" s="374" t="s">
        <v>1185</v>
      </c>
      <c r="G365" s="374" t="s">
        <v>1227</v>
      </c>
      <c r="H365" s="375">
        <v>2</v>
      </c>
      <c r="I365" s="379">
        <v>1.92</v>
      </c>
      <c r="J365" s="376" t="s">
        <v>1171</v>
      </c>
      <c r="K365" s="376"/>
      <c r="L365" s="377">
        <f t="shared" si="28"/>
        <v>0</v>
      </c>
      <c r="M365" s="377">
        <f t="shared" si="29"/>
        <v>0</v>
      </c>
      <c r="N365" s="377">
        <f t="shared" si="30"/>
        <v>0</v>
      </c>
    </row>
    <row r="366" spans="1:14" s="1" customFormat="1" ht="12.75">
      <c r="A366" s="1" t="str">
        <f t="shared" si="31"/>
        <v>1172</v>
      </c>
      <c r="B366" s="374" t="s">
        <v>297</v>
      </c>
      <c r="C366" s="3">
        <v>117</v>
      </c>
      <c r="D366" s="373" t="s">
        <v>22</v>
      </c>
      <c r="E366" s="378" t="s">
        <v>191</v>
      </c>
      <c r="F366" s="374" t="s">
        <v>1187</v>
      </c>
      <c r="G366" s="374" t="s">
        <v>1227</v>
      </c>
      <c r="H366" s="375">
        <v>2</v>
      </c>
      <c r="I366" s="379">
        <v>1.92</v>
      </c>
      <c r="J366" s="376" t="s">
        <v>1171</v>
      </c>
      <c r="K366" s="376"/>
      <c r="L366" s="377">
        <f t="shared" si="28"/>
        <v>0</v>
      </c>
      <c r="M366" s="377">
        <f t="shared" si="29"/>
        <v>0</v>
      </c>
      <c r="N366" s="377">
        <f t="shared" si="30"/>
        <v>0</v>
      </c>
    </row>
    <row r="367" spans="1:14" s="1" customFormat="1" ht="12.75">
      <c r="A367" s="1" t="str">
        <f t="shared" si="31"/>
        <v>1172</v>
      </c>
      <c r="B367" s="374" t="s">
        <v>297</v>
      </c>
      <c r="C367" s="3">
        <v>117</v>
      </c>
      <c r="D367" s="373" t="s">
        <v>22</v>
      </c>
      <c r="E367" s="378" t="s">
        <v>63</v>
      </c>
      <c r="F367" s="374" t="s">
        <v>1170</v>
      </c>
      <c r="G367" s="374" t="s">
        <v>1283</v>
      </c>
      <c r="H367" s="375">
        <v>2</v>
      </c>
      <c r="I367" s="379">
        <f>6*3*2</f>
        <v>36</v>
      </c>
      <c r="J367" s="376" t="s">
        <v>1174</v>
      </c>
      <c r="K367" s="376"/>
      <c r="L367" s="377">
        <f t="shared" si="28"/>
        <v>0</v>
      </c>
      <c r="M367" s="377">
        <f t="shared" si="29"/>
        <v>0</v>
      </c>
      <c r="N367" s="377">
        <f t="shared" si="30"/>
        <v>0</v>
      </c>
    </row>
    <row r="368" spans="1:14" s="1" customFormat="1" ht="12.75">
      <c r="A368" s="1" t="str">
        <f t="shared" si="31"/>
        <v>1172</v>
      </c>
      <c r="B368" s="374" t="s">
        <v>297</v>
      </c>
      <c r="C368" s="3">
        <v>117</v>
      </c>
      <c r="D368" s="373" t="s">
        <v>22</v>
      </c>
      <c r="E368" s="378" t="s">
        <v>63</v>
      </c>
      <c r="F368" s="374" t="s">
        <v>1173</v>
      </c>
      <c r="G368" s="374" t="s">
        <v>1283</v>
      </c>
      <c r="H368" s="375">
        <v>2</v>
      </c>
      <c r="I368" s="379">
        <f>6*3*2</f>
        <v>36</v>
      </c>
      <c r="J368" s="376" t="s">
        <v>1171</v>
      </c>
      <c r="K368" s="376"/>
      <c r="L368" s="377">
        <f t="shared" si="28"/>
        <v>0</v>
      </c>
      <c r="M368" s="377">
        <f t="shared" si="29"/>
        <v>0</v>
      </c>
      <c r="N368" s="377">
        <f t="shared" si="30"/>
        <v>0</v>
      </c>
    </row>
    <row r="369" spans="1:14" s="1" customFormat="1" ht="12.75">
      <c r="A369" s="1" t="str">
        <f t="shared" si="31"/>
        <v>1172</v>
      </c>
      <c r="B369" s="374" t="s">
        <v>297</v>
      </c>
      <c r="C369" s="3">
        <v>117</v>
      </c>
      <c r="D369" s="373" t="s">
        <v>22</v>
      </c>
      <c r="E369" s="378" t="s">
        <v>237</v>
      </c>
      <c r="F369" s="374" t="s">
        <v>1222</v>
      </c>
      <c r="G369" s="374" t="s">
        <v>1239</v>
      </c>
      <c r="H369" s="375">
        <v>2</v>
      </c>
      <c r="I369" s="379">
        <v>2</v>
      </c>
      <c r="J369" s="376" t="s">
        <v>1171</v>
      </c>
      <c r="K369" s="376"/>
      <c r="L369" s="377">
        <f t="shared" si="28"/>
        <v>0</v>
      </c>
      <c r="M369" s="377">
        <f t="shared" si="29"/>
        <v>0</v>
      </c>
      <c r="N369" s="377">
        <f t="shared" si="30"/>
        <v>0</v>
      </c>
    </row>
    <row r="370" spans="1:14" s="1" customFormat="1" ht="12.75">
      <c r="A370" s="1" t="str">
        <f t="shared" si="31"/>
        <v>1172</v>
      </c>
      <c r="B370" s="374" t="s">
        <v>297</v>
      </c>
      <c r="C370" s="3">
        <v>117</v>
      </c>
      <c r="D370" s="373" t="s">
        <v>22</v>
      </c>
      <c r="E370" s="378" t="s">
        <v>237</v>
      </c>
      <c r="F370" s="374" t="s">
        <v>1225</v>
      </c>
      <c r="G370" s="374" t="s">
        <v>1239</v>
      </c>
      <c r="H370" s="375">
        <v>2</v>
      </c>
      <c r="I370" s="379">
        <v>2</v>
      </c>
      <c r="J370" s="376" t="s">
        <v>1171</v>
      </c>
      <c r="K370" s="376"/>
      <c r="L370" s="377">
        <f t="shared" si="28"/>
        <v>0</v>
      </c>
      <c r="M370" s="377">
        <f t="shared" si="29"/>
        <v>0</v>
      </c>
      <c r="N370" s="377">
        <f t="shared" si="30"/>
        <v>0</v>
      </c>
    </row>
    <row r="371" spans="1:14" s="1" customFormat="1" ht="12.75">
      <c r="A371" s="1" t="str">
        <f t="shared" si="31"/>
        <v>1172</v>
      </c>
      <c r="B371" s="374" t="s">
        <v>297</v>
      </c>
      <c r="C371" s="3">
        <v>117</v>
      </c>
      <c r="D371" s="373" t="s">
        <v>22</v>
      </c>
      <c r="E371" s="378" t="s">
        <v>224</v>
      </c>
      <c r="F371" s="374" t="s">
        <v>1231</v>
      </c>
      <c r="G371" s="374" t="s">
        <v>1284</v>
      </c>
      <c r="H371" s="375">
        <v>2</v>
      </c>
      <c r="I371" s="379">
        <f>6.7*3.1</f>
        <v>20.77</v>
      </c>
      <c r="J371" s="376" t="s">
        <v>1171</v>
      </c>
      <c r="K371" s="376" t="s">
        <v>1233</v>
      </c>
      <c r="L371" s="377">
        <f t="shared" si="28"/>
        <v>0</v>
      </c>
      <c r="M371" s="377">
        <f t="shared" si="29"/>
        <v>0</v>
      </c>
      <c r="N371" s="377">
        <f t="shared" si="30"/>
        <v>0</v>
      </c>
    </row>
    <row r="372" spans="1:14" s="1" customFormat="1" ht="12.75">
      <c r="A372" s="1" t="str">
        <f t="shared" si="31"/>
        <v>1172</v>
      </c>
      <c r="B372" s="374" t="s">
        <v>297</v>
      </c>
      <c r="C372" s="3">
        <v>117</v>
      </c>
      <c r="D372" s="373" t="s">
        <v>22</v>
      </c>
      <c r="E372" s="378" t="s">
        <v>224</v>
      </c>
      <c r="F372" s="374" t="s">
        <v>1231</v>
      </c>
      <c r="G372" s="374" t="s">
        <v>1285</v>
      </c>
      <c r="H372" s="375">
        <v>2</v>
      </c>
      <c r="I372" s="379">
        <f>6.7*2.4</f>
        <v>16.079999999999998</v>
      </c>
      <c r="J372" s="376" t="s">
        <v>1171</v>
      </c>
      <c r="K372" s="376" t="s">
        <v>1233</v>
      </c>
      <c r="L372" s="377">
        <f t="shared" si="28"/>
        <v>0</v>
      </c>
      <c r="M372" s="377">
        <f t="shared" si="29"/>
        <v>0</v>
      </c>
      <c r="N372" s="377">
        <f t="shared" si="30"/>
        <v>0</v>
      </c>
    </row>
    <row r="373" spans="1:14" s="1" customFormat="1" ht="12.75">
      <c r="A373" s="1" t="str">
        <f t="shared" si="31"/>
        <v>11712</v>
      </c>
      <c r="B373" s="374" t="s">
        <v>297</v>
      </c>
      <c r="C373" s="3">
        <v>117</v>
      </c>
      <c r="D373" s="373" t="s">
        <v>22</v>
      </c>
      <c r="E373" s="378" t="s">
        <v>237</v>
      </c>
      <c r="F373" s="374" t="s">
        <v>1172</v>
      </c>
      <c r="G373" s="374" t="s">
        <v>1286</v>
      </c>
      <c r="H373" s="375">
        <v>12</v>
      </c>
      <c r="I373" s="379">
        <f>1*4.25*2</f>
        <v>8.5</v>
      </c>
      <c r="J373" s="376" t="s">
        <v>1171</v>
      </c>
      <c r="K373" s="376"/>
      <c r="L373" s="377">
        <f t="shared" si="28"/>
        <v>0</v>
      </c>
      <c r="M373" s="377">
        <f t="shared" si="29"/>
        <v>0</v>
      </c>
      <c r="N373" s="377">
        <f t="shared" si="30"/>
        <v>0</v>
      </c>
    </row>
    <row r="374" spans="1:14" s="1" customFormat="1" ht="12.75">
      <c r="A374" s="1" t="str">
        <f t="shared" si="31"/>
        <v>1172</v>
      </c>
      <c r="B374" s="374" t="s">
        <v>297</v>
      </c>
      <c r="C374" s="3">
        <v>117</v>
      </c>
      <c r="D374" s="373" t="s">
        <v>22</v>
      </c>
      <c r="E374" s="378" t="s">
        <v>46</v>
      </c>
      <c r="F374" s="374" t="s">
        <v>1182</v>
      </c>
      <c r="G374" s="374" t="s">
        <v>1287</v>
      </c>
      <c r="H374" s="375">
        <v>2</v>
      </c>
      <c r="I374" s="379">
        <v>14.58</v>
      </c>
      <c r="J374" s="376" t="s">
        <v>1171</v>
      </c>
      <c r="K374" s="376"/>
      <c r="L374" s="377">
        <f t="shared" si="28"/>
        <v>0</v>
      </c>
      <c r="M374" s="377">
        <f t="shared" si="29"/>
        <v>0</v>
      </c>
      <c r="N374" s="377">
        <f t="shared" si="30"/>
        <v>0</v>
      </c>
    </row>
    <row r="375" spans="1:14" s="1" customFormat="1" ht="12.75">
      <c r="A375" s="1" t="str">
        <f t="shared" si="31"/>
        <v>1172</v>
      </c>
      <c r="B375" s="374" t="s">
        <v>297</v>
      </c>
      <c r="C375" s="3">
        <v>117</v>
      </c>
      <c r="D375" s="373" t="s">
        <v>22</v>
      </c>
      <c r="E375" s="378" t="s">
        <v>46</v>
      </c>
      <c r="F375" s="374" t="s">
        <v>1184</v>
      </c>
      <c r="G375" s="374" t="s">
        <v>1287</v>
      </c>
      <c r="H375" s="375">
        <v>2</v>
      </c>
      <c r="I375" s="379">
        <v>14.58</v>
      </c>
      <c r="J375" s="376" t="s">
        <v>1171</v>
      </c>
      <c r="K375" s="376"/>
      <c r="L375" s="377">
        <f t="shared" si="28"/>
        <v>0</v>
      </c>
      <c r="M375" s="377">
        <f t="shared" si="29"/>
        <v>0</v>
      </c>
      <c r="N375" s="377">
        <f t="shared" si="30"/>
        <v>0</v>
      </c>
    </row>
    <row r="376" spans="1:14" s="1" customFormat="1" ht="12.75">
      <c r="A376" s="1" t="str">
        <f t="shared" si="31"/>
        <v>1172</v>
      </c>
      <c r="B376" s="374" t="s">
        <v>297</v>
      </c>
      <c r="C376" s="3">
        <v>117</v>
      </c>
      <c r="D376" s="373" t="s">
        <v>22</v>
      </c>
      <c r="E376" s="378" t="s">
        <v>46</v>
      </c>
      <c r="F376" s="374" t="s">
        <v>1185</v>
      </c>
      <c r="G376" s="374" t="s">
        <v>1227</v>
      </c>
      <c r="H376" s="375">
        <v>2</v>
      </c>
      <c r="I376" s="379">
        <v>1.92</v>
      </c>
      <c r="J376" s="376" t="s">
        <v>1171</v>
      </c>
      <c r="K376" s="376"/>
      <c r="L376" s="377">
        <f t="shared" si="28"/>
        <v>0</v>
      </c>
      <c r="M376" s="377">
        <f t="shared" si="29"/>
        <v>0</v>
      </c>
      <c r="N376" s="377">
        <f t="shared" si="30"/>
        <v>0</v>
      </c>
    </row>
    <row r="377" spans="1:14" s="1" customFormat="1" ht="12.75">
      <c r="A377" s="1" t="str">
        <f t="shared" si="31"/>
        <v>1172</v>
      </c>
      <c r="B377" s="374" t="s">
        <v>297</v>
      </c>
      <c r="C377" s="3">
        <v>117</v>
      </c>
      <c r="D377" s="373" t="s">
        <v>22</v>
      </c>
      <c r="E377" s="378" t="s">
        <v>46</v>
      </c>
      <c r="F377" s="374" t="s">
        <v>1187</v>
      </c>
      <c r="G377" s="374" t="s">
        <v>1227</v>
      </c>
      <c r="H377" s="375">
        <v>2</v>
      </c>
      <c r="I377" s="379">
        <v>1.92</v>
      </c>
      <c r="J377" s="376" t="s">
        <v>1171</v>
      </c>
      <c r="K377" s="376"/>
      <c r="L377" s="377">
        <f t="shared" si="28"/>
        <v>0</v>
      </c>
      <c r="M377" s="377">
        <f t="shared" si="29"/>
        <v>0</v>
      </c>
      <c r="N377" s="377">
        <f t="shared" si="30"/>
        <v>0</v>
      </c>
    </row>
    <row r="378" spans="1:14" s="1" customFormat="1" ht="12.75">
      <c r="A378" s="1" t="str">
        <f t="shared" si="31"/>
        <v>1172</v>
      </c>
      <c r="B378" s="374" t="s">
        <v>297</v>
      </c>
      <c r="C378" s="3">
        <v>117</v>
      </c>
      <c r="D378" s="373" t="s">
        <v>22</v>
      </c>
      <c r="E378" s="378" t="s">
        <v>183</v>
      </c>
      <c r="F378" s="374" t="s">
        <v>1173</v>
      </c>
      <c r="G378" s="374" t="s">
        <v>1288</v>
      </c>
      <c r="H378" s="375">
        <v>2</v>
      </c>
      <c r="I378" s="379">
        <v>5.46</v>
      </c>
      <c r="J378" s="376" t="s">
        <v>1171</v>
      </c>
      <c r="K378" s="376" t="s">
        <v>1233</v>
      </c>
      <c r="L378" s="377">
        <f t="shared" si="28"/>
        <v>0</v>
      </c>
      <c r="M378" s="377">
        <f t="shared" si="29"/>
        <v>0</v>
      </c>
      <c r="N378" s="377">
        <f t="shared" si="30"/>
        <v>0</v>
      </c>
    </row>
    <row r="379" spans="1:14" s="1" customFormat="1" ht="12.75">
      <c r="B379" s="374" t="s">
        <v>297</v>
      </c>
      <c r="C379" s="3">
        <v>117</v>
      </c>
      <c r="D379" s="373" t="s">
        <v>22</v>
      </c>
      <c r="E379" s="378" t="s">
        <v>183</v>
      </c>
      <c r="F379" s="374" t="s">
        <v>1170</v>
      </c>
      <c r="G379" s="374" t="s">
        <v>1288</v>
      </c>
      <c r="H379" s="375">
        <v>2</v>
      </c>
      <c r="I379" s="379">
        <v>5.46</v>
      </c>
      <c r="J379" s="376" t="s">
        <v>1171</v>
      </c>
      <c r="K379" s="376"/>
      <c r="L379" s="377">
        <f t="shared" si="28"/>
        <v>0</v>
      </c>
      <c r="M379" s="377">
        <f t="shared" si="29"/>
        <v>0</v>
      </c>
      <c r="N379" s="377">
        <f t="shared" si="30"/>
        <v>0</v>
      </c>
    </row>
    <row r="380" spans="1:14" s="1" customFormat="1" ht="12.75">
      <c r="A380" s="1" t="str">
        <f>CONCATENATE(C380,H380)</f>
        <v>1172</v>
      </c>
      <c r="B380" s="374" t="s">
        <v>297</v>
      </c>
      <c r="C380" s="3">
        <v>117</v>
      </c>
      <c r="D380" s="373" t="s">
        <v>22</v>
      </c>
      <c r="E380" s="378" t="s">
        <v>183</v>
      </c>
      <c r="F380" s="374" t="s">
        <v>1170</v>
      </c>
      <c r="G380" s="374" t="s">
        <v>1289</v>
      </c>
      <c r="H380" s="375">
        <v>2</v>
      </c>
      <c r="I380" s="379">
        <f>(9.35+1.95)*2.25</f>
        <v>25.424999999999997</v>
      </c>
      <c r="J380" s="376" t="s">
        <v>1171</v>
      </c>
      <c r="K380" s="376"/>
      <c r="L380" s="377">
        <f t="shared" si="28"/>
        <v>0</v>
      </c>
      <c r="M380" s="377">
        <f t="shared" si="29"/>
        <v>0</v>
      </c>
      <c r="N380" s="377">
        <f t="shared" si="30"/>
        <v>0</v>
      </c>
    </row>
    <row r="381" spans="1:14" s="1" customFormat="1" ht="12.75">
      <c r="A381" s="1" t="str">
        <f>CONCATENATE(C381,H381)</f>
        <v>1172</v>
      </c>
      <c r="B381" s="374" t="s">
        <v>297</v>
      </c>
      <c r="C381" s="3">
        <v>117</v>
      </c>
      <c r="D381" s="373" t="s">
        <v>22</v>
      </c>
      <c r="E381" s="378" t="s">
        <v>183</v>
      </c>
      <c r="F381" s="374" t="s">
        <v>1173</v>
      </c>
      <c r="G381" s="374" t="s">
        <v>1289</v>
      </c>
      <c r="H381" s="375">
        <v>2</v>
      </c>
      <c r="I381" s="379">
        <f>(9.35+1.95)*2.25</f>
        <v>25.424999999999997</v>
      </c>
      <c r="J381" s="376" t="s">
        <v>1171</v>
      </c>
      <c r="K381" s="376"/>
      <c r="L381" s="377">
        <f t="shared" si="28"/>
        <v>0</v>
      </c>
      <c r="M381" s="377">
        <f t="shared" si="29"/>
        <v>0</v>
      </c>
      <c r="N381" s="377">
        <f t="shared" si="30"/>
        <v>0</v>
      </c>
    </row>
    <row r="382" spans="1:14" s="1" customFormat="1" ht="12.75">
      <c r="B382" s="374" t="s">
        <v>297</v>
      </c>
      <c r="C382" s="3">
        <v>117</v>
      </c>
      <c r="D382" s="373" t="s">
        <v>22</v>
      </c>
      <c r="E382" s="4"/>
      <c r="F382" s="374" t="s">
        <v>1170</v>
      </c>
      <c r="G382" s="374" t="s">
        <v>1994</v>
      </c>
      <c r="H382" s="375">
        <v>2</v>
      </c>
      <c r="I382" s="379">
        <v>4.38</v>
      </c>
      <c r="J382" s="376" t="s">
        <v>1171</v>
      </c>
      <c r="K382" s="376"/>
      <c r="L382" s="377">
        <f t="shared" si="28"/>
        <v>0</v>
      </c>
      <c r="M382" s="377">
        <f t="shared" si="29"/>
        <v>0</v>
      </c>
      <c r="N382" s="377">
        <f t="shared" si="30"/>
        <v>0</v>
      </c>
    </row>
    <row r="383" spans="1:14" s="1" customFormat="1" ht="12.75">
      <c r="B383" s="374" t="s">
        <v>297</v>
      </c>
      <c r="C383" s="3">
        <v>117</v>
      </c>
      <c r="D383" s="373" t="s">
        <v>22</v>
      </c>
      <c r="E383" s="4"/>
      <c r="F383" s="374" t="s">
        <v>1173</v>
      </c>
      <c r="G383" s="374" t="s">
        <v>1994</v>
      </c>
      <c r="H383" s="375">
        <v>2</v>
      </c>
      <c r="I383" s="379">
        <v>4.38</v>
      </c>
      <c r="J383" s="376" t="s">
        <v>1171</v>
      </c>
      <c r="K383" s="376"/>
      <c r="L383" s="377">
        <f t="shared" si="28"/>
        <v>0</v>
      </c>
      <c r="M383" s="377">
        <f t="shared" si="29"/>
        <v>0</v>
      </c>
      <c r="N383" s="377">
        <f t="shared" si="30"/>
        <v>0</v>
      </c>
    </row>
    <row r="384" spans="1:14" s="1" customFormat="1" ht="12.75">
      <c r="A384" s="1" t="str">
        <f t="shared" ref="A384:A415" si="32">CONCATENATE(C384,H384)</f>
        <v>1172</v>
      </c>
      <c r="B384" s="374" t="s">
        <v>297</v>
      </c>
      <c r="C384" s="3">
        <v>117</v>
      </c>
      <c r="D384" s="373" t="s">
        <v>22</v>
      </c>
      <c r="E384" s="378" t="s">
        <v>231</v>
      </c>
      <c r="F384" s="374" t="s">
        <v>1170</v>
      </c>
      <c r="G384" s="374" t="s">
        <v>1290</v>
      </c>
      <c r="H384" s="375">
        <v>2</v>
      </c>
      <c r="I384" s="379">
        <v>19.88</v>
      </c>
      <c r="J384" s="376" t="s">
        <v>1171</v>
      </c>
      <c r="K384" s="376"/>
      <c r="L384" s="377">
        <f t="shared" si="28"/>
        <v>0</v>
      </c>
      <c r="M384" s="377">
        <f t="shared" si="29"/>
        <v>0</v>
      </c>
      <c r="N384" s="377">
        <f t="shared" si="30"/>
        <v>0</v>
      </c>
    </row>
    <row r="385" spans="1:14" s="1" customFormat="1" ht="12.75">
      <c r="A385" s="1" t="str">
        <f t="shared" si="32"/>
        <v>1172</v>
      </c>
      <c r="B385" s="374" t="s">
        <v>297</v>
      </c>
      <c r="C385" s="3">
        <v>117</v>
      </c>
      <c r="D385" s="373" t="s">
        <v>22</v>
      </c>
      <c r="E385" s="378" t="s">
        <v>231</v>
      </c>
      <c r="F385" s="374" t="s">
        <v>1173</v>
      </c>
      <c r="G385" s="374" t="s">
        <v>1290</v>
      </c>
      <c r="H385" s="375">
        <v>2</v>
      </c>
      <c r="I385" s="379">
        <v>19.88</v>
      </c>
      <c r="J385" s="376" t="s">
        <v>1171</v>
      </c>
      <c r="K385" s="376"/>
      <c r="L385" s="377">
        <f t="shared" si="28"/>
        <v>0</v>
      </c>
      <c r="M385" s="377">
        <f t="shared" si="29"/>
        <v>0</v>
      </c>
      <c r="N385" s="377">
        <f t="shared" si="30"/>
        <v>0</v>
      </c>
    </row>
    <row r="386" spans="1:14" s="1" customFormat="1" ht="12.75">
      <c r="A386" s="1" t="str">
        <f t="shared" si="32"/>
        <v>11726</v>
      </c>
      <c r="B386" s="374" t="s">
        <v>1318</v>
      </c>
      <c r="C386" s="3">
        <v>117</v>
      </c>
      <c r="D386" s="373" t="s">
        <v>22</v>
      </c>
      <c r="E386" s="4"/>
      <c r="F386" s="374" t="s">
        <v>1172</v>
      </c>
      <c r="G386" s="374" t="s">
        <v>1320</v>
      </c>
      <c r="H386" s="375">
        <v>26</v>
      </c>
      <c r="I386" s="379">
        <v>23.8</v>
      </c>
      <c r="J386" s="376" t="s">
        <v>1171</v>
      </c>
      <c r="K386" s="376" t="s">
        <v>1321</v>
      </c>
      <c r="L386" s="377">
        <f t="shared" si="28"/>
        <v>0</v>
      </c>
      <c r="M386" s="377">
        <f t="shared" si="29"/>
        <v>0</v>
      </c>
      <c r="N386" s="377">
        <f t="shared" si="30"/>
        <v>0</v>
      </c>
    </row>
    <row r="387" spans="1:14" s="1" customFormat="1" ht="12.75">
      <c r="A387" s="1" t="str">
        <f t="shared" si="32"/>
        <v>1182</v>
      </c>
      <c r="B387" s="374" t="s">
        <v>198</v>
      </c>
      <c r="C387" s="3">
        <v>118</v>
      </c>
      <c r="D387" s="373" t="s">
        <v>22</v>
      </c>
      <c r="E387" s="378" t="s">
        <v>63</v>
      </c>
      <c r="F387" s="374" t="s">
        <v>1170</v>
      </c>
      <c r="G387" s="374" t="s">
        <v>1274</v>
      </c>
      <c r="H387" s="375">
        <v>2</v>
      </c>
      <c r="I387" s="379">
        <f>+(7.9+3.2)*2.8+(4.8+1+2.1+2.1)*2.8-2</f>
        <v>57.08</v>
      </c>
      <c r="J387" s="376" t="s">
        <v>1171</v>
      </c>
      <c r="K387" s="376"/>
      <c r="L387" s="377">
        <f t="shared" si="28"/>
        <v>0</v>
      </c>
      <c r="M387" s="377">
        <f t="shared" si="29"/>
        <v>0</v>
      </c>
      <c r="N387" s="377">
        <f t="shared" si="30"/>
        <v>0</v>
      </c>
    </row>
    <row r="388" spans="1:14" s="1" customFormat="1" ht="12.75">
      <c r="A388" s="1" t="str">
        <f t="shared" si="32"/>
        <v>1182</v>
      </c>
      <c r="B388" s="374" t="s">
        <v>198</v>
      </c>
      <c r="C388" s="3">
        <v>118</v>
      </c>
      <c r="D388" s="373" t="s">
        <v>22</v>
      </c>
      <c r="E388" s="378" t="s">
        <v>63</v>
      </c>
      <c r="F388" s="374" t="s">
        <v>1173</v>
      </c>
      <c r="G388" s="374" t="s">
        <v>1274</v>
      </c>
      <c r="H388" s="375">
        <v>2</v>
      </c>
      <c r="I388" s="379">
        <f>+(7.9+3.2)*2.8+(4.8+1+2.1+2.1)*2.8-2</f>
        <v>57.08</v>
      </c>
      <c r="J388" s="376" t="s">
        <v>1171</v>
      </c>
      <c r="K388" s="376"/>
      <c r="L388" s="377">
        <f t="shared" si="28"/>
        <v>0</v>
      </c>
      <c r="M388" s="377">
        <f t="shared" si="29"/>
        <v>0</v>
      </c>
      <c r="N388" s="377">
        <f t="shared" si="30"/>
        <v>0</v>
      </c>
    </row>
    <row r="389" spans="1:14" s="1" customFormat="1" ht="12.75">
      <c r="A389" s="1" t="str">
        <f t="shared" si="32"/>
        <v>1182</v>
      </c>
      <c r="B389" s="374" t="s">
        <v>198</v>
      </c>
      <c r="C389" s="3">
        <v>118</v>
      </c>
      <c r="D389" s="373" t="s">
        <v>22</v>
      </c>
      <c r="E389" s="378" t="s">
        <v>207</v>
      </c>
      <c r="F389" s="374" t="s">
        <v>1170</v>
      </c>
      <c r="G389" s="374" t="s">
        <v>1291</v>
      </c>
      <c r="H389" s="375">
        <v>2</v>
      </c>
      <c r="I389" s="379">
        <f>0.35*1.35+1.3*1.3+1.4*1.3+(1.8*0.75)*0.5</f>
        <v>4.6574999999999998</v>
      </c>
      <c r="J389" s="376" t="s">
        <v>1171</v>
      </c>
      <c r="K389" s="376"/>
      <c r="L389" s="377">
        <f t="shared" si="28"/>
        <v>0</v>
      </c>
      <c r="M389" s="377">
        <f t="shared" si="29"/>
        <v>0</v>
      </c>
      <c r="N389" s="377">
        <f t="shared" si="30"/>
        <v>0</v>
      </c>
    </row>
    <row r="390" spans="1:14" s="1" customFormat="1" ht="12.75">
      <c r="A390" s="1" t="str">
        <f t="shared" si="32"/>
        <v>1182</v>
      </c>
      <c r="B390" s="374" t="s">
        <v>198</v>
      </c>
      <c r="C390" s="3">
        <v>118</v>
      </c>
      <c r="D390" s="373" t="s">
        <v>22</v>
      </c>
      <c r="E390" s="378" t="s">
        <v>207</v>
      </c>
      <c r="F390" s="374" t="s">
        <v>1173</v>
      </c>
      <c r="G390" s="374" t="s">
        <v>1291</v>
      </c>
      <c r="H390" s="375">
        <v>2</v>
      </c>
      <c r="I390" s="379">
        <f>0.35*1.35+1.3*1.3+1.4*1.3+(1.8*0.75)*0.5</f>
        <v>4.6574999999999998</v>
      </c>
      <c r="J390" s="376" t="s">
        <v>1171</v>
      </c>
      <c r="K390" s="376"/>
      <c r="L390" s="377">
        <f t="shared" si="28"/>
        <v>0</v>
      </c>
      <c r="M390" s="377">
        <f t="shared" si="29"/>
        <v>0</v>
      </c>
      <c r="N390" s="377">
        <f t="shared" si="30"/>
        <v>0</v>
      </c>
    </row>
    <row r="391" spans="1:14" s="1" customFormat="1" ht="12.75">
      <c r="A391" s="1" t="str">
        <f t="shared" si="32"/>
        <v>1182</v>
      </c>
      <c r="B391" s="374" t="s">
        <v>198</v>
      </c>
      <c r="C391" s="3">
        <v>118</v>
      </c>
      <c r="D391" s="373" t="s">
        <v>22</v>
      </c>
      <c r="E391" s="378" t="s">
        <v>63</v>
      </c>
      <c r="F391" s="374" t="s">
        <v>1231</v>
      </c>
      <c r="G391" s="374" t="s">
        <v>1232</v>
      </c>
      <c r="H391" s="375">
        <v>2</v>
      </c>
      <c r="I391" s="379">
        <f>6.6*3.4</f>
        <v>22.439999999999998</v>
      </c>
      <c r="J391" s="376" t="s">
        <v>1171</v>
      </c>
      <c r="K391" s="376" t="s">
        <v>1233</v>
      </c>
      <c r="L391" s="377">
        <f t="shared" si="28"/>
        <v>0</v>
      </c>
      <c r="M391" s="377">
        <f t="shared" si="29"/>
        <v>0</v>
      </c>
      <c r="N391" s="377">
        <f t="shared" si="30"/>
        <v>0</v>
      </c>
    </row>
    <row r="392" spans="1:14" s="1" customFormat="1" ht="12.75">
      <c r="A392" s="1" t="str">
        <f t="shared" si="32"/>
        <v>1182</v>
      </c>
      <c r="B392" s="374" t="s">
        <v>198</v>
      </c>
      <c r="C392" s="3">
        <v>118</v>
      </c>
      <c r="D392" s="373" t="s">
        <v>22</v>
      </c>
      <c r="E392" s="378" t="s">
        <v>63</v>
      </c>
      <c r="F392" s="374" t="s">
        <v>1231</v>
      </c>
      <c r="G392" s="374" t="s">
        <v>1234</v>
      </c>
      <c r="H392" s="375">
        <v>2</v>
      </c>
      <c r="I392" s="379">
        <f>6.6*2.45</f>
        <v>16.170000000000002</v>
      </c>
      <c r="J392" s="376" t="s">
        <v>1174</v>
      </c>
      <c r="K392" s="376" t="s">
        <v>1233</v>
      </c>
      <c r="L392" s="377">
        <f t="shared" si="28"/>
        <v>0</v>
      </c>
      <c r="M392" s="377">
        <f t="shared" si="29"/>
        <v>0</v>
      </c>
      <c r="N392" s="377">
        <f t="shared" si="30"/>
        <v>0</v>
      </c>
    </row>
    <row r="393" spans="1:14" s="1" customFormat="1" ht="12.75">
      <c r="A393" s="1" t="str">
        <f t="shared" si="32"/>
        <v>1182</v>
      </c>
      <c r="B393" s="374" t="s">
        <v>198</v>
      </c>
      <c r="C393" s="3">
        <v>118</v>
      </c>
      <c r="D393" s="373" t="s">
        <v>22</v>
      </c>
      <c r="E393" s="378" t="s">
        <v>63</v>
      </c>
      <c r="F393" s="374" t="s">
        <v>1170</v>
      </c>
      <c r="G393" s="374" t="s">
        <v>1292</v>
      </c>
      <c r="H393" s="375">
        <v>2</v>
      </c>
      <c r="I393" s="379">
        <f>6*2.5*2</f>
        <v>30</v>
      </c>
      <c r="J393" s="376" t="s">
        <v>1174</v>
      </c>
      <c r="K393" s="376"/>
      <c r="L393" s="377">
        <f t="shared" si="28"/>
        <v>0</v>
      </c>
      <c r="M393" s="377">
        <f t="shared" si="29"/>
        <v>0</v>
      </c>
      <c r="N393" s="377">
        <f t="shared" si="30"/>
        <v>0</v>
      </c>
    </row>
    <row r="394" spans="1:14" s="1" customFormat="1" ht="12.75">
      <c r="A394" s="1" t="str">
        <f t="shared" si="32"/>
        <v>1182</v>
      </c>
      <c r="B394" s="374" t="s">
        <v>198</v>
      </c>
      <c r="C394" s="3">
        <v>118</v>
      </c>
      <c r="D394" s="373" t="s">
        <v>22</v>
      </c>
      <c r="E394" s="378" t="s">
        <v>63</v>
      </c>
      <c r="F394" s="374" t="s">
        <v>1173</v>
      </c>
      <c r="G394" s="374" t="s">
        <v>1292</v>
      </c>
      <c r="H394" s="375">
        <v>2</v>
      </c>
      <c r="I394" s="379">
        <f>6*2.5*2</f>
        <v>30</v>
      </c>
      <c r="J394" s="376" t="s">
        <v>1171</v>
      </c>
      <c r="K394" s="376"/>
      <c r="L394" s="377">
        <f t="shared" si="28"/>
        <v>0</v>
      </c>
      <c r="M394" s="377">
        <f t="shared" si="29"/>
        <v>0</v>
      </c>
      <c r="N394" s="377">
        <f t="shared" si="30"/>
        <v>0</v>
      </c>
    </row>
    <row r="395" spans="1:14" s="1" customFormat="1" ht="12.75">
      <c r="A395" s="1" t="str">
        <f t="shared" si="32"/>
        <v>1182</v>
      </c>
      <c r="B395" s="374" t="s">
        <v>198</v>
      </c>
      <c r="C395" s="3">
        <v>118</v>
      </c>
      <c r="D395" s="373" t="s">
        <v>22</v>
      </c>
      <c r="E395" s="378" t="s">
        <v>15</v>
      </c>
      <c r="F395" s="374" t="s">
        <v>1170</v>
      </c>
      <c r="G395" s="374" t="s">
        <v>1293</v>
      </c>
      <c r="H395" s="375">
        <v>2</v>
      </c>
      <c r="I395" s="379">
        <f>0.95*2.15*2</f>
        <v>4.085</v>
      </c>
      <c r="J395" s="376" t="s">
        <v>1174</v>
      </c>
      <c r="K395" s="376"/>
      <c r="L395" s="377">
        <f t="shared" si="28"/>
        <v>0</v>
      </c>
      <c r="M395" s="377">
        <f t="shared" si="29"/>
        <v>0</v>
      </c>
      <c r="N395" s="377">
        <f t="shared" si="30"/>
        <v>0</v>
      </c>
    </row>
    <row r="396" spans="1:14" s="1" customFormat="1" ht="12.75">
      <c r="A396" s="1" t="str">
        <f t="shared" si="32"/>
        <v>1182</v>
      </c>
      <c r="B396" s="374" t="s">
        <v>198</v>
      </c>
      <c r="C396" s="3">
        <v>118</v>
      </c>
      <c r="D396" s="373" t="s">
        <v>22</v>
      </c>
      <c r="E396" s="378" t="s">
        <v>15</v>
      </c>
      <c r="F396" s="374" t="s">
        <v>1173</v>
      </c>
      <c r="G396" s="374" t="s">
        <v>1293</v>
      </c>
      <c r="H396" s="375">
        <v>2</v>
      </c>
      <c r="I396" s="379">
        <f>0.95*2.15*2</f>
        <v>4.085</v>
      </c>
      <c r="J396" s="376" t="s">
        <v>1171</v>
      </c>
      <c r="K396" s="376"/>
      <c r="L396" s="377">
        <f t="shared" si="28"/>
        <v>0</v>
      </c>
      <c r="M396" s="377">
        <f t="shared" si="29"/>
        <v>0</v>
      </c>
      <c r="N396" s="377">
        <f t="shared" si="30"/>
        <v>0</v>
      </c>
    </row>
    <row r="397" spans="1:14" s="1" customFormat="1" ht="12.75">
      <c r="A397" s="1" t="str">
        <f t="shared" si="32"/>
        <v>1182</v>
      </c>
      <c r="B397" s="374" t="s">
        <v>198</v>
      </c>
      <c r="C397" s="3">
        <v>118</v>
      </c>
      <c r="D397" s="373" t="s">
        <v>22</v>
      </c>
      <c r="E397" s="378" t="s">
        <v>63</v>
      </c>
      <c r="F397" s="374" t="s">
        <v>1181</v>
      </c>
      <c r="G397" s="374" t="s">
        <v>1294</v>
      </c>
      <c r="H397" s="375">
        <v>2</v>
      </c>
      <c r="I397" s="379">
        <f>+(1.35+0.65)*12</f>
        <v>24</v>
      </c>
      <c r="J397" s="376" t="s">
        <v>1174</v>
      </c>
      <c r="K397" s="376" t="s">
        <v>1238</v>
      </c>
      <c r="L397" s="377">
        <f t="shared" si="28"/>
        <v>0</v>
      </c>
      <c r="M397" s="377">
        <f t="shared" si="29"/>
        <v>0</v>
      </c>
      <c r="N397" s="377">
        <f t="shared" si="30"/>
        <v>0</v>
      </c>
    </row>
    <row r="398" spans="1:14" s="1" customFormat="1" ht="12.75">
      <c r="A398" s="1" t="str">
        <f t="shared" si="32"/>
        <v>1182</v>
      </c>
      <c r="B398" s="374" t="s">
        <v>198</v>
      </c>
      <c r="C398" s="3">
        <v>118</v>
      </c>
      <c r="D398" s="373" t="s">
        <v>22</v>
      </c>
      <c r="E398" s="378" t="s">
        <v>63</v>
      </c>
      <c r="F398" s="374" t="s">
        <v>1179</v>
      </c>
      <c r="G398" s="374" t="s">
        <v>1294</v>
      </c>
      <c r="H398" s="375">
        <v>2</v>
      </c>
      <c r="I398" s="379">
        <f>+(1.35+0.65)*12</f>
        <v>24</v>
      </c>
      <c r="J398" s="376" t="s">
        <v>1171</v>
      </c>
      <c r="K398" s="376" t="s">
        <v>1238</v>
      </c>
      <c r="L398" s="377">
        <f t="shared" si="28"/>
        <v>0</v>
      </c>
      <c r="M398" s="377">
        <f t="shared" si="29"/>
        <v>0</v>
      </c>
      <c r="N398" s="377">
        <f t="shared" si="30"/>
        <v>0</v>
      </c>
    </row>
    <row r="399" spans="1:14" s="1" customFormat="1" ht="12.75">
      <c r="A399" s="1" t="str">
        <f t="shared" si="32"/>
        <v>1182</v>
      </c>
      <c r="B399" s="374" t="s">
        <v>198</v>
      </c>
      <c r="C399" s="3">
        <v>118</v>
      </c>
      <c r="D399" s="373" t="s">
        <v>22</v>
      </c>
      <c r="E399" s="378" t="s">
        <v>63</v>
      </c>
      <c r="F399" s="374" t="s">
        <v>1182</v>
      </c>
      <c r="G399" s="374" t="s">
        <v>1295</v>
      </c>
      <c r="H399" s="375">
        <v>2</v>
      </c>
      <c r="I399" s="379">
        <v>9.8000000000000007</v>
      </c>
      <c r="J399" s="376" t="s">
        <v>1171</v>
      </c>
      <c r="K399" s="376"/>
      <c r="L399" s="377">
        <f t="shared" si="28"/>
        <v>0</v>
      </c>
      <c r="M399" s="377">
        <f t="shared" si="29"/>
        <v>0</v>
      </c>
      <c r="N399" s="377">
        <f t="shared" si="30"/>
        <v>0</v>
      </c>
    </row>
    <row r="400" spans="1:14" s="1" customFormat="1" ht="12.75">
      <c r="A400" s="1" t="str">
        <f t="shared" si="32"/>
        <v>1182</v>
      </c>
      <c r="B400" s="374" t="s">
        <v>198</v>
      </c>
      <c r="C400" s="3">
        <v>118</v>
      </c>
      <c r="D400" s="373" t="s">
        <v>22</v>
      </c>
      <c r="E400" s="378" t="s">
        <v>63</v>
      </c>
      <c r="F400" s="374" t="s">
        <v>1184</v>
      </c>
      <c r="G400" s="374" t="s">
        <v>1295</v>
      </c>
      <c r="H400" s="375">
        <v>2</v>
      </c>
      <c r="I400" s="379">
        <v>9.8000000000000007</v>
      </c>
      <c r="J400" s="376" t="s">
        <v>1171</v>
      </c>
      <c r="K400" s="376"/>
      <c r="L400" s="377">
        <f t="shared" si="28"/>
        <v>0</v>
      </c>
      <c r="M400" s="377">
        <f t="shared" si="29"/>
        <v>0</v>
      </c>
      <c r="N400" s="377">
        <f t="shared" si="30"/>
        <v>0</v>
      </c>
    </row>
    <row r="401" spans="1:14" s="1" customFormat="1" ht="12.75">
      <c r="A401" s="1" t="str">
        <f t="shared" si="32"/>
        <v>1182</v>
      </c>
      <c r="B401" s="374" t="s">
        <v>198</v>
      </c>
      <c r="C401" s="3">
        <v>118</v>
      </c>
      <c r="D401" s="373" t="s">
        <v>22</v>
      </c>
      <c r="E401" s="378" t="s">
        <v>63</v>
      </c>
      <c r="F401" s="374" t="s">
        <v>1185</v>
      </c>
      <c r="G401" s="374" t="s">
        <v>1227</v>
      </c>
      <c r="H401" s="375">
        <v>2</v>
      </c>
      <c r="I401" s="379">
        <v>1.92</v>
      </c>
      <c r="J401" s="376" t="s">
        <v>1171</v>
      </c>
      <c r="K401" s="376"/>
      <c r="L401" s="377">
        <f t="shared" ref="L401:L464" si="33">IF(J401="ja",VLOOKUP(F401,Glassoort2,2,0))*I401</f>
        <v>0</v>
      </c>
      <c r="M401" s="377">
        <f t="shared" ref="M401:M464" si="34">IF(J401="nee",VLOOKUP(F401,Glassoort2,3,0))*I401</f>
        <v>0</v>
      </c>
      <c r="N401" s="377">
        <f t="shared" si="30"/>
        <v>0</v>
      </c>
    </row>
    <row r="402" spans="1:14" s="1" customFormat="1" ht="12.75">
      <c r="A402" s="1" t="str">
        <f t="shared" si="32"/>
        <v>1182</v>
      </c>
      <c r="B402" s="374" t="s">
        <v>198</v>
      </c>
      <c r="C402" s="3">
        <v>118</v>
      </c>
      <c r="D402" s="373" t="s">
        <v>22</v>
      </c>
      <c r="E402" s="378" t="s">
        <v>63</v>
      </c>
      <c r="F402" s="374" t="s">
        <v>1187</v>
      </c>
      <c r="G402" s="374" t="s">
        <v>1227</v>
      </c>
      <c r="H402" s="375">
        <v>2</v>
      </c>
      <c r="I402" s="379">
        <v>1.92</v>
      </c>
      <c r="J402" s="376" t="s">
        <v>1171</v>
      </c>
      <c r="K402" s="376"/>
      <c r="L402" s="377">
        <f t="shared" si="33"/>
        <v>0</v>
      </c>
      <c r="M402" s="377">
        <f t="shared" si="34"/>
        <v>0</v>
      </c>
      <c r="N402" s="377">
        <f t="shared" ref="N402:N465" si="35">(M402*H402)+(L402*H402)</f>
        <v>0</v>
      </c>
    </row>
    <row r="403" spans="1:14" s="1" customFormat="1" ht="12.75">
      <c r="A403" s="1" t="str">
        <f t="shared" si="32"/>
        <v>11812</v>
      </c>
      <c r="B403" s="374" t="s">
        <v>198</v>
      </c>
      <c r="C403" s="3">
        <v>118</v>
      </c>
      <c r="D403" s="373" t="s">
        <v>22</v>
      </c>
      <c r="E403" s="378" t="s">
        <v>15</v>
      </c>
      <c r="F403" s="374" t="s">
        <v>1172</v>
      </c>
      <c r="G403" s="374" t="s">
        <v>1296</v>
      </c>
      <c r="H403" s="375">
        <v>12</v>
      </c>
      <c r="I403" s="379">
        <f>1.2*1*0.5*2</f>
        <v>1.2</v>
      </c>
      <c r="J403" s="376" t="s">
        <v>1171</v>
      </c>
      <c r="K403" s="376"/>
      <c r="L403" s="377">
        <f t="shared" si="33"/>
        <v>0</v>
      </c>
      <c r="M403" s="377">
        <f t="shared" si="34"/>
        <v>0</v>
      </c>
      <c r="N403" s="377">
        <f t="shared" si="35"/>
        <v>0</v>
      </c>
    </row>
    <row r="404" spans="1:14" s="1" customFormat="1" ht="12.75">
      <c r="A404" s="1" t="str">
        <f t="shared" si="32"/>
        <v>11826</v>
      </c>
      <c r="B404" s="374" t="s">
        <v>1319</v>
      </c>
      <c r="C404" s="3">
        <v>118</v>
      </c>
      <c r="D404" s="373" t="s">
        <v>22</v>
      </c>
      <c r="E404" s="4"/>
      <c r="F404" s="374" t="s">
        <v>1172</v>
      </c>
      <c r="G404" s="374" t="s">
        <v>1320</v>
      </c>
      <c r="H404" s="375">
        <v>26</v>
      </c>
      <c r="I404" s="379">
        <v>13.6</v>
      </c>
      <c r="J404" s="376" t="s">
        <v>1171</v>
      </c>
      <c r="K404" s="376" t="s">
        <v>1321</v>
      </c>
      <c r="L404" s="377">
        <f t="shared" si="33"/>
        <v>0</v>
      </c>
      <c r="M404" s="377">
        <f t="shared" si="34"/>
        <v>0</v>
      </c>
      <c r="N404" s="377">
        <f t="shared" si="35"/>
        <v>0</v>
      </c>
    </row>
    <row r="405" spans="1:14" s="1" customFormat="1" ht="12.75">
      <c r="A405" s="1" t="str">
        <f t="shared" si="32"/>
        <v>1192</v>
      </c>
      <c r="B405" s="374" t="s">
        <v>311</v>
      </c>
      <c r="C405" s="3">
        <v>119</v>
      </c>
      <c r="D405" s="373" t="s">
        <v>22</v>
      </c>
      <c r="E405" s="378" t="s">
        <v>310</v>
      </c>
      <c r="F405" s="374" t="s">
        <v>1179</v>
      </c>
      <c r="G405" s="374" t="s">
        <v>1297</v>
      </c>
      <c r="H405" s="375">
        <v>2</v>
      </c>
      <c r="I405" s="379">
        <f>+(5.3+5.3)*(3.5*24)</f>
        <v>890.4</v>
      </c>
      <c r="J405" s="376" t="s">
        <v>1171</v>
      </c>
      <c r="K405" s="376"/>
      <c r="L405" s="377">
        <f t="shared" si="33"/>
        <v>0</v>
      </c>
      <c r="M405" s="377">
        <f t="shared" si="34"/>
        <v>0</v>
      </c>
      <c r="N405" s="377">
        <f t="shared" si="35"/>
        <v>0</v>
      </c>
    </row>
    <row r="406" spans="1:14" s="1" customFormat="1" ht="12.75">
      <c r="A406" s="1" t="str">
        <f t="shared" si="32"/>
        <v>1192</v>
      </c>
      <c r="B406" s="374" t="s">
        <v>311</v>
      </c>
      <c r="C406" s="3">
        <v>119</v>
      </c>
      <c r="D406" s="373" t="s">
        <v>22</v>
      </c>
      <c r="E406" s="378" t="s">
        <v>310</v>
      </c>
      <c r="F406" s="374" t="s">
        <v>1179</v>
      </c>
      <c r="G406" s="374" t="s">
        <v>1298</v>
      </c>
      <c r="H406" s="375">
        <v>2</v>
      </c>
      <c r="I406" s="379">
        <f>+(2.5+2.5)*(3.5*24)</f>
        <v>420</v>
      </c>
      <c r="J406" s="376" t="s">
        <v>1174</v>
      </c>
      <c r="K406" s="376"/>
      <c r="L406" s="377">
        <f t="shared" si="33"/>
        <v>0</v>
      </c>
      <c r="M406" s="377">
        <f t="shared" si="34"/>
        <v>0</v>
      </c>
      <c r="N406" s="377">
        <f t="shared" si="35"/>
        <v>0</v>
      </c>
    </row>
    <row r="407" spans="1:14" s="1" customFormat="1" ht="12.75">
      <c r="A407" s="1" t="str">
        <f t="shared" si="32"/>
        <v>1192</v>
      </c>
      <c r="B407" s="374" t="s">
        <v>311</v>
      </c>
      <c r="C407" s="3">
        <v>119</v>
      </c>
      <c r="D407" s="373" t="s">
        <v>22</v>
      </c>
      <c r="E407" s="378" t="s">
        <v>310</v>
      </c>
      <c r="F407" s="374" t="s">
        <v>1181</v>
      </c>
      <c r="G407" s="374" t="s">
        <v>1297</v>
      </c>
      <c r="H407" s="375">
        <v>2</v>
      </c>
      <c r="I407" s="379">
        <f>+(2.5+5.3+5.3+2.5)*(3.5*24)</f>
        <v>1310.3999999999999</v>
      </c>
      <c r="J407" s="376" t="s">
        <v>1171</v>
      </c>
      <c r="K407" s="376"/>
      <c r="L407" s="377">
        <f t="shared" si="33"/>
        <v>0</v>
      </c>
      <c r="M407" s="377">
        <f t="shared" si="34"/>
        <v>0</v>
      </c>
      <c r="N407" s="377">
        <f t="shared" si="35"/>
        <v>0</v>
      </c>
    </row>
    <row r="408" spans="1:14" s="1" customFormat="1" ht="12.75">
      <c r="A408" s="1" t="str">
        <f t="shared" si="32"/>
        <v>1192</v>
      </c>
      <c r="B408" s="374" t="s">
        <v>311</v>
      </c>
      <c r="C408" s="3">
        <v>119</v>
      </c>
      <c r="D408" s="373" t="s">
        <v>22</v>
      </c>
      <c r="E408" s="378" t="s">
        <v>310</v>
      </c>
      <c r="F408" s="374" t="s">
        <v>1172</v>
      </c>
      <c r="G408" s="374" t="s">
        <v>1299</v>
      </c>
      <c r="H408" s="375">
        <v>2</v>
      </c>
      <c r="I408" s="379">
        <f>2.6*3.5*24*2*2</f>
        <v>873.59999999999991</v>
      </c>
      <c r="J408" s="376" t="s">
        <v>1174</v>
      </c>
      <c r="K408" s="376"/>
      <c r="L408" s="377">
        <f t="shared" si="33"/>
        <v>0</v>
      </c>
      <c r="M408" s="377">
        <f t="shared" si="34"/>
        <v>0</v>
      </c>
      <c r="N408" s="377">
        <f t="shared" si="35"/>
        <v>0</v>
      </c>
    </row>
    <row r="409" spans="1:14" s="1" customFormat="1" ht="12.75">
      <c r="A409" s="1" t="str">
        <f t="shared" si="32"/>
        <v>1192</v>
      </c>
      <c r="B409" s="374" t="s">
        <v>311</v>
      </c>
      <c r="C409" s="3">
        <v>119</v>
      </c>
      <c r="D409" s="373" t="s">
        <v>22</v>
      </c>
      <c r="E409" s="378" t="s">
        <v>310</v>
      </c>
      <c r="F409" s="374" t="s">
        <v>1172</v>
      </c>
      <c r="G409" s="374" t="s">
        <v>1300</v>
      </c>
      <c r="H409" s="375">
        <v>2</v>
      </c>
      <c r="I409" s="379">
        <f>2*10.6*1.3*2</f>
        <v>55.12</v>
      </c>
      <c r="J409" s="376" t="s">
        <v>1171</v>
      </c>
      <c r="K409" s="376"/>
      <c r="L409" s="377">
        <f t="shared" si="33"/>
        <v>0</v>
      </c>
      <c r="M409" s="377">
        <f t="shared" si="34"/>
        <v>0</v>
      </c>
      <c r="N409" s="377">
        <f t="shared" si="35"/>
        <v>0</v>
      </c>
    </row>
    <row r="410" spans="1:14" s="1" customFormat="1" ht="12.75">
      <c r="A410" s="1" t="str">
        <f t="shared" si="32"/>
        <v>1192</v>
      </c>
      <c r="B410" s="374" t="s">
        <v>311</v>
      </c>
      <c r="C410" s="3">
        <v>119</v>
      </c>
      <c r="D410" s="373" t="s">
        <v>22</v>
      </c>
      <c r="E410" s="378" t="s">
        <v>310</v>
      </c>
      <c r="F410" s="374" t="s">
        <v>1172</v>
      </c>
      <c r="G410" s="374" t="s">
        <v>1301</v>
      </c>
      <c r="H410" s="375">
        <v>2</v>
      </c>
      <c r="I410" s="379">
        <f>2*5*0.8*2</f>
        <v>16</v>
      </c>
      <c r="J410" s="376" t="s">
        <v>1174</v>
      </c>
      <c r="K410" s="376"/>
      <c r="L410" s="377">
        <f t="shared" si="33"/>
        <v>0</v>
      </c>
      <c r="M410" s="377">
        <f t="shared" si="34"/>
        <v>0</v>
      </c>
      <c r="N410" s="377">
        <f t="shared" si="35"/>
        <v>0</v>
      </c>
    </row>
    <row r="411" spans="1:14" s="1" customFormat="1" ht="12.75">
      <c r="A411" s="1" t="str">
        <f t="shared" si="32"/>
        <v>1192</v>
      </c>
      <c r="B411" s="374" t="s">
        <v>311</v>
      </c>
      <c r="C411" s="3">
        <v>119</v>
      </c>
      <c r="D411" s="373" t="s">
        <v>22</v>
      </c>
      <c r="E411" s="378" t="s">
        <v>63</v>
      </c>
      <c r="F411" s="374" t="s">
        <v>1170</v>
      </c>
      <c r="G411" s="374" t="s">
        <v>1302</v>
      </c>
      <c r="H411" s="375">
        <v>2</v>
      </c>
      <c r="I411" s="379">
        <f>13.75*8.7-2*2.7*2.3</f>
        <v>107.20499999999998</v>
      </c>
      <c r="J411" s="376" t="s">
        <v>1171</v>
      </c>
      <c r="K411" s="376"/>
      <c r="L411" s="377">
        <f t="shared" si="33"/>
        <v>0</v>
      </c>
      <c r="M411" s="377">
        <f t="shared" si="34"/>
        <v>0</v>
      </c>
      <c r="N411" s="377">
        <f t="shared" si="35"/>
        <v>0</v>
      </c>
    </row>
    <row r="412" spans="1:14" s="1" customFormat="1" ht="12.75">
      <c r="A412" s="1" t="str">
        <f t="shared" si="32"/>
        <v>1192</v>
      </c>
      <c r="B412" s="374" t="s">
        <v>311</v>
      </c>
      <c r="C412" s="3">
        <v>119</v>
      </c>
      <c r="D412" s="373" t="s">
        <v>22</v>
      </c>
      <c r="E412" s="378" t="s">
        <v>63</v>
      </c>
      <c r="F412" s="374" t="s">
        <v>1173</v>
      </c>
      <c r="G412" s="374" t="s">
        <v>1302</v>
      </c>
      <c r="H412" s="375">
        <v>2</v>
      </c>
      <c r="I412" s="379">
        <f>13.75*8.7-2*2.7*2.3</f>
        <v>107.20499999999998</v>
      </c>
      <c r="J412" s="376" t="s">
        <v>1171</v>
      </c>
      <c r="K412" s="376"/>
      <c r="L412" s="377">
        <f t="shared" si="33"/>
        <v>0</v>
      </c>
      <c r="M412" s="377">
        <f t="shared" si="34"/>
        <v>0</v>
      </c>
      <c r="N412" s="377">
        <f t="shared" si="35"/>
        <v>0</v>
      </c>
    </row>
    <row r="413" spans="1:14" s="1" customFormat="1" ht="12.75">
      <c r="A413" s="1" t="str">
        <f t="shared" si="32"/>
        <v>1192</v>
      </c>
      <c r="B413" s="374" t="s">
        <v>311</v>
      </c>
      <c r="C413" s="3">
        <v>119</v>
      </c>
      <c r="D413" s="373" t="s">
        <v>22</v>
      </c>
      <c r="E413" s="378" t="s">
        <v>63</v>
      </c>
      <c r="F413" s="374" t="s">
        <v>1170</v>
      </c>
      <c r="G413" s="374" t="s">
        <v>1303</v>
      </c>
      <c r="H413" s="375">
        <v>2</v>
      </c>
      <c r="I413" s="379">
        <f>+(6.6+7.8)*8.7*2+13*8.7+6*3.8*0.5*2+6*1+12*8.7+3.2*8.7</f>
        <v>524.69999999999993</v>
      </c>
      <c r="J413" s="376" t="s">
        <v>1171</v>
      </c>
      <c r="K413" s="376"/>
      <c r="L413" s="377">
        <f t="shared" si="33"/>
        <v>0</v>
      </c>
      <c r="M413" s="377">
        <f t="shared" si="34"/>
        <v>0</v>
      </c>
      <c r="N413" s="377">
        <f t="shared" si="35"/>
        <v>0</v>
      </c>
    </row>
    <row r="414" spans="1:14" s="1" customFormat="1" ht="12.75">
      <c r="A414" s="1" t="str">
        <f t="shared" si="32"/>
        <v>1192</v>
      </c>
      <c r="B414" s="374" t="s">
        <v>311</v>
      </c>
      <c r="C414" s="3">
        <v>119</v>
      </c>
      <c r="D414" s="373" t="s">
        <v>22</v>
      </c>
      <c r="E414" s="378" t="s">
        <v>63</v>
      </c>
      <c r="F414" s="374" t="s">
        <v>1173</v>
      </c>
      <c r="G414" s="374" t="s">
        <v>1303</v>
      </c>
      <c r="H414" s="375">
        <v>2</v>
      </c>
      <c r="I414" s="379">
        <f>+(6.6+7.8)*8.7*2+6.5*8.7+25%*12*8.7+3.2*8.7</f>
        <v>361.04999999999995</v>
      </c>
      <c r="J414" s="376" t="s">
        <v>1171</v>
      </c>
      <c r="K414" s="376"/>
      <c r="L414" s="377">
        <f t="shared" si="33"/>
        <v>0</v>
      </c>
      <c r="M414" s="377">
        <f t="shared" si="34"/>
        <v>0</v>
      </c>
      <c r="N414" s="377">
        <f t="shared" si="35"/>
        <v>0</v>
      </c>
    </row>
    <row r="415" spans="1:14" s="1" customFormat="1" ht="12.75">
      <c r="A415" s="1" t="str">
        <f t="shared" si="32"/>
        <v>1192</v>
      </c>
      <c r="B415" s="374" t="s">
        <v>311</v>
      </c>
      <c r="C415" s="3">
        <v>119</v>
      </c>
      <c r="D415" s="373" t="s">
        <v>22</v>
      </c>
      <c r="E415" s="378" t="s">
        <v>63</v>
      </c>
      <c r="F415" s="374" t="s">
        <v>1184</v>
      </c>
      <c r="G415" s="374" t="s">
        <v>1304</v>
      </c>
      <c r="H415" s="375">
        <v>2</v>
      </c>
      <c r="I415" s="379">
        <f>25%*12*8.7+1.85*4.75+6.5*3.8+17.5*2.5+17.5*2+1.3*2</f>
        <v>140.93749999999997</v>
      </c>
      <c r="J415" s="376" t="s">
        <v>1171</v>
      </c>
      <c r="K415" s="376"/>
      <c r="L415" s="377">
        <f t="shared" si="33"/>
        <v>0</v>
      </c>
      <c r="M415" s="377">
        <f t="shared" si="34"/>
        <v>0</v>
      </c>
      <c r="N415" s="377">
        <f t="shared" si="35"/>
        <v>0</v>
      </c>
    </row>
    <row r="416" spans="1:14" s="1" customFormat="1" ht="12.75">
      <c r="A416" s="1" t="str">
        <f t="shared" ref="A416:A450" si="36">CONCATENATE(C416,H416)</f>
        <v>1192</v>
      </c>
      <c r="B416" s="374" t="s">
        <v>311</v>
      </c>
      <c r="C416" s="3">
        <v>119</v>
      </c>
      <c r="D416" s="373" t="s">
        <v>22</v>
      </c>
      <c r="E416" s="378" t="s">
        <v>63</v>
      </c>
      <c r="F416" s="374" t="s">
        <v>1182</v>
      </c>
      <c r="G416" s="374" t="s">
        <v>1304</v>
      </c>
      <c r="H416" s="375">
        <v>2</v>
      </c>
      <c r="I416" s="379">
        <f>25%*12*8.7+1.85*4.75+6.5*3.8+17.5*2.5+17.5*2+1.3*2</f>
        <v>140.93749999999997</v>
      </c>
      <c r="J416" s="376" t="s">
        <v>1171</v>
      </c>
      <c r="K416" s="376"/>
      <c r="L416" s="377">
        <f t="shared" si="33"/>
        <v>0</v>
      </c>
      <c r="M416" s="377">
        <f t="shared" si="34"/>
        <v>0</v>
      </c>
      <c r="N416" s="377">
        <f t="shared" si="35"/>
        <v>0</v>
      </c>
    </row>
    <row r="417" spans="1:14" s="1" customFormat="1" ht="12.75">
      <c r="A417" s="1" t="str">
        <f t="shared" si="36"/>
        <v>1192</v>
      </c>
      <c r="B417" s="374" t="s">
        <v>311</v>
      </c>
      <c r="C417" s="3">
        <v>119</v>
      </c>
      <c r="D417" s="373" t="s">
        <v>22</v>
      </c>
      <c r="E417" s="378" t="s">
        <v>63</v>
      </c>
      <c r="F417" s="374" t="s">
        <v>1172</v>
      </c>
      <c r="G417" s="374" t="s">
        <v>1305</v>
      </c>
      <c r="H417" s="375">
        <v>2</v>
      </c>
      <c r="I417" s="379">
        <f>+(18*9*50%+10.5*10+1.8*9)+1.5*2.3+3.6*2.7+2.5*9*2</f>
        <v>260.37</v>
      </c>
      <c r="J417" s="376" t="s">
        <v>1171</v>
      </c>
      <c r="K417" s="376"/>
      <c r="L417" s="377">
        <f t="shared" si="33"/>
        <v>0</v>
      </c>
      <c r="M417" s="377">
        <f t="shared" si="34"/>
        <v>0</v>
      </c>
      <c r="N417" s="377">
        <f t="shared" si="35"/>
        <v>0</v>
      </c>
    </row>
    <row r="418" spans="1:14" s="1" customFormat="1" ht="12.75">
      <c r="A418" s="1" t="str">
        <f t="shared" si="36"/>
        <v>1192</v>
      </c>
      <c r="B418" s="374" t="s">
        <v>311</v>
      </c>
      <c r="C418" s="3">
        <v>119</v>
      </c>
      <c r="D418" s="373" t="s">
        <v>22</v>
      </c>
      <c r="E418" s="378" t="s">
        <v>310</v>
      </c>
      <c r="F418" s="374" t="s">
        <v>1170</v>
      </c>
      <c r="G418" s="374" t="s">
        <v>1306</v>
      </c>
      <c r="H418" s="375">
        <v>2</v>
      </c>
      <c r="I418" s="379">
        <f>4.5*8.85*2</f>
        <v>79.649999999999991</v>
      </c>
      <c r="J418" s="376" t="s">
        <v>1174</v>
      </c>
      <c r="K418" s="376"/>
      <c r="L418" s="377">
        <f t="shared" si="33"/>
        <v>0</v>
      </c>
      <c r="M418" s="377">
        <f t="shared" si="34"/>
        <v>0</v>
      </c>
      <c r="N418" s="377">
        <f t="shared" si="35"/>
        <v>0</v>
      </c>
    </row>
    <row r="419" spans="1:14" s="1" customFormat="1" ht="12.75">
      <c r="A419" s="1" t="str">
        <f t="shared" si="36"/>
        <v>1192</v>
      </c>
      <c r="B419" s="374" t="s">
        <v>311</v>
      </c>
      <c r="C419" s="3">
        <v>119</v>
      </c>
      <c r="D419" s="373" t="s">
        <v>22</v>
      </c>
      <c r="E419" s="378" t="s">
        <v>310</v>
      </c>
      <c r="F419" s="374" t="s">
        <v>1173</v>
      </c>
      <c r="G419" s="374" t="s">
        <v>1306</v>
      </c>
      <c r="H419" s="375">
        <v>2</v>
      </c>
      <c r="I419" s="379">
        <f>4.5*8.85*2</f>
        <v>79.649999999999991</v>
      </c>
      <c r="J419" s="376" t="s">
        <v>1171</v>
      </c>
      <c r="K419" s="376"/>
      <c r="L419" s="377">
        <f t="shared" si="33"/>
        <v>0</v>
      </c>
      <c r="M419" s="377">
        <f t="shared" si="34"/>
        <v>0</v>
      </c>
      <c r="N419" s="377">
        <f t="shared" si="35"/>
        <v>0</v>
      </c>
    </row>
    <row r="420" spans="1:14" s="1" customFormat="1" ht="12.75">
      <c r="A420" s="1" t="str">
        <f t="shared" si="36"/>
        <v>1192</v>
      </c>
      <c r="B420" s="374" t="s">
        <v>311</v>
      </c>
      <c r="C420" s="3">
        <v>119</v>
      </c>
      <c r="D420" s="373" t="s">
        <v>22</v>
      </c>
      <c r="E420" s="378" t="s">
        <v>310</v>
      </c>
      <c r="F420" s="374" t="s">
        <v>1172</v>
      </c>
      <c r="G420" s="374" t="s">
        <v>1307</v>
      </c>
      <c r="H420" s="375">
        <v>2</v>
      </c>
      <c r="I420" s="379">
        <f>2*1.5*2.3*2</f>
        <v>13.799999999999999</v>
      </c>
      <c r="J420" s="376" t="s">
        <v>1171</v>
      </c>
      <c r="K420" s="376"/>
      <c r="L420" s="377">
        <f t="shared" si="33"/>
        <v>0</v>
      </c>
      <c r="M420" s="377">
        <f t="shared" si="34"/>
        <v>0</v>
      </c>
      <c r="N420" s="377">
        <f t="shared" si="35"/>
        <v>0</v>
      </c>
    </row>
    <row r="421" spans="1:14" s="1" customFormat="1" ht="12.75">
      <c r="A421" s="1" t="str">
        <f t="shared" si="36"/>
        <v>1192</v>
      </c>
      <c r="B421" s="374" t="s">
        <v>311</v>
      </c>
      <c r="C421" s="3">
        <v>119</v>
      </c>
      <c r="D421" s="373" t="s">
        <v>22</v>
      </c>
      <c r="E421" s="378" t="s">
        <v>310</v>
      </c>
      <c r="F421" s="374" t="s">
        <v>1179</v>
      </c>
      <c r="G421" s="374" t="s">
        <v>1308</v>
      </c>
      <c r="H421" s="375">
        <v>2</v>
      </c>
      <c r="I421" s="379">
        <f>2*5*2</f>
        <v>20</v>
      </c>
      <c r="J421" s="376" t="s">
        <v>1174</v>
      </c>
      <c r="K421" s="376"/>
      <c r="L421" s="377">
        <f t="shared" si="33"/>
        <v>0</v>
      </c>
      <c r="M421" s="377">
        <f t="shared" si="34"/>
        <v>0</v>
      </c>
      <c r="N421" s="377">
        <f t="shared" si="35"/>
        <v>0</v>
      </c>
    </row>
    <row r="422" spans="1:14" s="1" customFormat="1" ht="12.75">
      <c r="A422" s="1" t="str">
        <f t="shared" si="36"/>
        <v>1192</v>
      </c>
      <c r="B422" s="374" t="s">
        <v>311</v>
      </c>
      <c r="C422" s="3">
        <v>119</v>
      </c>
      <c r="D422" s="373" t="s">
        <v>22</v>
      </c>
      <c r="E422" s="378" t="s">
        <v>310</v>
      </c>
      <c r="F422" s="374" t="s">
        <v>1181</v>
      </c>
      <c r="G422" s="374" t="s">
        <v>1308</v>
      </c>
      <c r="H422" s="375">
        <v>2</v>
      </c>
      <c r="I422" s="379">
        <f>2*5*2</f>
        <v>20</v>
      </c>
      <c r="J422" s="376" t="s">
        <v>1171</v>
      </c>
      <c r="K422" s="376"/>
      <c r="L422" s="377">
        <f t="shared" si="33"/>
        <v>0</v>
      </c>
      <c r="M422" s="377">
        <f t="shared" si="34"/>
        <v>0</v>
      </c>
      <c r="N422" s="377">
        <f t="shared" si="35"/>
        <v>0</v>
      </c>
    </row>
    <row r="423" spans="1:14" s="1" customFormat="1" ht="12.75">
      <c r="A423" s="1" t="str">
        <f t="shared" si="36"/>
        <v>11926</v>
      </c>
      <c r="B423" s="374" t="s">
        <v>311</v>
      </c>
      <c r="C423" s="3">
        <v>119</v>
      </c>
      <c r="D423" s="373" t="s">
        <v>22</v>
      </c>
      <c r="E423" s="4"/>
      <c r="F423" s="374" t="s">
        <v>1172</v>
      </c>
      <c r="G423" s="374" t="s">
        <v>1320</v>
      </c>
      <c r="H423" s="375">
        <v>26</v>
      </c>
      <c r="I423" s="379">
        <v>18</v>
      </c>
      <c r="J423" s="376" t="s">
        <v>1171</v>
      </c>
      <c r="K423" s="376" t="s">
        <v>1321</v>
      </c>
      <c r="L423" s="377">
        <f t="shared" si="33"/>
        <v>0</v>
      </c>
      <c r="M423" s="377">
        <f t="shared" si="34"/>
        <v>0</v>
      </c>
      <c r="N423" s="377">
        <f t="shared" si="35"/>
        <v>0</v>
      </c>
    </row>
    <row r="424" spans="1:14" s="1" customFormat="1" ht="12.75">
      <c r="A424" s="1" t="str">
        <f t="shared" si="36"/>
        <v>1202</v>
      </c>
      <c r="B424" s="374" t="s">
        <v>301</v>
      </c>
      <c r="C424" s="3">
        <v>120</v>
      </c>
      <c r="D424" s="373" t="s">
        <v>22</v>
      </c>
      <c r="E424" s="378" t="s">
        <v>1244</v>
      </c>
      <c r="F424" s="374" t="s">
        <v>1184</v>
      </c>
      <c r="G424" s="374" t="s">
        <v>1309</v>
      </c>
      <c r="H424" s="375">
        <v>2</v>
      </c>
      <c r="I424" s="379">
        <f>+(2.4+3.5)*7.25*2</f>
        <v>85.550000000000011</v>
      </c>
      <c r="J424" s="376" t="s">
        <v>1171</v>
      </c>
      <c r="K424" s="376"/>
      <c r="L424" s="377">
        <f t="shared" si="33"/>
        <v>0</v>
      </c>
      <c r="M424" s="377">
        <f t="shared" si="34"/>
        <v>0</v>
      </c>
      <c r="N424" s="377">
        <f t="shared" si="35"/>
        <v>0</v>
      </c>
    </row>
    <row r="425" spans="1:14" s="1" customFormat="1" ht="12.75">
      <c r="A425" s="1" t="str">
        <f t="shared" si="36"/>
        <v>1202</v>
      </c>
      <c r="B425" s="374" t="s">
        <v>301</v>
      </c>
      <c r="C425" s="3">
        <v>120</v>
      </c>
      <c r="D425" s="373" t="s">
        <v>22</v>
      </c>
      <c r="E425" s="378" t="s">
        <v>1244</v>
      </c>
      <c r="F425" s="374" t="s">
        <v>1182</v>
      </c>
      <c r="G425" s="374" t="s">
        <v>1309</v>
      </c>
      <c r="H425" s="375">
        <v>2</v>
      </c>
      <c r="I425" s="379">
        <f>+(2.4+3.5)*7.25*2</f>
        <v>85.550000000000011</v>
      </c>
      <c r="J425" s="376" t="s">
        <v>1171</v>
      </c>
      <c r="K425" s="376"/>
      <c r="L425" s="377">
        <f t="shared" si="33"/>
        <v>0</v>
      </c>
      <c r="M425" s="377">
        <f t="shared" si="34"/>
        <v>0</v>
      </c>
      <c r="N425" s="377">
        <f t="shared" si="35"/>
        <v>0</v>
      </c>
    </row>
    <row r="426" spans="1:14" s="1" customFormat="1" ht="12.75">
      <c r="A426" s="1" t="str">
        <f t="shared" si="36"/>
        <v>1202</v>
      </c>
      <c r="B426" s="374" t="s">
        <v>301</v>
      </c>
      <c r="C426" s="3">
        <v>120</v>
      </c>
      <c r="D426" s="373" t="s">
        <v>22</v>
      </c>
      <c r="E426" s="378" t="s">
        <v>1244</v>
      </c>
      <c r="F426" s="374" t="s">
        <v>1184</v>
      </c>
      <c r="G426" s="374" t="s">
        <v>1310</v>
      </c>
      <c r="H426" s="375">
        <v>2</v>
      </c>
      <c r="I426" s="379">
        <f>+(2.4+3.5)*3.8*2</f>
        <v>44.84</v>
      </c>
      <c r="J426" s="376" t="s">
        <v>1171</v>
      </c>
      <c r="K426" s="376"/>
      <c r="L426" s="377">
        <f t="shared" si="33"/>
        <v>0</v>
      </c>
      <c r="M426" s="377">
        <f t="shared" si="34"/>
        <v>0</v>
      </c>
      <c r="N426" s="377">
        <f t="shared" si="35"/>
        <v>0</v>
      </c>
    </row>
    <row r="427" spans="1:14" s="1" customFormat="1" ht="12.75">
      <c r="A427" s="1" t="str">
        <f t="shared" si="36"/>
        <v>1202</v>
      </c>
      <c r="B427" s="374" t="s">
        <v>301</v>
      </c>
      <c r="C427" s="3">
        <v>120</v>
      </c>
      <c r="D427" s="373" t="s">
        <v>22</v>
      </c>
      <c r="E427" s="378" t="s">
        <v>1244</v>
      </c>
      <c r="F427" s="374" t="s">
        <v>1182</v>
      </c>
      <c r="G427" s="374" t="s">
        <v>1310</v>
      </c>
      <c r="H427" s="375">
        <v>2</v>
      </c>
      <c r="I427" s="379">
        <f>+(2.4+3.5)*3.8*2</f>
        <v>44.84</v>
      </c>
      <c r="J427" s="376" t="s">
        <v>1171</v>
      </c>
      <c r="K427" s="376"/>
      <c r="L427" s="377">
        <f t="shared" si="33"/>
        <v>0</v>
      </c>
      <c r="M427" s="377">
        <f t="shared" si="34"/>
        <v>0</v>
      </c>
      <c r="N427" s="377">
        <f t="shared" si="35"/>
        <v>0</v>
      </c>
    </row>
    <row r="428" spans="1:14" s="1" customFormat="1" ht="12.75">
      <c r="A428" s="1" t="str">
        <f t="shared" si="36"/>
        <v>1202</v>
      </c>
      <c r="B428" s="374" t="s">
        <v>301</v>
      </c>
      <c r="C428" s="3">
        <v>120</v>
      </c>
      <c r="D428" s="373" t="s">
        <v>22</v>
      </c>
      <c r="E428" s="378" t="s">
        <v>1244</v>
      </c>
      <c r="F428" s="374" t="s">
        <v>1185</v>
      </c>
      <c r="G428" s="374" t="s">
        <v>1248</v>
      </c>
      <c r="H428" s="375">
        <v>2</v>
      </c>
      <c r="I428" s="379">
        <f>+(1.8+3)*2*2.2</f>
        <v>21.12</v>
      </c>
      <c r="J428" s="376" t="s">
        <v>1171</v>
      </c>
      <c r="K428" s="376"/>
      <c r="L428" s="377">
        <f t="shared" si="33"/>
        <v>0</v>
      </c>
      <c r="M428" s="377">
        <f t="shared" si="34"/>
        <v>0</v>
      </c>
      <c r="N428" s="377">
        <f t="shared" si="35"/>
        <v>0</v>
      </c>
    </row>
    <row r="429" spans="1:14" s="1" customFormat="1" ht="12.75">
      <c r="A429" s="1" t="str">
        <f t="shared" si="36"/>
        <v>1202</v>
      </c>
      <c r="B429" s="374" t="s">
        <v>301</v>
      </c>
      <c r="C429" s="3">
        <v>120</v>
      </c>
      <c r="D429" s="373" t="s">
        <v>22</v>
      </c>
      <c r="E429" s="378" t="s">
        <v>1244</v>
      </c>
      <c r="F429" s="374" t="s">
        <v>1187</v>
      </c>
      <c r="G429" s="374" t="s">
        <v>1248</v>
      </c>
      <c r="H429" s="375">
        <v>2</v>
      </c>
      <c r="I429" s="379">
        <f>+(1.8+3)*2*2.2</f>
        <v>21.12</v>
      </c>
      <c r="J429" s="376" t="s">
        <v>1171</v>
      </c>
      <c r="K429" s="376"/>
      <c r="L429" s="377">
        <f t="shared" si="33"/>
        <v>0</v>
      </c>
      <c r="M429" s="377">
        <f t="shared" si="34"/>
        <v>0</v>
      </c>
      <c r="N429" s="377">
        <f t="shared" si="35"/>
        <v>0</v>
      </c>
    </row>
    <row r="430" spans="1:14" s="1" customFormat="1" ht="12.75">
      <c r="A430" s="1" t="str">
        <f t="shared" si="36"/>
        <v>12026</v>
      </c>
      <c r="B430" s="374" t="s">
        <v>301</v>
      </c>
      <c r="C430" s="3">
        <v>120</v>
      </c>
      <c r="D430" s="373" t="s">
        <v>22</v>
      </c>
      <c r="E430" s="4"/>
      <c r="F430" s="374" t="s">
        <v>1172</v>
      </c>
      <c r="G430" s="374" t="s">
        <v>1320</v>
      </c>
      <c r="H430" s="375">
        <v>26</v>
      </c>
      <c r="I430" s="379">
        <v>8</v>
      </c>
      <c r="J430" s="376" t="s">
        <v>1171</v>
      </c>
      <c r="K430" s="376" t="s">
        <v>1321</v>
      </c>
      <c r="L430" s="377">
        <f t="shared" si="33"/>
        <v>0</v>
      </c>
      <c r="M430" s="377">
        <f t="shared" si="34"/>
        <v>0</v>
      </c>
      <c r="N430" s="377">
        <f t="shared" si="35"/>
        <v>0</v>
      </c>
    </row>
    <row r="431" spans="1:14" s="1" customFormat="1" ht="12.75">
      <c r="A431" s="1" t="str">
        <f t="shared" si="36"/>
        <v>1212</v>
      </c>
      <c r="B431" s="374" t="s">
        <v>181</v>
      </c>
      <c r="C431" s="3">
        <v>121</v>
      </c>
      <c r="D431" s="373" t="s">
        <v>22</v>
      </c>
      <c r="E431" s="378" t="s">
        <v>15</v>
      </c>
      <c r="F431" s="374" t="s">
        <v>1170</v>
      </c>
      <c r="G431" s="374" t="s">
        <v>1272</v>
      </c>
      <c r="H431" s="375">
        <v>2</v>
      </c>
      <c r="I431" s="379">
        <f>4*2.5+0.8*2.5</f>
        <v>12</v>
      </c>
      <c r="J431" s="376" t="s">
        <v>1171</v>
      </c>
      <c r="K431" s="376"/>
      <c r="L431" s="377">
        <f t="shared" si="33"/>
        <v>0</v>
      </c>
      <c r="M431" s="377">
        <f t="shared" si="34"/>
        <v>0</v>
      </c>
      <c r="N431" s="377">
        <f t="shared" si="35"/>
        <v>0</v>
      </c>
    </row>
    <row r="432" spans="1:14" s="1" customFormat="1" ht="12.75">
      <c r="A432" s="1" t="str">
        <f t="shared" si="36"/>
        <v>1212</v>
      </c>
      <c r="B432" s="374" t="s">
        <v>181</v>
      </c>
      <c r="C432" s="3">
        <v>121</v>
      </c>
      <c r="D432" s="373" t="s">
        <v>22</v>
      </c>
      <c r="E432" s="378" t="s">
        <v>15</v>
      </c>
      <c r="F432" s="374" t="s">
        <v>1170</v>
      </c>
      <c r="G432" s="374" t="s">
        <v>1272</v>
      </c>
      <c r="H432" s="375">
        <v>2</v>
      </c>
      <c r="I432" s="379">
        <f>2.65*2.5</f>
        <v>6.625</v>
      </c>
      <c r="J432" s="376" t="s">
        <v>1174</v>
      </c>
      <c r="K432" s="376"/>
      <c r="L432" s="377">
        <f t="shared" si="33"/>
        <v>0</v>
      </c>
      <c r="M432" s="377">
        <f t="shared" si="34"/>
        <v>0</v>
      </c>
      <c r="N432" s="377">
        <f t="shared" si="35"/>
        <v>0</v>
      </c>
    </row>
    <row r="433" spans="1:14" s="1" customFormat="1" ht="12.75">
      <c r="A433" s="1" t="str">
        <f t="shared" si="36"/>
        <v>1212</v>
      </c>
      <c r="B433" s="374" t="s">
        <v>181</v>
      </c>
      <c r="C433" s="3">
        <v>121</v>
      </c>
      <c r="D433" s="373" t="s">
        <v>22</v>
      </c>
      <c r="E433" s="378" t="s">
        <v>15</v>
      </c>
      <c r="F433" s="374" t="s">
        <v>1173</v>
      </c>
      <c r="G433" s="374" t="s">
        <v>1272</v>
      </c>
      <c r="H433" s="375">
        <v>2</v>
      </c>
      <c r="I433" s="379">
        <f>4*2.5+2.65*2.5+0.8*2.5</f>
        <v>18.625</v>
      </c>
      <c r="J433" s="376" t="s">
        <v>1171</v>
      </c>
      <c r="K433" s="376"/>
      <c r="L433" s="377">
        <f t="shared" si="33"/>
        <v>0</v>
      </c>
      <c r="M433" s="377">
        <f t="shared" si="34"/>
        <v>0</v>
      </c>
      <c r="N433" s="377">
        <f t="shared" si="35"/>
        <v>0</v>
      </c>
    </row>
    <row r="434" spans="1:14" s="1" customFormat="1" ht="12.75">
      <c r="A434" s="1" t="str">
        <f t="shared" si="36"/>
        <v>1212</v>
      </c>
      <c r="B434" s="374" t="s">
        <v>181</v>
      </c>
      <c r="C434" s="3">
        <v>121</v>
      </c>
      <c r="D434" s="373" t="s">
        <v>22</v>
      </c>
      <c r="E434" s="378" t="s">
        <v>15</v>
      </c>
      <c r="F434" s="374" t="s">
        <v>1170</v>
      </c>
      <c r="G434" s="374" t="s">
        <v>1293</v>
      </c>
      <c r="H434" s="375">
        <v>2</v>
      </c>
      <c r="I434" s="379">
        <f>0.95*2.15*2</f>
        <v>4.085</v>
      </c>
      <c r="J434" s="376" t="s">
        <v>1174</v>
      </c>
      <c r="K434" s="376"/>
      <c r="L434" s="377">
        <f t="shared" si="33"/>
        <v>0</v>
      </c>
      <c r="M434" s="377">
        <f t="shared" si="34"/>
        <v>0</v>
      </c>
      <c r="N434" s="377">
        <f t="shared" si="35"/>
        <v>0</v>
      </c>
    </row>
    <row r="435" spans="1:14" s="1" customFormat="1" ht="12.75">
      <c r="A435" s="1" t="str">
        <f t="shared" si="36"/>
        <v>1212</v>
      </c>
      <c r="B435" s="374" t="s">
        <v>181</v>
      </c>
      <c r="C435" s="3">
        <v>121</v>
      </c>
      <c r="D435" s="373" t="s">
        <v>22</v>
      </c>
      <c r="E435" s="378" t="s">
        <v>15</v>
      </c>
      <c r="F435" s="374" t="s">
        <v>1173</v>
      </c>
      <c r="G435" s="374" t="s">
        <v>1293</v>
      </c>
      <c r="H435" s="375">
        <v>2</v>
      </c>
      <c r="I435" s="379">
        <f>0.95*2.15*2</f>
        <v>4.085</v>
      </c>
      <c r="J435" s="376" t="s">
        <v>1171</v>
      </c>
      <c r="K435" s="376"/>
      <c r="L435" s="377">
        <f t="shared" si="33"/>
        <v>0</v>
      </c>
      <c r="M435" s="377">
        <f t="shared" si="34"/>
        <v>0</v>
      </c>
      <c r="N435" s="377">
        <f t="shared" si="35"/>
        <v>0</v>
      </c>
    </row>
    <row r="436" spans="1:14" s="1" customFormat="1" ht="12.75">
      <c r="A436" s="1" t="str">
        <f t="shared" si="36"/>
        <v>1212</v>
      </c>
      <c r="B436" s="374" t="s">
        <v>181</v>
      </c>
      <c r="C436" s="3">
        <v>121</v>
      </c>
      <c r="D436" s="373" t="s">
        <v>22</v>
      </c>
      <c r="E436" s="378" t="s">
        <v>63</v>
      </c>
      <c r="F436" s="374" t="s">
        <v>1231</v>
      </c>
      <c r="G436" s="374" t="s">
        <v>1232</v>
      </c>
      <c r="H436" s="375">
        <v>2</v>
      </c>
      <c r="I436" s="379">
        <f>5.8*3.5</f>
        <v>20.3</v>
      </c>
      <c r="J436" s="376" t="s">
        <v>1171</v>
      </c>
      <c r="K436" s="376" t="s">
        <v>1233</v>
      </c>
      <c r="L436" s="377">
        <f t="shared" si="33"/>
        <v>0</v>
      </c>
      <c r="M436" s="377">
        <f t="shared" si="34"/>
        <v>0</v>
      </c>
      <c r="N436" s="377">
        <f t="shared" si="35"/>
        <v>0</v>
      </c>
    </row>
    <row r="437" spans="1:14" s="1" customFormat="1" ht="12.75">
      <c r="A437" s="1" t="str">
        <f t="shared" si="36"/>
        <v>1212</v>
      </c>
      <c r="B437" s="374" t="s">
        <v>181</v>
      </c>
      <c r="C437" s="3">
        <v>121</v>
      </c>
      <c r="D437" s="373" t="s">
        <v>22</v>
      </c>
      <c r="E437" s="378" t="s">
        <v>15</v>
      </c>
      <c r="F437" s="374" t="s">
        <v>1231</v>
      </c>
      <c r="G437" s="374" t="s">
        <v>1234</v>
      </c>
      <c r="H437" s="375">
        <v>2</v>
      </c>
      <c r="I437" s="379">
        <f>6.5*2</f>
        <v>13</v>
      </c>
      <c r="J437" s="376" t="s">
        <v>1174</v>
      </c>
      <c r="K437" s="376" t="s">
        <v>1233</v>
      </c>
      <c r="L437" s="377">
        <f t="shared" si="33"/>
        <v>0</v>
      </c>
      <c r="M437" s="377">
        <f t="shared" si="34"/>
        <v>0</v>
      </c>
      <c r="N437" s="377">
        <f t="shared" si="35"/>
        <v>0</v>
      </c>
    </row>
    <row r="438" spans="1:14" s="1" customFormat="1" ht="12.75">
      <c r="A438" s="1" t="str">
        <f t="shared" si="36"/>
        <v>1212</v>
      </c>
      <c r="B438" s="374" t="s">
        <v>181</v>
      </c>
      <c r="C438" s="3">
        <v>121</v>
      </c>
      <c r="D438" s="373" t="s">
        <v>22</v>
      </c>
      <c r="E438" s="378" t="s">
        <v>63</v>
      </c>
      <c r="F438" s="374" t="s">
        <v>1181</v>
      </c>
      <c r="G438" s="374" t="s">
        <v>1294</v>
      </c>
      <c r="H438" s="375">
        <v>2</v>
      </c>
      <c r="I438" s="379">
        <f>+(1.35+0.65)*12</f>
        <v>24</v>
      </c>
      <c r="J438" s="376" t="s">
        <v>1174</v>
      </c>
      <c r="K438" s="376" t="s">
        <v>1238</v>
      </c>
      <c r="L438" s="377">
        <f t="shared" si="33"/>
        <v>0</v>
      </c>
      <c r="M438" s="377">
        <f t="shared" si="34"/>
        <v>0</v>
      </c>
      <c r="N438" s="377">
        <f t="shared" si="35"/>
        <v>0</v>
      </c>
    </row>
    <row r="439" spans="1:14" s="1" customFormat="1" ht="12.75">
      <c r="A439" s="1" t="str">
        <f t="shared" si="36"/>
        <v>1212</v>
      </c>
      <c r="B439" s="374" t="s">
        <v>181</v>
      </c>
      <c r="C439" s="3">
        <v>121</v>
      </c>
      <c r="D439" s="373" t="s">
        <v>22</v>
      </c>
      <c r="E439" s="378" t="s">
        <v>63</v>
      </c>
      <c r="F439" s="374" t="s">
        <v>1179</v>
      </c>
      <c r="G439" s="374" t="s">
        <v>1294</v>
      </c>
      <c r="H439" s="375">
        <v>2</v>
      </c>
      <c r="I439" s="379">
        <f>+(1.35+0.65)*12</f>
        <v>24</v>
      </c>
      <c r="J439" s="376" t="s">
        <v>1171</v>
      </c>
      <c r="K439" s="376" t="s">
        <v>1238</v>
      </c>
      <c r="L439" s="377">
        <f t="shared" si="33"/>
        <v>0</v>
      </c>
      <c r="M439" s="377">
        <f t="shared" si="34"/>
        <v>0</v>
      </c>
      <c r="N439" s="377">
        <f t="shared" si="35"/>
        <v>0</v>
      </c>
    </row>
    <row r="440" spans="1:14" s="1" customFormat="1" ht="12.75">
      <c r="A440" s="1" t="str">
        <f t="shared" si="36"/>
        <v>1212</v>
      </c>
      <c r="B440" s="374" t="s">
        <v>181</v>
      </c>
      <c r="C440" s="3">
        <v>121</v>
      </c>
      <c r="D440" s="373" t="s">
        <v>22</v>
      </c>
      <c r="E440" s="378" t="s">
        <v>63</v>
      </c>
      <c r="F440" s="374" t="s">
        <v>1170</v>
      </c>
      <c r="G440" s="374" t="s">
        <v>1292</v>
      </c>
      <c r="H440" s="375">
        <v>2</v>
      </c>
      <c r="I440" s="379">
        <f>6*2.6*2</f>
        <v>31.200000000000003</v>
      </c>
      <c r="J440" s="376" t="s">
        <v>1174</v>
      </c>
      <c r="K440" s="376"/>
      <c r="L440" s="377">
        <f t="shared" si="33"/>
        <v>0</v>
      </c>
      <c r="M440" s="377">
        <f t="shared" si="34"/>
        <v>0</v>
      </c>
      <c r="N440" s="377">
        <f t="shared" si="35"/>
        <v>0</v>
      </c>
    </row>
    <row r="441" spans="1:14" s="1" customFormat="1" ht="12.75">
      <c r="A441" s="1" t="str">
        <f t="shared" si="36"/>
        <v>1212</v>
      </c>
      <c r="B441" s="374" t="s">
        <v>181</v>
      </c>
      <c r="C441" s="3">
        <v>121</v>
      </c>
      <c r="D441" s="373" t="s">
        <v>22</v>
      </c>
      <c r="E441" s="378" t="s">
        <v>63</v>
      </c>
      <c r="F441" s="374" t="s">
        <v>1173</v>
      </c>
      <c r="G441" s="374" t="s">
        <v>1292</v>
      </c>
      <c r="H441" s="375">
        <v>2</v>
      </c>
      <c r="I441" s="379">
        <f>6*2.6*2</f>
        <v>31.200000000000003</v>
      </c>
      <c r="J441" s="376" t="s">
        <v>1171</v>
      </c>
      <c r="K441" s="376"/>
      <c r="L441" s="377">
        <f t="shared" si="33"/>
        <v>0</v>
      </c>
      <c r="M441" s="377">
        <f t="shared" si="34"/>
        <v>0</v>
      </c>
      <c r="N441" s="377">
        <f t="shared" si="35"/>
        <v>0</v>
      </c>
    </row>
    <row r="442" spans="1:14" s="1" customFormat="1" ht="12.75">
      <c r="A442" s="1" t="str">
        <f t="shared" si="36"/>
        <v>1212</v>
      </c>
      <c r="B442" s="374" t="s">
        <v>181</v>
      </c>
      <c r="C442" s="3">
        <v>121</v>
      </c>
      <c r="D442" s="373" t="s">
        <v>22</v>
      </c>
      <c r="E442" s="378" t="s">
        <v>194</v>
      </c>
      <c r="F442" s="374" t="s">
        <v>1170</v>
      </c>
      <c r="G442" s="374" t="s">
        <v>1311</v>
      </c>
      <c r="H442" s="375">
        <v>2</v>
      </c>
      <c r="I442" s="379">
        <f>1.3*1.3</f>
        <v>1.6900000000000002</v>
      </c>
      <c r="J442" s="376" t="s">
        <v>1171</v>
      </c>
      <c r="K442" s="376"/>
      <c r="L442" s="377">
        <f t="shared" si="33"/>
        <v>0</v>
      </c>
      <c r="M442" s="377">
        <f t="shared" si="34"/>
        <v>0</v>
      </c>
      <c r="N442" s="377">
        <f t="shared" si="35"/>
        <v>0</v>
      </c>
    </row>
    <row r="443" spans="1:14" s="1" customFormat="1" ht="12.75">
      <c r="A443" s="1" t="str">
        <f t="shared" si="36"/>
        <v>1212</v>
      </c>
      <c r="B443" s="374" t="s">
        <v>181</v>
      </c>
      <c r="C443" s="3">
        <v>121</v>
      </c>
      <c r="D443" s="373" t="s">
        <v>22</v>
      </c>
      <c r="E443" s="378" t="s">
        <v>194</v>
      </c>
      <c r="F443" s="374" t="s">
        <v>1173</v>
      </c>
      <c r="G443" s="374" t="s">
        <v>1311</v>
      </c>
      <c r="H443" s="375">
        <v>2</v>
      </c>
      <c r="I443" s="379">
        <f>1.3*1.3</f>
        <v>1.6900000000000002</v>
      </c>
      <c r="J443" s="376" t="s">
        <v>1171</v>
      </c>
      <c r="K443" s="376"/>
      <c r="L443" s="377">
        <f t="shared" si="33"/>
        <v>0</v>
      </c>
      <c r="M443" s="377">
        <f t="shared" si="34"/>
        <v>0</v>
      </c>
      <c r="N443" s="377">
        <f t="shared" si="35"/>
        <v>0</v>
      </c>
    </row>
    <row r="444" spans="1:14" s="1" customFormat="1" ht="12.75">
      <c r="A444" s="1" t="str">
        <f t="shared" si="36"/>
        <v>1212</v>
      </c>
      <c r="B444" s="374" t="s">
        <v>181</v>
      </c>
      <c r="C444" s="3">
        <v>121</v>
      </c>
      <c r="D444" s="373" t="s">
        <v>22</v>
      </c>
      <c r="E444" s="378" t="s">
        <v>63</v>
      </c>
      <c r="F444" s="374" t="s">
        <v>1170</v>
      </c>
      <c r="G444" s="374" t="s">
        <v>1274</v>
      </c>
      <c r="H444" s="375">
        <v>2</v>
      </c>
      <c r="I444" s="379">
        <f>+(3.2+4.8+0.5+1+3+9.2)*2.7-2</f>
        <v>56.59</v>
      </c>
      <c r="J444" s="376" t="s">
        <v>1171</v>
      </c>
      <c r="K444" s="376"/>
      <c r="L444" s="377">
        <f t="shared" si="33"/>
        <v>0</v>
      </c>
      <c r="M444" s="377">
        <f t="shared" si="34"/>
        <v>0</v>
      </c>
      <c r="N444" s="377">
        <f t="shared" si="35"/>
        <v>0</v>
      </c>
    </row>
    <row r="445" spans="1:14" s="1" customFormat="1" ht="12.75">
      <c r="A445" s="1" t="str">
        <f t="shared" si="36"/>
        <v>1212</v>
      </c>
      <c r="B445" s="374" t="s">
        <v>181</v>
      </c>
      <c r="C445" s="3">
        <v>121</v>
      </c>
      <c r="D445" s="373" t="s">
        <v>22</v>
      </c>
      <c r="E445" s="378" t="s">
        <v>63</v>
      </c>
      <c r="F445" s="374" t="s">
        <v>1173</v>
      </c>
      <c r="G445" s="374" t="s">
        <v>1274</v>
      </c>
      <c r="H445" s="375">
        <v>2</v>
      </c>
      <c r="I445" s="379">
        <f>+(3.2+4.8+0.5+1+3+9.2)*2.7-2</f>
        <v>56.59</v>
      </c>
      <c r="J445" s="376" t="s">
        <v>1171</v>
      </c>
      <c r="K445" s="376"/>
      <c r="L445" s="377">
        <f t="shared" si="33"/>
        <v>0</v>
      </c>
      <c r="M445" s="377">
        <f t="shared" si="34"/>
        <v>0</v>
      </c>
      <c r="N445" s="377">
        <f t="shared" si="35"/>
        <v>0</v>
      </c>
    </row>
    <row r="446" spans="1:14" s="1" customFormat="1" ht="12.75">
      <c r="A446" s="1" t="str">
        <f t="shared" si="36"/>
        <v>1212</v>
      </c>
      <c r="B446" s="374" t="s">
        <v>181</v>
      </c>
      <c r="C446" s="3">
        <v>121</v>
      </c>
      <c r="D446" s="373" t="s">
        <v>22</v>
      </c>
      <c r="E446" s="378" t="s">
        <v>66</v>
      </c>
      <c r="F446" s="374" t="s">
        <v>1182</v>
      </c>
      <c r="G446" s="374" t="s">
        <v>1295</v>
      </c>
      <c r="H446" s="375">
        <v>2</v>
      </c>
      <c r="I446" s="379">
        <v>14.55</v>
      </c>
      <c r="J446" s="376" t="s">
        <v>1171</v>
      </c>
      <c r="K446" s="376"/>
      <c r="L446" s="377">
        <f t="shared" si="33"/>
        <v>0</v>
      </c>
      <c r="M446" s="377">
        <f t="shared" si="34"/>
        <v>0</v>
      </c>
      <c r="N446" s="377">
        <f t="shared" si="35"/>
        <v>0</v>
      </c>
    </row>
    <row r="447" spans="1:14" s="1" customFormat="1" ht="12.75">
      <c r="A447" s="1" t="str">
        <f t="shared" si="36"/>
        <v>1212</v>
      </c>
      <c r="B447" s="374" t="s">
        <v>181</v>
      </c>
      <c r="C447" s="3">
        <v>121</v>
      </c>
      <c r="D447" s="373" t="s">
        <v>22</v>
      </c>
      <c r="E447" s="378" t="s">
        <v>66</v>
      </c>
      <c r="F447" s="374" t="s">
        <v>1184</v>
      </c>
      <c r="G447" s="374" t="s">
        <v>1295</v>
      </c>
      <c r="H447" s="375">
        <v>2</v>
      </c>
      <c r="I447" s="379">
        <v>14.55</v>
      </c>
      <c r="J447" s="376" t="s">
        <v>1171</v>
      </c>
      <c r="K447" s="376"/>
      <c r="L447" s="377">
        <f t="shared" si="33"/>
        <v>0</v>
      </c>
      <c r="M447" s="377">
        <f t="shared" si="34"/>
        <v>0</v>
      </c>
      <c r="N447" s="377">
        <f t="shared" si="35"/>
        <v>0</v>
      </c>
    </row>
    <row r="448" spans="1:14" s="1" customFormat="1" ht="12.75">
      <c r="A448" s="1" t="str">
        <f t="shared" si="36"/>
        <v>1212</v>
      </c>
      <c r="B448" s="374" t="s">
        <v>181</v>
      </c>
      <c r="C448" s="3">
        <v>121</v>
      </c>
      <c r="D448" s="373" t="s">
        <v>22</v>
      </c>
      <c r="E448" s="378" t="s">
        <v>66</v>
      </c>
      <c r="F448" s="374" t="s">
        <v>1185</v>
      </c>
      <c r="G448" s="374" t="s">
        <v>1227</v>
      </c>
      <c r="H448" s="375">
        <v>2</v>
      </c>
      <c r="I448" s="379">
        <v>1.92</v>
      </c>
      <c r="J448" s="376" t="s">
        <v>1171</v>
      </c>
      <c r="K448" s="376"/>
      <c r="L448" s="377">
        <f t="shared" si="33"/>
        <v>0</v>
      </c>
      <c r="M448" s="377">
        <f t="shared" si="34"/>
        <v>0</v>
      </c>
      <c r="N448" s="377">
        <f t="shared" si="35"/>
        <v>0</v>
      </c>
    </row>
    <row r="449" spans="1:14" s="1" customFormat="1" ht="12.75">
      <c r="A449" s="1" t="str">
        <f t="shared" si="36"/>
        <v>1212</v>
      </c>
      <c r="B449" s="374" t="s">
        <v>181</v>
      </c>
      <c r="C449" s="3">
        <v>121</v>
      </c>
      <c r="D449" s="373" t="s">
        <v>22</v>
      </c>
      <c r="E449" s="378" t="s">
        <v>66</v>
      </c>
      <c r="F449" s="374" t="s">
        <v>1187</v>
      </c>
      <c r="G449" s="374" t="s">
        <v>1227</v>
      </c>
      <c r="H449" s="375">
        <v>2</v>
      </c>
      <c r="I449" s="379">
        <v>1.92</v>
      </c>
      <c r="J449" s="376" t="s">
        <v>1171</v>
      </c>
      <c r="K449" s="376"/>
      <c r="L449" s="377">
        <f t="shared" si="33"/>
        <v>0</v>
      </c>
      <c r="M449" s="377">
        <f t="shared" si="34"/>
        <v>0</v>
      </c>
      <c r="N449" s="377">
        <f t="shared" si="35"/>
        <v>0</v>
      </c>
    </row>
    <row r="450" spans="1:14" s="1" customFormat="1" ht="12.75">
      <c r="A450" s="1" t="str">
        <f t="shared" si="36"/>
        <v>12126</v>
      </c>
      <c r="B450" s="374" t="s">
        <v>181</v>
      </c>
      <c r="C450" s="3">
        <v>121</v>
      </c>
      <c r="D450" s="373" t="s">
        <v>22</v>
      </c>
      <c r="E450" s="4"/>
      <c r="F450" s="374" t="s">
        <v>1172</v>
      </c>
      <c r="G450" s="374" t="s">
        <v>1320</v>
      </c>
      <c r="H450" s="375">
        <v>26</v>
      </c>
      <c r="I450" s="379">
        <v>14</v>
      </c>
      <c r="J450" s="376" t="s">
        <v>1171</v>
      </c>
      <c r="K450" s="376" t="s">
        <v>1321</v>
      </c>
      <c r="L450" s="377">
        <f t="shared" si="33"/>
        <v>0</v>
      </c>
      <c r="M450" s="377">
        <f t="shared" si="34"/>
        <v>0</v>
      </c>
      <c r="N450" s="377">
        <f t="shared" si="35"/>
        <v>0</v>
      </c>
    </row>
    <row r="451" spans="1:14" s="2" customFormat="1" ht="12.75">
      <c r="B451" s="374" t="s">
        <v>1554</v>
      </c>
      <c r="C451" s="3">
        <v>201</v>
      </c>
      <c r="D451" s="381" t="s">
        <v>1420</v>
      </c>
      <c r="E451" s="4"/>
      <c r="F451" s="374" t="s">
        <v>1172</v>
      </c>
      <c r="G451" s="374" t="s">
        <v>1702</v>
      </c>
      <c r="H451" s="375">
        <v>12</v>
      </c>
      <c r="I451" s="379">
        <v>424.8</v>
      </c>
      <c r="J451" s="376" t="s">
        <v>1171</v>
      </c>
      <c r="K451" s="376"/>
      <c r="L451" s="377">
        <f t="shared" si="33"/>
        <v>0</v>
      </c>
      <c r="M451" s="377">
        <f t="shared" si="34"/>
        <v>0</v>
      </c>
      <c r="N451" s="377">
        <f t="shared" si="35"/>
        <v>0</v>
      </c>
    </row>
    <row r="452" spans="1:14" s="2" customFormat="1" ht="12.75">
      <c r="B452" s="374" t="s">
        <v>1421</v>
      </c>
      <c r="C452" s="3">
        <v>202</v>
      </c>
      <c r="D452" s="381" t="s">
        <v>1420</v>
      </c>
      <c r="E452" s="4"/>
      <c r="F452" s="374" t="s">
        <v>1172</v>
      </c>
      <c r="G452" s="374" t="s">
        <v>1702</v>
      </c>
      <c r="H452" s="375">
        <v>12</v>
      </c>
      <c r="I452" s="379">
        <v>350.4</v>
      </c>
      <c r="J452" s="376" t="s">
        <v>1171</v>
      </c>
      <c r="K452" s="376"/>
      <c r="L452" s="377">
        <f t="shared" si="33"/>
        <v>0</v>
      </c>
      <c r="M452" s="377">
        <f t="shared" si="34"/>
        <v>0</v>
      </c>
      <c r="N452" s="377">
        <f t="shared" si="35"/>
        <v>0</v>
      </c>
    </row>
    <row r="453" spans="1:14" s="2" customFormat="1" ht="12.75">
      <c r="B453" s="374" t="s">
        <v>1422</v>
      </c>
      <c r="C453" s="3">
        <v>203</v>
      </c>
      <c r="D453" s="381" t="s">
        <v>1420</v>
      </c>
      <c r="E453" s="4"/>
      <c r="F453" s="374" t="s">
        <v>1182</v>
      </c>
      <c r="G453" s="374" t="s">
        <v>1703</v>
      </c>
      <c r="H453" s="375">
        <v>2</v>
      </c>
      <c r="I453" s="379">
        <v>64</v>
      </c>
      <c r="J453" s="376" t="s">
        <v>1171</v>
      </c>
      <c r="K453" s="376"/>
      <c r="L453" s="377">
        <f t="shared" si="33"/>
        <v>0</v>
      </c>
      <c r="M453" s="377">
        <f t="shared" si="34"/>
        <v>0</v>
      </c>
      <c r="N453" s="377">
        <f t="shared" si="35"/>
        <v>0</v>
      </c>
    </row>
    <row r="454" spans="1:14" s="2" customFormat="1" ht="12.75">
      <c r="B454" s="374" t="s">
        <v>1422</v>
      </c>
      <c r="C454" s="3">
        <v>203</v>
      </c>
      <c r="D454" s="381" t="s">
        <v>1420</v>
      </c>
      <c r="E454" s="4"/>
      <c r="F454" s="374" t="s">
        <v>1184</v>
      </c>
      <c r="G454" s="374" t="s">
        <v>1704</v>
      </c>
      <c r="H454" s="375">
        <v>2</v>
      </c>
      <c r="I454" s="379">
        <v>64</v>
      </c>
      <c r="J454" s="376" t="s">
        <v>1171</v>
      </c>
      <c r="K454" s="376"/>
      <c r="L454" s="377">
        <f t="shared" si="33"/>
        <v>0</v>
      </c>
      <c r="M454" s="377">
        <f t="shared" si="34"/>
        <v>0</v>
      </c>
      <c r="N454" s="377">
        <f t="shared" si="35"/>
        <v>0</v>
      </c>
    </row>
    <row r="455" spans="1:14" s="2" customFormat="1" ht="12.75">
      <c r="B455" s="374" t="s">
        <v>1423</v>
      </c>
      <c r="C455" s="3">
        <v>204</v>
      </c>
      <c r="D455" s="381" t="s">
        <v>1420</v>
      </c>
      <c r="E455" s="4"/>
      <c r="F455" s="374" t="s">
        <v>1182</v>
      </c>
      <c r="G455" s="374" t="s">
        <v>1703</v>
      </c>
      <c r="H455" s="375">
        <v>2</v>
      </c>
      <c r="I455" s="379">
        <v>64</v>
      </c>
      <c r="J455" s="376" t="s">
        <v>1171</v>
      </c>
      <c r="K455" s="376"/>
      <c r="L455" s="377">
        <f t="shared" si="33"/>
        <v>0</v>
      </c>
      <c r="M455" s="377">
        <f t="shared" si="34"/>
        <v>0</v>
      </c>
      <c r="N455" s="377">
        <f t="shared" si="35"/>
        <v>0</v>
      </c>
    </row>
    <row r="456" spans="1:14" s="2" customFormat="1" ht="12.75">
      <c r="B456" s="374" t="s">
        <v>1423</v>
      </c>
      <c r="C456" s="3">
        <v>204</v>
      </c>
      <c r="D456" s="381" t="s">
        <v>1420</v>
      </c>
      <c r="E456" s="4"/>
      <c r="F456" s="374" t="s">
        <v>1184</v>
      </c>
      <c r="G456" s="374" t="s">
        <v>1704</v>
      </c>
      <c r="H456" s="375">
        <v>2</v>
      </c>
      <c r="I456" s="379">
        <v>64</v>
      </c>
      <c r="J456" s="376" t="s">
        <v>1171</v>
      </c>
      <c r="K456" s="376"/>
      <c r="L456" s="377">
        <f t="shared" si="33"/>
        <v>0</v>
      </c>
      <c r="M456" s="377">
        <f t="shared" si="34"/>
        <v>0</v>
      </c>
      <c r="N456" s="377">
        <f t="shared" si="35"/>
        <v>0</v>
      </c>
    </row>
    <row r="457" spans="1:14" s="2" customFormat="1" ht="12.75">
      <c r="B457" s="374" t="s">
        <v>1424</v>
      </c>
      <c r="C457" s="3">
        <v>205</v>
      </c>
      <c r="D457" s="381" t="s">
        <v>1420</v>
      </c>
      <c r="E457" s="4"/>
      <c r="F457" s="374" t="s">
        <v>1182</v>
      </c>
      <c r="G457" s="374" t="s">
        <v>1703</v>
      </c>
      <c r="H457" s="375">
        <v>2</v>
      </c>
      <c r="I457" s="379">
        <v>64</v>
      </c>
      <c r="J457" s="376" t="s">
        <v>1171</v>
      </c>
      <c r="K457" s="376"/>
      <c r="L457" s="377">
        <f t="shared" si="33"/>
        <v>0</v>
      </c>
      <c r="M457" s="377">
        <f t="shared" si="34"/>
        <v>0</v>
      </c>
      <c r="N457" s="377">
        <f t="shared" si="35"/>
        <v>0</v>
      </c>
    </row>
    <row r="458" spans="1:14" s="2" customFormat="1" ht="12.75">
      <c r="B458" s="374" t="s">
        <v>1424</v>
      </c>
      <c r="C458" s="3">
        <v>205</v>
      </c>
      <c r="D458" s="381" t="s">
        <v>1420</v>
      </c>
      <c r="E458" s="4"/>
      <c r="F458" s="374" t="s">
        <v>1184</v>
      </c>
      <c r="G458" s="374" t="s">
        <v>1704</v>
      </c>
      <c r="H458" s="375">
        <v>2</v>
      </c>
      <c r="I458" s="379">
        <v>64</v>
      </c>
      <c r="J458" s="376" t="s">
        <v>1171</v>
      </c>
      <c r="K458" s="376"/>
      <c r="L458" s="377">
        <f t="shared" si="33"/>
        <v>0</v>
      </c>
      <c r="M458" s="377">
        <f t="shared" si="34"/>
        <v>0</v>
      </c>
      <c r="N458" s="377">
        <f t="shared" si="35"/>
        <v>0</v>
      </c>
    </row>
    <row r="459" spans="1:14" s="2" customFormat="1" ht="12.75">
      <c r="B459" s="374" t="s">
        <v>1424</v>
      </c>
      <c r="C459" s="3">
        <v>205</v>
      </c>
      <c r="D459" s="381" t="s">
        <v>1420</v>
      </c>
      <c r="E459" s="4"/>
      <c r="F459" s="374" t="s">
        <v>1172</v>
      </c>
      <c r="G459" s="374" t="s">
        <v>1705</v>
      </c>
      <c r="H459" s="375">
        <v>12</v>
      </c>
      <c r="I459" s="379">
        <v>92</v>
      </c>
      <c r="J459" s="376" t="s">
        <v>1171</v>
      </c>
      <c r="K459" s="376"/>
      <c r="L459" s="377">
        <f t="shared" si="33"/>
        <v>0</v>
      </c>
      <c r="M459" s="377">
        <f t="shared" si="34"/>
        <v>0</v>
      </c>
      <c r="N459" s="377">
        <f t="shared" si="35"/>
        <v>0</v>
      </c>
    </row>
    <row r="460" spans="1:14" s="2" customFormat="1" ht="12.75">
      <c r="B460" s="374" t="s">
        <v>1425</v>
      </c>
      <c r="C460" s="3">
        <v>206</v>
      </c>
      <c r="D460" s="381" t="s">
        <v>1420</v>
      </c>
      <c r="E460" s="4"/>
      <c r="F460" s="374" t="s">
        <v>1182</v>
      </c>
      <c r="G460" s="374" t="s">
        <v>1703</v>
      </c>
      <c r="H460" s="375">
        <v>2</v>
      </c>
      <c r="I460" s="379">
        <v>64</v>
      </c>
      <c r="J460" s="376" t="s">
        <v>1171</v>
      </c>
      <c r="K460" s="376"/>
      <c r="L460" s="377">
        <f t="shared" si="33"/>
        <v>0</v>
      </c>
      <c r="M460" s="377">
        <f t="shared" si="34"/>
        <v>0</v>
      </c>
      <c r="N460" s="377">
        <f t="shared" si="35"/>
        <v>0</v>
      </c>
    </row>
    <row r="461" spans="1:14" s="2" customFormat="1" ht="12.75">
      <c r="B461" s="374" t="s">
        <v>1425</v>
      </c>
      <c r="C461" s="3">
        <v>206</v>
      </c>
      <c r="D461" s="381" t="s">
        <v>1420</v>
      </c>
      <c r="E461" s="4"/>
      <c r="F461" s="374" t="s">
        <v>1184</v>
      </c>
      <c r="G461" s="374" t="s">
        <v>1704</v>
      </c>
      <c r="H461" s="375">
        <v>2</v>
      </c>
      <c r="I461" s="379">
        <v>64</v>
      </c>
      <c r="J461" s="376" t="s">
        <v>1171</v>
      </c>
      <c r="K461" s="376"/>
      <c r="L461" s="377">
        <f t="shared" si="33"/>
        <v>0</v>
      </c>
      <c r="M461" s="377">
        <f t="shared" si="34"/>
        <v>0</v>
      </c>
      <c r="N461" s="377">
        <f t="shared" si="35"/>
        <v>0</v>
      </c>
    </row>
    <row r="462" spans="1:14" s="2" customFormat="1" ht="12.75">
      <c r="B462" s="374" t="s">
        <v>1426</v>
      </c>
      <c r="C462" s="3">
        <v>207</v>
      </c>
      <c r="D462" s="381" t="s">
        <v>1420</v>
      </c>
      <c r="E462" s="4"/>
      <c r="F462" s="374" t="s">
        <v>1182</v>
      </c>
      <c r="G462" s="374" t="s">
        <v>1703</v>
      </c>
      <c r="H462" s="375">
        <v>2</v>
      </c>
      <c r="I462" s="379">
        <v>64</v>
      </c>
      <c r="J462" s="376" t="s">
        <v>1171</v>
      </c>
      <c r="K462" s="376"/>
      <c r="L462" s="377">
        <f t="shared" si="33"/>
        <v>0</v>
      </c>
      <c r="M462" s="377">
        <f t="shared" si="34"/>
        <v>0</v>
      </c>
      <c r="N462" s="377">
        <f t="shared" si="35"/>
        <v>0</v>
      </c>
    </row>
    <row r="463" spans="1:14" s="2" customFormat="1" ht="12.75">
      <c r="B463" s="374" t="s">
        <v>1426</v>
      </c>
      <c r="C463" s="3">
        <v>207</v>
      </c>
      <c r="D463" s="381" t="s">
        <v>1420</v>
      </c>
      <c r="E463" s="4"/>
      <c r="F463" s="374" t="s">
        <v>1184</v>
      </c>
      <c r="G463" s="374" t="s">
        <v>1704</v>
      </c>
      <c r="H463" s="375">
        <v>2</v>
      </c>
      <c r="I463" s="379">
        <v>64</v>
      </c>
      <c r="J463" s="376" t="s">
        <v>1171</v>
      </c>
      <c r="K463" s="376"/>
      <c r="L463" s="377">
        <f t="shared" si="33"/>
        <v>0</v>
      </c>
      <c r="M463" s="377">
        <f t="shared" si="34"/>
        <v>0</v>
      </c>
      <c r="N463" s="377">
        <f t="shared" si="35"/>
        <v>0</v>
      </c>
    </row>
    <row r="464" spans="1:14" s="2" customFormat="1" ht="12.75">
      <c r="B464" s="374" t="s">
        <v>1690</v>
      </c>
      <c r="C464" s="3">
        <v>209</v>
      </c>
      <c r="D464" s="381" t="s">
        <v>1420</v>
      </c>
      <c r="E464" s="4"/>
      <c r="F464" s="374" t="s">
        <v>1182</v>
      </c>
      <c r="G464" s="374" t="s">
        <v>1703</v>
      </c>
      <c r="H464" s="375">
        <v>2</v>
      </c>
      <c r="I464" s="379">
        <v>64</v>
      </c>
      <c r="J464" s="376" t="s">
        <v>1171</v>
      </c>
      <c r="K464" s="376"/>
      <c r="L464" s="377">
        <f t="shared" si="33"/>
        <v>0</v>
      </c>
      <c r="M464" s="377">
        <f t="shared" si="34"/>
        <v>0</v>
      </c>
      <c r="N464" s="377">
        <f t="shared" si="35"/>
        <v>0</v>
      </c>
    </row>
    <row r="465" spans="1:14" s="2" customFormat="1" ht="12.75">
      <c r="B465" s="374" t="s">
        <v>1690</v>
      </c>
      <c r="C465" s="3">
        <v>209</v>
      </c>
      <c r="D465" s="381" t="s">
        <v>1420</v>
      </c>
      <c r="E465" s="4"/>
      <c r="F465" s="374" t="s">
        <v>1184</v>
      </c>
      <c r="G465" s="374" t="s">
        <v>1704</v>
      </c>
      <c r="H465" s="375">
        <v>2</v>
      </c>
      <c r="I465" s="379">
        <v>64</v>
      </c>
      <c r="J465" s="376" t="s">
        <v>1171</v>
      </c>
      <c r="K465" s="376"/>
      <c r="L465" s="377">
        <f t="shared" ref="L465:L528" si="37">IF(J465="ja",VLOOKUP(F465,Glassoort2,2,0))*I465</f>
        <v>0</v>
      </c>
      <c r="M465" s="377">
        <f t="shared" ref="M465:M528" si="38">IF(J465="nee",VLOOKUP(F465,Glassoort2,3,0))*I465</f>
        <v>0</v>
      </c>
      <c r="N465" s="377">
        <f t="shared" si="35"/>
        <v>0</v>
      </c>
    </row>
    <row r="466" spans="1:14" s="2" customFormat="1" ht="12.75">
      <c r="B466" s="374" t="s">
        <v>1690</v>
      </c>
      <c r="C466" s="3">
        <v>209</v>
      </c>
      <c r="D466" s="381" t="s">
        <v>1420</v>
      </c>
      <c r="E466" s="4"/>
      <c r="F466" s="374" t="s">
        <v>1172</v>
      </c>
      <c r="G466" s="374" t="s">
        <v>1705</v>
      </c>
      <c r="H466" s="375">
        <v>12</v>
      </c>
      <c r="I466" s="379">
        <v>111</v>
      </c>
      <c r="J466" s="376" t="s">
        <v>1171</v>
      </c>
      <c r="K466" s="376"/>
      <c r="L466" s="377">
        <f t="shared" si="37"/>
        <v>0</v>
      </c>
      <c r="M466" s="377">
        <f t="shared" si="38"/>
        <v>0</v>
      </c>
      <c r="N466" s="377">
        <f t="shared" ref="N466:N529" si="39">(M466*H466)+(L466*H466)</f>
        <v>0</v>
      </c>
    </row>
    <row r="467" spans="1:14" s="2" customFormat="1" ht="12.75">
      <c r="B467" s="374" t="s">
        <v>1691</v>
      </c>
      <c r="C467" s="3">
        <v>210</v>
      </c>
      <c r="D467" s="381" t="s">
        <v>1420</v>
      </c>
      <c r="E467" s="4"/>
      <c r="F467" s="374" t="s">
        <v>1182</v>
      </c>
      <c r="G467" s="374" t="s">
        <v>1703</v>
      </c>
      <c r="H467" s="375">
        <v>2</v>
      </c>
      <c r="I467" s="379">
        <v>64</v>
      </c>
      <c r="J467" s="376" t="s">
        <v>1171</v>
      </c>
      <c r="K467" s="376"/>
      <c r="L467" s="377">
        <f t="shared" si="37"/>
        <v>0</v>
      </c>
      <c r="M467" s="377">
        <f t="shared" si="38"/>
        <v>0</v>
      </c>
      <c r="N467" s="377">
        <f t="shared" si="39"/>
        <v>0</v>
      </c>
    </row>
    <row r="468" spans="1:14" s="2" customFormat="1" ht="12.75">
      <c r="B468" s="374" t="s">
        <v>1691</v>
      </c>
      <c r="C468" s="3">
        <v>210</v>
      </c>
      <c r="D468" s="381" t="s">
        <v>1420</v>
      </c>
      <c r="E468" s="4"/>
      <c r="F468" s="374" t="s">
        <v>1184</v>
      </c>
      <c r="G468" s="374" t="s">
        <v>1704</v>
      </c>
      <c r="H468" s="375">
        <v>2</v>
      </c>
      <c r="I468" s="379">
        <v>64</v>
      </c>
      <c r="J468" s="376" t="s">
        <v>1171</v>
      </c>
      <c r="K468" s="376"/>
      <c r="L468" s="377">
        <f t="shared" si="37"/>
        <v>0</v>
      </c>
      <c r="M468" s="377">
        <f t="shared" si="38"/>
        <v>0</v>
      </c>
      <c r="N468" s="377">
        <f t="shared" si="39"/>
        <v>0</v>
      </c>
    </row>
    <row r="469" spans="1:14" s="2" customFormat="1" ht="12.75">
      <c r="B469" s="374" t="s">
        <v>1691</v>
      </c>
      <c r="C469" s="3">
        <v>210</v>
      </c>
      <c r="D469" s="381" t="s">
        <v>1420</v>
      </c>
      <c r="E469" s="4"/>
      <c r="F469" s="374" t="s">
        <v>1172</v>
      </c>
      <c r="G469" s="374" t="s">
        <v>1705</v>
      </c>
      <c r="H469" s="375">
        <v>12</v>
      </c>
      <c r="I469" s="379">
        <v>92</v>
      </c>
      <c r="J469" s="376" t="s">
        <v>1171</v>
      </c>
      <c r="K469" s="376"/>
      <c r="L469" s="377">
        <f t="shared" si="37"/>
        <v>0</v>
      </c>
      <c r="M469" s="377">
        <f t="shared" si="38"/>
        <v>0</v>
      </c>
      <c r="N469" s="377">
        <f t="shared" si="39"/>
        <v>0</v>
      </c>
    </row>
    <row r="470" spans="1:14" s="2" customFormat="1" ht="12.75">
      <c r="B470" s="374" t="s">
        <v>1692</v>
      </c>
      <c r="C470" s="3">
        <v>211</v>
      </c>
      <c r="D470" s="381" t="s">
        <v>1420</v>
      </c>
      <c r="E470" s="4"/>
      <c r="F470" s="374" t="s">
        <v>1182</v>
      </c>
      <c r="G470" s="374" t="s">
        <v>1703</v>
      </c>
      <c r="H470" s="375">
        <v>2</v>
      </c>
      <c r="I470" s="379">
        <v>64</v>
      </c>
      <c r="J470" s="376" t="s">
        <v>1171</v>
      </c>
      <c r="K470" s="376"/>
      <c r="L470" s="377">
        <f t="shared" si="37"/>
        <v>0</v>
      </c>
      <c r="M470" s="377">
        <f t="shared" si="38"/>
        <v>0</v>
      </c>
      <c r="N470" s="377">
        <f t="shared" si="39"/>
        <v>0</v>
      </c>
    </row>
    <row r="471" spans="1:14" s="2" customFormat="1" ht="12.75">
      <c r="B471" s="374" t="s">
        <v>1692</v>
      </c>
      <c r="C471" s="3">
        <v>211</v>
      </c>
      <c r="D471" s="381" t="s">
        <v>1420</v>
      </c>
      <c r="E471" s="4"/>
      <c r="F471" s="374" t="s">
        <v>1184</v>
      </c>
      <c r="G471" s="374" t="s">
        <v>1704</v>
      </c>
      <c r="H471" s="375">
        <v>2</v>
      </c>
      <c r="I471" s="379">
        <v>64</v>
      </c>
      <c r="J471" s="376" t="s">
        <v>1171</v>
      </c>
      <c r="K471" s="376"/>
      <c r="L471" s="377">
        <f t="shared" si="37"/>
        <v>0</v>
      </c>
      <c r="M471" s="377">
        <f t="shared" si="38"/>
        <v>0</v>
      </c>
      <c r="N471" s="377">
        <f t="shared" si="39"/>
        <v>0</v>
      </c>
    </row>
    <row r="472" spans="1:14" s="2" customFormat="1" ht="12.75">
      <c r="B472" s="374" t="s">
        <v>1693</v>
      </c>
      <c r="C472" s="3">
        <v>212</v>
      </c>
      <c r="D472" s="381" t="s">
        <v>1420</v>
      </c>
      <c r="E472" s="4"/>
      <c r="F472" s="374" t="s">
        <v>1172</v>
      </c>
      <c r="G472" s="374" t="s">
        <v>1702</v>
      </c>
      <c r="H472" s="375">
        <v>12</v>
      </c>
      <c r="I472" s="379">
        <v>148</v>
      </c>
      <c r="J472" s="376" t="s">
        <v>1171</v>
      </c>
      <c r="K472" s="376"/>
      <c r="L472" s="377">
        <f t="shared" si="37"/>
        <v>0</v>
      </c>
      <c r="M472" s="377">
        <f t="shared" si="38"/>
        <v>0</v>
      </c>
      <c r="N472" s="377">
        <f t="shared" si="39"/>
        <v>0</v>
      </c>
    </row>
    <row r="473" spans="1:14" s="2" customFormat="1" ht="12.75">
      <c r="A473" s="2" t="s">
        <v>1523</v>
      </c>
      <c r="B473" s="374" t="s">
        <v>1427</v>
      </c>
      <c r="C473" s="3">
        <v>301</v>
      </c>
      <c r="D473" s="381" t="s">
        <v>1411</v>
      </c>
      <c r="E473" s="378" t="s">
        <v>54</v>
      </c>
      <c r="F473" s="374" t="s">
        <v>1182</v>
      </c>
      <c r="G473" s="374" t="s">
        <v>1431</v>
      </c>
      <c r="H473" s="375">
        <v>2</v>
      </c>
      <c r="I473" s="379">
        <f>((1.9*0.7)*2)*2</f>
        <v>5.3199999999999994</v>
      </c>
      <c r="J473" s="376" t="s">
        <v>1171</v>
      </c>
      <c r="K473" s="376"/>
      <c r="L473" s="377">
        <f t="shared" si="37"/>
        <v>0</v>
      </c>
      <c r="M473" s="377">
        <f t="shared" si="38"/>
        <v>0</v>
      </c>
      <c r="N473" s="377">
        <f t="shared" si="39"/>
        <v>0</v>
      </c>
    </row>
    <row r="474" spans="1:14" s="2" customFormat="1" ht="12.75">
      <c r="A474" s="2" t="s">
        <v>1523</v>
      </c>
      <c r="B474" s="374" t="s">
        <v>1427</v>
      </c>
      <c r="C474" s="3">
        <v>301</v>
      </c>
      <c r="D474" s="381" t="s">
        <v>1411</v>
      </c>
      <c r="E474" s="378" t="s">
        <v>54</v>
      </c>
      <c r="F474" s="374" t="s">
        <v>1184</v>
      </c>
      <c r="G474" s="374" t="s">
        <v>1431</v>
      </c>
      <c r="H474" s="375">
        <v>2</v>
      </c>
      <c r="I474" s="379">
        <f>((1.9*0.7)*2)*2</f>
        <v>5.3199999999999994</v>
      </c>
      <c r="J474" s="376" t="s">
        <v>1171</v>
      </c>
      <c r="K474" s="376"/>
      <c r="L474" s="377">
        <f t="shared" si="37"/>
        <v>0</v>
      </c>
      <c r="M474" s="377">
        <f t="shared" si="38"/>
        <v>0</v>
      </c>
      <c r="N474" s="377">
        <f t="shared" si="39"/>
        <v>0</v>
      </c>
    </row>
    <row r="475" spans="1:14" s="2" customFormat="1" ht="12.75">
      <c r="A475" s="2" t="s">
        <v>1523</v>
      </c>
      <c r="B475" s="374" t="s">
        <v>1427</v>
      </c>
      <c r="C475" s="3">
        <v>301</v>
      </c>
      <c r="D475" s="381" t="s">
        <v>1411</v>
      </c>
      <c r="E475" s="378" t="s">
        <v>717</v>
      </c>
      <c r="F475" s="374" t="s">
        <v>1182</v>
      </c>
      <c r="G475" s="374" t="s">
        <v>1431</v>
      </c>
      <c r="H475" s="375">
        <v>2</v>
      </c>
      <c r="I475" s="379">
        <f>((4.3*0.7)*2)+((5.9*0.7)*2)</f>
        <v>14.28</v>
      </c>
      <c r="J475" s="376" t="s">
        <v>1171</v>
      </c>
      <c r="K475" s="376"/>
      <c r="L475" s="377">
        <f t="shared" si="37"/>
        <v>0</v>
      </c>
      <c r="M475" s="377">
        <f t="shared" si="38"/>
        <v>0</v>
      </c>
      <c r="N475" s="377">
        <f t="shared" si="39"/>
        <v>0</v>
      </c>
    </row>
    <row r="476" spans="1:14" s="2" customFormat="1" ht="12.75">
      <c r="A476" s="2" t="s">
        <v>1523</v>
      </c>
      <c r="B476" s="374" t="s">
        <v>1427</v>
      </c>
      <c r="C476" s="3">
        <v>301</v>
      </c>
      <c r="D476" s="381" t="s">
        <v>1411</v>
      </c>
      <c r="E476" s="378" t="s">
        <v>717</v>
      </c>
      <c r="F476" s="374" t="s">
        <v>1184</v>
      </c>
      <c r="G476" s="374" t="s">
        <v>1431</v>
      </c>
      <c r="H476" s="375">
        <v>2</v>
      </c>
      <c r="I476" s="379">
        <f>((4.3*0.7)*2)+((5.9*0.7)*2)</f>
        <v>14.28</v>
      </c>
      <c r="J476" s="376" t="s">
        <v>1171</v>
      </c>
      <c r="K476" s="376"/>
      <c r="L476" s="377">
        <f t="shared" si="37"/>
        <v>0</v>
      </c>
      <c r="M476" s="377">
        <f t="shared" si="38"/>
        <v>0</v>
      </c>
      <c r="N476" s="377">
        <f t="shared" si="39"/>
        <v>0</v>
      </c>
    </row>
    <row r="477" spans="1:14" s="2" customFormat="1" ht="12.75">
      <c r="A477" s="2" t="s">
        <v>1524</v>
      </c>
      <c r="B477" s="374" t="s">
        <v>1427</v>
      </c>
      <c r="C477" s="3">
        <v>301</v>
      </c>
      <c r="D477" s="381" t="s">
        <v>1411</v>
      </c>
      <c r="E477" s="4"/>
      <c r="F477" s="374" t="s">
        <v>1172</v>
      </c>
      <c r="G477" s="374" t="s">
        <v>1320</v>
      </c>
      <c r="H477" s="375">
        <v>26</v>
      </c>
      <c r="I477" s="379">
        <v>285</v>
      </c>
      <c r="J477" s="376" t="s">
        <v>1171</v>
      </c>
      <c r="K477" s="376" t="s">
        <v>1321</v>
      </c>
      <c r="L477" s="377">
        <f t="shared" si="37"/>
        <v>0</v>
      </c>
      <c r="M477" s="377">
        <f t="shared" si="38"/>
        <v>0</v>
      </c>
      <c r="N477" s="377">
        <f t="shared" si="39"/>
        <v>0</v>
      </c>
    </row>
    <row r="478" spans="1:14" s="2" customFormat="1" ht="12.75">
      <c r="A478" s="2" t="s">
        <v>1525</v>
      </c>
      <c r="B478" s="374" t="s">
        <v>1432</v>
      </c>
      <c r="C478" s="3">
        <v>302</v>
      </c>
      <c r="D478" s="381" t="s">
        <v>1411</v>
      </c>
      <c r="E478" s="378" t="s">
        <v>1433</v>
      </c>
      <c r="F478" s="374" t="s">
        <v>1173</v>
      </c>
      <c r="G478" s="374" t="s">
        <v>1434</v>
      </c>
      <c r="H478" s="375">
        <v>2</v>
      </c>
      <c r="I478" s="379">
        <f>(7*1.8)+(12*1.8)+(8.6*8)-(2*(2*4.6))+(7*8.6)+(8*8.6)+(5*4.6)+(7.5*3.4)+(5.5*1.8)</f>
        <v>271.99999999999994</v>
      </c>
      <c r="J478" s="376" t="s">
        <v>1171</v>
      </c>
      <c r="K478" s="376"/>
      <c r="L478" s="377">
        <f t="shared" si="37"/>
        <v>0</v>
      </c>
      <c r="M478" s="377">
        <f t="shared" si="38"/>
        <v>0</v>
      </c>
      <c r="N478" s="377">
        <f t="shared" si="39"/>
        <v>0</v>
      </c>
    </row>
    <row r="479" spans="1:14" s="2" customFormat="1" ht="12.75">
      <c r="A479" s="2" t="s">
        <v>1525</v>
      </c>
      <c r="B479" s="374" t="s">
        <v>1432</v>
      </c>
      <c r="C479" s="3">
        <v>302</v>
      </c>
      <c r="D479" s="381" t="s">
        <v>1411</v>
      </c>
      <c r="E479" s="378" t="s">
        <v>1433</v>
      </c>
      <c r="F479" s="374" t="s">
        <v>1170</v>
      </c>
      <c r="G479" s="374" t="s">
        <v>1435</v>
      </c>
      <c r="H479" s="375">
        <v>2</v>
      </c>
      <c r="I479" s="379">
        <f>(12*1.8)+(8.6*8)-(2*(2*4.6))+(7*8.6)+(8*8.6)+(5*4.6)+(7.5*3.4)+(5.5*1.8)</f>
        <v>259.39999999999998</v>
      </c>
      <c r="J479" s="376" t="s">
        <v>1174</v>
      </c>
      <c r="K479" s="376"/>
      <c r="L479" s="377">
        <f t="shared" si="37"/>
        <v>0</v>
      </c>
      <c r="M479" s="377">
        <f t="shared" si="38"/>
        <v>0</v>
      </c>
      <c r="N479" s="377">
        <f t="shared" si="39"/>
        <v>0</v>
      </c>
    </row>
    <row r="480" spans="1:14" s="2" customFormat="1" ht="12.75">
      <c r="A480" s="2" t="s">
        <v>1525</v>
      </c>
      <c r="B480" s="374" t="s">
        <v>1432</v>
      </c>
      <c r="C480" s="3">
        <v>302</v>
      </c>
      <c r="D480" s="381" t="s">
        <v>1411</v>
      </c>
      <c r="E480" s="378" t="s">
        <v>1433</v>
      </c>
      <c r="F480" s="374" t="s">
        <v>1170</v>
      </c>
      <c r="G480" s="374" t="s">
        <v>1436</v>
      </c>
      <c r="H480" s="375">
        <v>2</v>
      </c>
      <c r="I480" s="379">
        <f>(7*1.8)</f>
        <v>12.6</v>
      </c>
      <c r="J480" s="376" t="s">
        <v>1171</v>
      </c>
      <c r="K480" s="376"/>
      <c r="L480" s="377">
        <f t="shared" si="37"/>
        <v>0</v>
      </c>
      <c r="M480" s="377">
        <f t="shared" si="38"/>
        <v>0</v>
      </c>
      <c r="N480" s="377">
        <f t="shared" si="39"/>
        <v>0</v>
      </c>
    </row>
    <row r="481" spans="1:14" s="2" customFormat="1" ht="12.75">
      <c r="A481" s="2" t="s">
        <v>1525</v>
      </c>
      <c r="B481" s="374" t="s">
        <v>1432</v>
      </c>
      <c r="C481" s="3">
        <v>302</v>
      </c>
      <c r="D481" s="381" t="s">
        <v>1411</v>
      </c>
      <c r="E481" s="378" t="s">
        <v>1437</v>
      </c>
      <c r="F481" s="374" t="s">
        <v>1182</v>
      </c>
      <c r="G481" s="374" t="s">
        <v>125</v>
      </c>
      <c r="H481" s="375">
        <v>2</v>
      </c>
      <c r="I481" s="379">
        <f>(6*0.8)+(7.5*0.45)</f>
        <v>8.1750000000000007</v>
      </c>
      <c r="J481" s="376" t="s">
        <v>1171</v>
      </c>
      <c r="K481" s="376"/>
      <c r="L481" s="377">
        <f t="shared" si="37"/>
        <v>0</v>
      </c>
      <c r="M481" s="377">
        <f t="shared" si="38"/>
        <v>0</v>
      </c>
      <c r="N481" s="377">
        <f t="shared" si="39"/>
        <v>0</v>
      </c>
    </row>
    <row r="482" spans="1:14" s="2" customFormat="1" ht="12.75">
      <c r="A482" s="2" t="s">
        <v>1525</v>
      </c>
      <c r="B482" s="374" t="s">
        <v>1432</v>
      </c>
      <c r="C482" s="3">
        <v>302</v>
      </c>
      <c r="D482" s="381" t="s">
        <v>1411</v>
      </c>
      <c r="E482" s="378" t="s">
        <v>1437</v>
      </c>
      <c r="F482" s="374" t="s">
        <v>1184</v>
      </c>
      <c r="G482" s="374" t="s">
        <v>125</v>
      </c>
      <c r="H482" s="375">
        <v>2</v>
      </c>
      <c r="I482" s="379">
        <f>(6*0.8)+(7.5*0.45)</f>
        <v>8.1750000000000007</v>
      </c>
      <c r="J482" s="376" t="s">
        <v>1171</v>
      </c>
      <c r="K482" s="376"/>
      <c r="L482" s="377">
        <f t="shared" si="37"/>
        <v>0</v>
      </c>
      <c r="M482" s="377">
        <f t="shared" si="38"/>
        <v>0</v>
      </c>
      <c r="N482" s="377">
        <f t="shared" si="39"/>
        <v>0</v>
      </c>
    </row>
    <row r="483" spans="1:14" s="2" customFormat="1" ht="12.75">
      <c r="A483" s="2" t="s">
        <v>1525</v>
      </c>
      <c r="B483" s="374" t="s">
        <v>1432</v>
      </c>
      <c r="C483" s="3">
        <v>302</v>
      </c>
      <c r="D483" s="381" t="s">
        <v>1411</v>
      </c>
      <c r="E483" s="378" t="s">
        <v>143</v>
      </c>
      <c r="F483" s="374" t="s">
        <v>1173</v>
      </c>
      <c r="G483" s="374" t="s">
        <v>1434</v>
      </c>
      <c r="H483" s="375">
        <v>2</v>
      </c>
      <c r="I483" s="379">
        <v>126.71</v>
      </c>
      <c r="J483" s="376" t="s">
        <v>1171</v>
      </c>
      <c r="K483" s="376"/>
      <c r="L483" s="377">
        <f t="shared" si="37"/>
        <v>0</v>
      </c>
      <c r="M483" s="377">
        <f t="shared" si="38"/>
        <v>0</v>
      </c>
      <c r="N483" s="377">
        <f t="shared" si="39"/>
        <v>0</v>
      </c>
    </row>
    <row r="484" spans="1:14" s="2" customFormat="1" ht="12.75">
      <c r="A484" s="2" t="s">
        <v>1525</v>
      </c>
      <c r="B484" s="374" t="s">
        <v>1432</v>
      </c>
      <c r="C484" s="3">
        <v>302</v>
      </c>
      <c r="D484" s="381" t="s">
        <v>1411</v>
      </c>
      <c r="E484" s="378" t="s">
        <v>143</v>
      </c>
      <c r="F484" s="374" t="s">
        <v>1170</v>
      </c>
      <c r="G484" s="374" t="s">
        <v>1439</v>
      </c>
      <c r="H484" s="375">
        <v>2</v>
      </c>
      <c r="I484" s="379">
        <v>126.71</v>
      </c>
      <c r="J484" s="376" t="s">
        <v>1171</v>
      </c>
      <c r="K484" s="376"/>
      <c r="L484" s="377">
        <f t="shared" si="37"/>
        <v>0</v>
      </c>
      <c r="M484" s="377">
        <f t="shared" si="38"/>
        <v>0</v>
      </c>
      <c r="N484" s="377">
        <f t="shared" si="39"/>
        <v>0</v>
      </c>
    </row>
    <row r="485" spans="1:14" s="2" customFormat="1" ht="12.75">
      <c r="B485" s="374" t="s">
        <v>1432</v>
      </c>
      <c r="C485" s="3">
        <v>302</v>
      </c>
      <c r="D485" s="381" t="s">
        <v>1411</v>
      </c>
      <c r="E485" s="378" t="s">
        <v>143</v>
      </c>
      <c r="F485" s="374" t="s">
        <v>1170</v>
      </c>
      <c r="G485" s="374" t="s">
        <v>1995</v>
      </c>
      <c r="H485" s="375">
        <v>2</v>
      </c>
      <c r="I485" s="379">
        <v>44.9</v>
      </c>
      <c r="J485" s="376" t="s">
        <v>1171</v>
      </c>
      <c r="K485" s="376"/>
      <c r="L485" s="377">
        <f t="shared" si="37"/>
        <v>0</v>
      </c>
      <c r="M485" s="377">
        <f t="shared" si="38"/>
        <v>0</v>
      </c>
      <c r="N485" s="377">
        <f t="shared" si="39"/>
        <v>0</v>
      </c>
    </row>
    <row r="486" spans="1:14" s="2" customFormat="1" ht="12.75">
      <c r="A486" s="2" t="s">
        <v>1526</v>
      </c>
      <c r="B486" s="374" t="s">
        <v>1410</v>
      </c>
      <c r="C486" s="3">
        <v>302</v>
      </c>
      <c r="D486" s="381" t="s">
        <v>1411</v>
      </c>
      <c r="E486" s="4"/>
      <c r="F486" s="374" t="s">
        <v>1172</v>
      </c>
      <c r="G486" s="374" t="s">
        <v>1320</v>
      </c>
      <c r="H486" s="375">
        <v>26</v>
      </c>
      <c r="I486" s="379">
        <f>2*40</f>
        <v>80</v>
      </c>
      <c r="J486" s="376" t="s">
        <v>1171</v>
      </c>
      <c r="K486" s="376" t="s">
        <v>1321</v>
      </c>
      <c r="L486" s="377">
        <f t="shared" si="37"/>
        <v>0</v>
      </c>
      <c r="M486" s="377">
        <f t="shared" si="38"/>
        <v>0</v>
      </c>
      <c r="N486" s="377">
        <f t="shared" si="39"/>
        <v>0</v>
      </c>
    </row>
    <row r="487" spans="1:14" s="2" customFormat="1" ht="12.75">
      <c r="A487" s="2" t="s">
        <v>1527</v>
      </c>
      <c r="B487" s="374" t="s">
        <v>133</v>
      </c>
      <c r="C487" s="3">
        <v>303</v>
      </c>
      <c r="D487" s="381" t="s">
        <v>1411</v>
      </c>
      <c r="E487" s="378" t="s">
        <v>54</v>
      </c>
      <c r="F487" s="374" t="s">
        <v>1173</v>
      </c>
      <c r="G487" s="374" t="s">
        <v>1440</v>
      </c>
      <c r="H487" s="375">
        <v>2</v>
      </c>
      <c r="I487" s="379">
        <f>((1.3*6.5+5*4.5)+(1.4*7.25+5.5*3.2+5.8*5.5+1*16)+(6.5*1+6.5*5.5+5*4.5)+(1.4*7.25+7.3*5+16*1))</f>
        <v>234.00000000000003</v>
      </c>
      <c r="J487" s="376" t="s">
        <v>1171</v>
      </c>
      <c r="K487" s="376"/>
      <c r="L487" s="377">
        <f t="shared" si="37"/>
        <v>0</v>
      </c>
      <c r="M487" s="377">
        <f t="shared" si="38"/>
        <v>0</v>
      </c>
      <c r="N487" s="377">
        <f t="shared" si="39"/>
        <v>0</v>
      </c>
    </row>
    <row r="488" spans="1:14" s="2" customFormat="1" ht="12.75">
      <c r="A488" s="2" t="s">
        <v>1527</v>
      </c>
      <c r="B488" s="374" t="s">
        <v>133</v>
      </c>
      <c r="C488" s="3">
        <v>303</v>
      </c>
      <c r="D488" s="381" t="s">
        <v>1411</v>
      </c>
      <c r="E488" s="378" t="s">
        <v>54</v>
      </c>
      <c r="F488" s="374" t="s">
        <v>1170</v>
      </c>
      <c r="G488" s="374" t="s">
        <v>1441</v>
      </c>
      <c r="H488" s="375">
        <v>2</v>
      </c>
      <c r="I488" s="379">
        <f>(1.4*7.25+5.5*3.2+5.8*5.5+1*16)+(6.5*1+6.5*5.5+5*4.5)+(1.4*7.25+7.3*5+16*1)</f>
        <v>203.05</v>
      </c>
      <c r="J488" s="376" t="s">
        <v>1174</v>
      </c>
      <c r="K488" s="376"/>
      <c r="L488" s="377">
        <f t="shared" si="37"/>
        <v>0</v>
      </c>
      <c r="M488" s="377">
        <f t="shared" si="38"/>
        <v>0</v>
      </c>
      <c r="N488" s="377">
        <f t="shared" si="39"/>
        <v>0</v>
      </c>
    </row>
    <row r="489" spans="1:14" s="2" customFormat="1" ht="12.75">
      <c r="A489" s="2" t="s">
        <v>1527</v>
      </c>
      <c r="B489" s="374" t="s">
        <v>133</v>
      </c>
      <c r="C489" s="3">
        <v>303</v>
      </c>
      <c r="D489" s="381" t="s">
        <v>1411</v>
      </c>
      <c r="E489" s="378" t="s">
        <v>54</v>
      </c>
      <c r="F489" s="374" t="s">
        <v>1173</v>
      </c>
      <c r="G489" s="374" t="s">
        <v>1442</v>
      </c>
      <c r="H489" s="375">
        <v>2</v>
      </c>
      <c r="I489" s="379">
        <f>1.3*6.5+5*4.5</f>
        <v>30.950000000000003</v>
      </c>
      <c r="J489" s="376" t="s">
        <v>1171</v>
      </c>
      <c r="K489" s="376"/>
      <c r="L489" s="377">
        <f t="shared" si="37"/>
        <v>0</v>
      </c>
      <c r="M489" s="377">
        <f t="shared" si="38"/>
        <v>0</v>
      </c>
      <c r="N489" s="377">
        <f t="shared" si="39"/>
        <v>0</v>
      </c>
    </row>
    <row r="490" spans="1:14" s="2" customFormat="1" ht="12.75">
      <c r="A490" s="2" t="s">
        <v>1527</v>
      </c>
      <c r="B490" s="374" t="s">
        <v>133</v>
      </c>
      <c r="C490" s="3">
        <v>303</v>
      </c>
      <c r="D490" s="381" t="s">
        <v>1411</v>
      </c>
      <c r="E490" s="378" t="s">
        <v>54</v>
      </c>
      <c r="F490" s="374" t="s">
        <v>1179</v>
      </c>
      <c r="G490" s="374" t="s">
        <v>1443</v>
      </c>
      <c r="H490" s="375">
        <v>2</v>
      </c>
      <c r="I490" s="379">
        <f>6.5*16</f>
        <v>104</v>
      </c>
      <c r="J490" s="376" t="s">
        <v>1171</v>
      </c>
      <c r="K490" s="376"/>
      <c r="L490" s="377">
        <f t="shared" si="37"/>
        <v>0</v>
      </c>
      <c r="M490" s="377">
        <f t="shared" si="38"/>
        <v>0</v>
      </c>
      <c r="N490" s="377">
        <f t="shared" si="39"/>
        <v>0</v>
      </c>
    </row>
    <row r="491" spans="1:14" s="2" customFormat="1" ht="12.75">
      <c r="A491" s="2" t="s">
        <v>1527</v>
      </c>
      <c r="B491" s="374" t="s">
        <v>133</v>
      </c>
      <c r="C491" s="3">
        <v>303</v>
      </c>
      <c r="D491" s="381" t="s">
        <v>1411</v>
      </c>
      <c r="E491" s="378" t="s">
        <v>54</v>
      </c>
      <c r="F491" s="374" t="s">
        <v>1181</v>
      </c>
      <c r="G491" s="374" t="s">
        <v>1443</v>
      </c>
      <c r="H491" s="375">
        <v>2</v>
      </c>
      <c r="I491" s="379">
        <f>6.5*16</f>
        <v>104</v>
      </c>
      <c r="J491" s="376" t="s">
        <v>1174</v>
      </c>
      <c r="K491" s="376"/>
      <c r="L491" s="377">
        <f t="shared" si="37"/>
        <v>0</v>
      </c>
      <c r="M491" s="377">
        <f t="shared" si="38"/>
        <v>0</v>
      </c>
      <c r="N491" s="377">
        <f t="shared" si="39"/>
        <v>0</v>
      </c>
    </row>
    <row r="492" spans="1:14" s="2" customFormat="1" ht="12.75">
      <c r="A492" s="2" t="s">
        <v>1527</v>
      </c>
      <c r="B492" s="374" t="s">
        <v>133</v>
      </c>
      <c r="C492" s="3">
        <v>303</v>
      </c>
      <c r="D492" s="381" t="s">
        <v>1411</v>
      </c>
      <c r="E492" s="378" t="s">
        <v>54</v>
      </c>
      <c r="F492" s="374" t="s">
        <v>1179</v>
      </c>
      <c r="G492" s="374" t="s">
        <v>1444</v>
      </c>
      <c r="H492" s="375">
        <v>2</v>
      </c>
      <c r="I492" s="379">
        <f>8.9*18.5</f>
        <v>164.65</v>
      </c>
      <c r="J492" s="376" t="s">
        <v>1171</v>
      </c>
      <c r="K492" s="376"/>
      <c r="L492" s="377">
        <f t="shared" si="37"/>
        <v>0</v>
      </c>
      <c r="M492" s="377">
        <f t="shared" si="38"/>
        <v>0</v>
      </c>
      <c r="N492" s="377">
        <f t="shared" si="39"/>
        <v>0</v>
      </c>
    </row>
    <row r="493" spans="1:14" s="2" customFormat="1" ht="12.75">
      <c r="A493" s="2" t="s">
        <v>1527</v>
      </c>
      <c r="B493" s="374" t="s">
        <v>133</v>
      </c>
      <c r="C493" s="3">
        <v>303</v>
      </c>
      <c r="D493" s="381" t="s">
        <v>1411</v>
      </c>
      <c r="E493" s="378" t="s">
        <v>54</v>
      </c>
      <c r="F493" s="374" t="s">
        <v>1181</v>
      </c>
      <c r="G493" s="374" t="s">
        <v>1444</v>
      </c>
      <c r="H493" s="375">
        <v>2</v>
      </c>
      <c r="I493" s="379">
        <f>8.9*18.5</f>
        <v>164.65</v>
      </c>
      <c r="J493" s="376" t="s">
        <v>1174</v>
      </c>
      <c r="K493" s="376"/>
      <c r="L493" s="377">
        <f t="shared" si="37"/>
        <v>0</v>
      </c>
      <c r="M493" s="377">
        <f t="shared" si="38"/>
        <v>0</v>
      </c>
      <c r="N493" s="377">
        <f t="shared" si="39"/>
        <v>0</v>
      </c>
    </row>
    <row r="494" spans="1:14" s="2" customFormat="1" ht="12.75">
      <c r="A494" s="2" t="s">
        <v>1527</v>
      </c>
      <c r="B494" s="374" t="s">
        <v>133</v>
      </c>
      <c r="C494" s="3">
        <v>303</v>
      </c>
      <c r="D494" s="381" t="s">
        <v>1411</v>
      </c>
      <c r="E494" s="378" t="s">
        <v>54</v>
      </c>
      <c r="F494" s="374" t="s">
        <v>1182</v>
      </c>
      <c r="G494" s="374" t="s">
        <v>1445</v>
      </c>
      <c r="H494" s="375">
        <v>2</v>
      </c>
      <c r="I494" s="379">
        <f>0.9*3+0.6*6.1</f>
        <v>6.3599999999999994</v>
      </c>
      <c r="J494" s="376" t="s">
        <v>1171</v>
      </c>
      <c r="K494" s="376"/>
      <c r="L494" s="377">
        <f t="shared" si="37"/>
        <v>0</v>
      </c>
      <c r="M494" s="377">
        <f t="shared" si="38"/>
        <v>0</v>
      </c>
      <c r="N494" s="377">
        <f t="shared" si="39"/>
        <v>0</v>
      </c>
    </row>
    <row r="495" spans="1:14" s="2" customFormat="1" ht="12.75">
      <c r="A495" s="2" t="s">
        <v>1527</v>
      </c>
      <c r="B495" s="374" t="s">
        <v>133</v>
      </c>
      <c r="C495" s="3">
        <v>303</v>
      </c>
      <c r="D495" s="381" t="s">
        <v>1411</v>
      </c>
      <c r="E495" s="378" t="s">
        <v>54</v>
      </c>
      <c r="F495" s="374" t="s">
        <v>1184</v>
      </c>
      <c r="G495" s="374" t="s">
        <v>1445</v>
      </c>
      <c r="H495" s="375">
        <v>2</v>
      </c>
      <c r="I495" s="379">
        <f>0.9*3+0.6*6.1</f>
        <v>6.3599999999999994</v>
      </c>
      <c r="J495" s="376" t="s">
        <v>1171</v>
      </c>
      <c r="K495" s="376"/>
      <c r="L495" s="377">
        <f t="shared" si="37"/>
        <v>0</v>
      </c>
      <c r="M495" s="377">
        <f t="shared" si="38"/>
        <v>0</v>
      </c>
      <c r="N495" s="377">
        <f t="shared" si="39"/>
        <v>0</v>
      </c>
    </row>
    <row r="496" spans="1:14" s="2" customFormat="1" ht="12.75">
      <c r="A496" s="2" t="s">
        <v>1527</v>
      </c>
      <c r="B496" s="374" t="s">
        <v>133</v>
      </c>
      <c r="C496" s="3">
        <v>303</v>
      </c>
      <c r="D496" s="381" t="s">
        <v>1411</v>
      </c>
      <c r="E496" s="378" t="s">
        <v>54</v>
      </c>
      <c r="F496" s="374" t="s">
        <v>1173</v>
      </c>
      <c r="G496" s="374" t="s">
        <v>1446</v>
      </c>
      <c r="H496" s="375">
        <v>2</v>
      </c>
      <c r="I496" s="379">
        <f>((1.3*6.5+5*4.5)+(1.4*6+7.25*5.45+17*1.8)+(6.5*1+6.5*5.5+5*4.5)+(1.4*7.6+5.5*3.2+5.5*4.5))</f>
        <v>227.20250000000001</v>
      </c>
      <c r="J496" s="376" t="s">
        <v>1171</v>
      </c>
      <c r="K496" s="376"/>
      <c r="L496" s="377">
        <f t="shared" si="37"/>
        <v>0</v>
      </c>
      <c r="M496" s="377">
        <f t="shared" si="38"/>
        <v>0</v>
      </c>
      <c r="N496" s="377">
        <f t="shared" si="39"/>
        <v>0</v>
      </c>
    </row>
    <row r="497" spans="1:14" s="2" customFormat="1" ht="12.75">
      <c r="A497" s="2" t="s">
        <v>1527</v>
      </c>
      <c r="B497" s="374" t="s">
        <v>133</v>
      </c>
      <c r="C497" s="3">
        <v>303</v>
      </c>
      <c r="D497" s="381" t="s">
        <v>1411</v>
      </c>
      <c r="E497" s="378" t="s">
        <v>54</v>
      </c>
      <c r="F497" s="374" t="s">
        <v>1170</v>
      </c>
      <c r="G497" s="374" t="s">
        <v>1447</v>
      </c>
      <c r="H497" s="375">
        <v>2</v>
      </c>
      <c r="I497" s="379">
        <f>(1.4*6+7.25*5.45+17*1.8)+(6.5*1+6.5*5.5+5*4.5)+(1.4*7.6+5.5*3.2+5.5*4.5)</f>
        <v>196.2525</v>
      </c>
      <c r="J497" s="376" t="s">
        <v>1174</v>
      </c>
      <c r="K497" s="376"/>
      <c r="L497" s="377">
        <f t="shared" si="37"/>
        <v>0</v>
      </c>
      <c r="M497" s="377">
        <f t="shared" si="38"/>
        <v>0</v>
      </c>
      <c r="N497" s="377">
        <f t="shared" si="39"/>
        <v>0</v>
      </c>
    </row>
    <row r="498" spans="1:14" s="2" customFormat="1" ht="12.75">
      <c r="A498" s="2" t="s">
        <v>1527</v>
      </c>
      <c r="B498" s="374" t="s">
        <v>133</v>
      </c>
      <c r="C498" s="3">
        <v>303</v>
      </c>
      <c r="D498" s="381" t="s">
        <v>1411</v>
      </c>
      <c r="E498" s="378" t="s">
        <v>54</v>
      </c>
      <c r="F498" s="374" t="s">
        <v>1173</v>
      </c>
      <c r="G498" s="374" t="s">
        <v>1448</v>
      </c>
      <c r="H498" s="375">
        <v>2</v>
      </c>
      <c r="I498" s="379">
        <f>1.3*6.5+5*4.5</f>
        <v>30.950000000000003</v>
      </c>
      <c r="J498" s="376" t="s">
        <v>1171</v>
      </c>
      <c r="K498" s="376"/>
      <c r="L498" s="377">
        <f t="shared" si="37"/>
        <v>0</v>
      </c>
      <c r="M498" s="377">
        <f t="shared" si="38"/>
        <v>0</v>
      </c>
      <c r="N498" s="377">
        <f t="shared" si="39"/>
        <v>0</v>
      </c>
    </row>
    <row r="499" spans="1:14" s="2" customFormat="1" ht="12.75">
      <c r="A499" s="2" t="s">
        <v>1527</v>
      </c>
      <c r="B499" s="374" t="s">
        <v>133</v>
      </c>
      <c r="C499" s="3">
        <v>303</v>
      </c>
      <c r="D499" s="381" t="s">
        <v>1411</v>
      </c>
      <c r="E499" s="378" t="s">
        <v>54</v>
      </c>
      <c r="F499" s="374" t="s">
        <v>1179</v>
      </c>
      <c r="G499" s="374" t="s">
        <v>1449</v>
      </c>
      <c r="H499" s="375">
        <v>2</v>
      </c>
      <c r="I499" s="379">
        <f>3.1*4+3*(13*0.6)*2</f>
        <v>59.199999999999996</v>
      </c>
      <c r="J499" s="376" t="s">
        <v>1171</v>
      </c>
      <c r="K499" s="376"/>
      <c r="L499" s="377">
        <f t="shared" si="37"/>
        <v>0</v>
      </c>
      <c r="M499" s="377">
        <f t="shared" si="38"/>
        <v>0</v>
      </c>
      <c r="N499" s="377">
        <f t="shared" si="39"/>
        <v>0</v>
      </c>
    </row>
    <row r="500" spans="1:14" s="2" customFormat="1" ht="12.75">
      <c r="A500" s="2" t="s">
        <v>1527</v>
      </c>
      <c r="B500" s="374" t="s">
        <v>133</v>
      </c>
      <c r="C500" s="3">
        <v>303</v>
      </c>
      <c r="D500" s="381" t="s">
        <v>1411</v>
      </c>
      <c r="E500" s="378" t="s">
        <v>54</v>
      </c>
      <c r="F500" s="374" t="s">
        <v>1181</v>
      </c>
      <c r="G500" s="374" t="s">
        <v>1449</v>
      </c>
      <c r="H500" s="375">
        <v>2</v>
      </c>
      <c r="I500" s="379">
        <f>3.1*4+3*(13*0.6)*2</f>
        <v>59.199999999999996</v>
      </c>
      <c r="J500" s="376" t="s">
        <v>1174</v>
      </c>
      <c r="K500" s="376"/>
      <c r="L500" s="377">
        <f t="shared" si="37"/>
        <v>0</v>
      </c>
      <c r="M500" s="377">
        <f t="shared" si="38"/>
        <v>0</v>
      </c>
      <c r="N500" s="377">
        <f t="shared" si="39"/>
        <v>0</v>
      </c>
    </row>
    <row r="501" spans="1:14" s="2" customFormat="1" ht="12.75">
      <c r="A501" s="2" t="s">
        <v>1527</v>
      </c>
      <c r="B501" s="374" t="s">
        <v>133</v>
      </c>
      <c r="C501" s="3">
        <v>303</v>
      </c>
      <c r="D501" s="381" t="s">
        <v>1411</v>
      </c>
      <c r="E501" s="378" t="s">
        <v>54</v>
      </c>
      <c r="F501" s="374" t="s">
        <v>1179</v>
      </c>
      <c r="G501" s="374" t="s">
        <v>1450</v>
      </c>
      <c r="H501" s="375">
        <v>2</v>
      </c>
      <c r="I501" s="379">
        <f>8.9*18.6</f>
        <v>165.54000000000002</v>
      </c>
      <c r="J501" s="376" t="s">
        <v>1171</v>
      </c>
      <c r="K501" s="376"/>
      <c r="L501" s="377">
        <f t="shared" si="37"/>
        <v>0</v>
      </c>
      <c r="M501" s="377">
        <f t="shared" si="38"/>
        <v>0</v>
      </c>
      <c r="N501" s="377">
        <f t="shared" si="39"/>
        <v>0</v>
      </c>
    </row>
    <row r="502" spans="1:14" s="2" customFormat="1" ht="12.75">
      <c r="A502" s="2" t="s">
        <v>1527</v>
      </c>
      <c r="B502" s="374" t="s">
        <v>133</v>
      </c>
      <c r="C502" s="3">
        <v>303</v>
      </c>
      <c r="D502" s="381" t="s">
        <v>1411</v>
      </c>
      <c r="E502" s="378" t="s">
        <v>54</v>
      </c>
      <c r="F502" s="374" t="s">
        <v>1181</v>
      </c>
      <c r="G502" s="374" t="s">
        <v>1450</v>
      </c>
      <c r="H502" s="375">
        <v>2</v>
      </c>
      <c r="I502" s="379">
        <f>8.9*18.6</f>
        <v>165.54000000000002</v>
      </c>
      <c r="J502" s="376" t="s">
        <v>1171</v>
      </c>
      <c r="K502" s="376"/>
      <c r="L502" s="377">
        <f t="shared" si="37"/>
        <v>0</v>
      </c>
      <c r="M502" s="377">
        <f t="shared" si="38"/>
        <v>0</v>
      </c>
      <c r="N502" s="377">
        <f t="shared" si="39"/>
        <v>0</v>
      </c>
    </row>
    <row r="503" spans="1:14" s="2" customFormat="1" ht="12.75">
      <c r="A503" s="2" t="s">
        <v>1527</v>
      </c>
      <c r="B503" s="374" t="s">
        <v>133</v>
      </c>
      <c r="C503" s="3">
        <v>303</v>
      </c>
      <c r="D503" s="381" t="s">
        <v>1411</v>
      </c>
      <c r="E503" s="378" t="s">
        <v>54</v>
      </c>
      <c r="F503" s="374" t="s">
        <v>1173</v>
      </c>
      <c r="G503" s="374" t="s">
        <v>1451</v>
      </c>
      <c r="H503" s="375">
        <v>2</v>
      </c>
      <c r="I503" s="379">
        <f>1.8*(18.5+3)</f>
        <v>38.700000000000003</v>
      </c>
      <c r="J503" s="376" t="s">
        <v>1171</v>
      </c>
      <c r="K503" s="376"/>
      <c r="L503" s="377">
        <f t="shared" si="37"/>
        <v>0</v>
      </c>
      <c r="M503" s="377">
        <f t="shared" si="38"/>
        <v>0</v>
      </c>
      <c r="N503" s="377">
        <f t="shared" si="39"/>
        <v>0</v>
      </c>
    </row>
    <row r="504" spans="1:14" s="2" customFormat="1" ht="12.75">
      <c r="A504" s="2" t="s">
        <v>1527</v>
      </c>
      <c r="B504" s="374" t="s">
        <v>133</v>
      </c>
      <c r="C504" s="3">
        <v>303</v>
      </c>
      <c r="D504" s="381" t="s">
        <v>1411</v>
      </c>
      <c r="E504" s="378" t="s">
        <v>54</v>
      </c>
      <c r="F504" s="374" t="s">
        <v>1170</v>
      </c>
      <c r="G504" s="374" t="s">
        <v>1451</v>
      </c>
      <c r="H504" s="375">
        <v>2</v>
      </c>
      <c r="I504" s="379">
        <f>1.8*(18.5+3)</f>
        <v>38.700000000000003</v>
      </c>
      <c r="J504" s="376" t="s">
        <v>1174</v>
      </c>
      <c r="K504" s="376"/>
      <c r="L504" s="377">
        <f t="shared" si="37"/>
        <v>0</v>
      </c>
      <c r="M504" s="377">
        <f t="shared" si="38"/>
        <v>0</v>
      </c>
      <c r="N504" s="377">
        <f t="shared" si="39"/>
        <v>0</v>
      </c>
    </row>
    <row r="505" spans="1:14" s="2" customFormat="1" ht="12.75">
      <c r="A505" s="2" t="s">
        <v>1527</v>
      </c>
      <c r="B505" s="374" t="s">
        <v>133</v>
      </c>
      <c r="C505" s="3">
        <v>303</v>
      </c>
      <c r="D505" s="381" t="s">
        <v>1411</v>
      </c>
      <c r="E505" s="378" t="s">
        <v>54</v>
      </c>
      <c r="F505" s="374" t="s">
        <v>1179</v>
      </c>
      <c r="G505" s="374" t="s">
        <v>1451</v>
      </c>
      <c r="H505" s="375">
        <v>2</v>
      </c>
      <c r="I505" s="379">
        <f>18.5*3</f>
        <v>55.5</v>
      </c>
      <c r="J505" s="376" t="s">
        <v>1171</v>
      </c>
      <c r="K505" s="376"/>
      <c r="L505" s="377">
        <f t="shared" si="37"/>
        <v>0</v>
      </c>
      <c r="M505" s="377">
        <f t="shared" si="38"/>
        <v>0</v>
      </c>
      <c r="N505" s="377">
        <f t="shared" si="39"/>
        <v>0</v>
      </c>
    </row>
    <row r="506" spans="1:14" s="2" customFormat="1" ht="12.75">
      <c r="A506" s="2" t="s">
        <v>1527</v>
      </c>
      <c r="B506" s="374" t="s">
        <v>133</v>
      </c>
      <c r="C506" s="3">
        <v>303</v>
      </c>
      <c r="D506" s="381" t="s">
        <v>1411</v>
      </c>
      <c r="E506" s="378" t="s">
        <v>54</v>
      </c>
      <c r="F506" s="374" t="s">
        <v>1181</v>
      </c>
      <c r="G506" s="374" t="s">
        <v>1451</v>
      </c>
      <c r="H506" s="375">
        <v>2</v>
      </c>
      <c r="I506" s="379">
        <f>18.5*3</f>
        <v>55.5</v>
      </c>
      <c r="J506" s="376" t="s">
        <v>1174</v>
      </c>
      <c r="K506" s="376"/>
      <c r="L506" s="377">
        <f t="shared" si="37"/>
        <v>0</v>
      </c>
      <c r="M506" s="377">
        <f t="shared" si="38"/>
        <v>0</v>
      </c>
      <c r="N506" s="377">
        <f t="shared" si="39"/>
        <v>0</v>
      </c>
    </row>
    <row r="507" spans="1:14" s="2" customFormat="1" ht="12.75">
      <c r="A507" s="2" t="s">
        <v>1528</v>
      </c>
      <c r="B507" s="374" t="s">
        <v>133</v>
      </c>
      <c r="C507" s="3">
        <v>303</v>
      </c>
      <c r="D507" s="381" t="s">
        <v>1411</v>
      </c>
      <c r="E507" s="4"/>
      <c r="F507" s="374" t="s">
        <v>1172</v>
      </c>
      <c r="G507" s="374" t="s">
        <v>1320</v>
      </c>
      <c r="H507" s="375">
        <v>26</v>
      </c>
      <c r="I507" s="379">
        <v>49</v>
      </c>
      <c r="J507" s="376" t="s">
        <v>1171</v>
      </c>
      <c r="K507" s="376" t="s">
        <v>1321</v>
      </c>
      <c r="L507" s="377">
        <f t="shared" si="37"/>
        <v>0</v>
      </c>
      <c r="M507" s="377">
        <f t="shared" si="38"/>
        <v>0</v>
      </c>
      <c r="N507" s="377">
        <f t="shared" si="39"/>
        <v>0</v>
      </c>
    </row>
    <row r="508" spans="1:14" s="2" customFormat="1" ht="12.75">
      <c r="A508" s="2" t="s">
        <v>1529</v>
      </c>
      <c r="B508" s="374" t="s">
        <v>1414</v>
      </c>
      <c r="C508" s="3">
        <v>304</v>
      </c>
      <c r="D508" s="381" t="s">
        <v>1411</v>
      </c>
      <c r="E508" s="378" t="s">
        <v>54</v>
      </c>
      <c r="F508" s="374" t="s">
        <v>1170</v>
      </c>
      <c r="G508" s="374" t="s">
        <v>1452</v>
      </c>
      <c r="H508" s="375">
        <v>2</v>
      </c>
      <c r="I508" s="379">
        <f>2*(18.2*3)</f>
        <v>109.19999999999999</v>
      </c>
      <c r="J508" s="376" t="s">
        <v>1174</v>
      </c>
      <c r="K508" s="376"/>
      <c r="L508" s="377">
        <f t="shared" si="37"/>
        <v>0</v>
      </c>
      <c r="M508" s="377">
        <f t="shared" si="38"/>
        <v>0</v>
      </c>
      <c r="N508" s="377">
        <f t="shared" si="39"/>
        <v>0</v>
      </c>
    </row>
    <row r="509" spans="1:14" s="2" customFormat="1" ht="12.75">
      <c r="A509" s="2" t="s">
        <v>1529</v>
      </c>
      <c r="B509" s="374" t="s">
        <v>1414</v>
      </c>
      <c r="C509" s="3">
        <v>304</v>
      </c>
      <c r="D509" s="381" t="s">
        <v>1411</v>
      </c>
      <c r="E509" s="378" t="s">
        <v>54</v>
      </c>
      <c r="F509" s="374" t="s">
        <v>1170</v>
      </c>
      <c r="G509" s="374" t="s">
        <v>1453</v>
      </c>
      <c r="H509" s="375">
        <v>2</v>
      </c>
      <c r="I509" s="379">
        <f>2*((13+2.25)*3+7.2*3)</f>
        <v>134.69999999999999</v>
      </c>
      <c r="J509" s="376" t="s">
        <v>1171</v>
      </c>
      <c r="K509" s="376"/>
      <c r="L509" s="377">
        <f t="shared" si="37"/>
        <v>0</v>
      </c>
      <c r="M509" s="377">
        <f t="shared" si="38"/>
        <v>0</v>
      </c>
      <c r="N509" s="377">
        <f t="shared" si="39"/>
        <v>0</v>
      </c>
    </row>
    <row r="510" spans="1:14" s="2" customFormat="1" ht="12.75">
      <c r="A510" s="2" t="s">
        <v>1529</v>
      </c>
      <c r="B510" s="374" t="s">
        <v>1414</v>
      </c>
      <c r="C510" s="3">
        <v>304</v>
      </c>
      <c r="D510" s="381" t="s">
        <v>1411</v>
      </c>
      <c r="E510" s="378" t="s">
        <v>54</v>
      </c>
      <c r="F510" s="374" t="s">
        <v>1170</v>
      </c>
      <c r="G510" s="374" t="s">
        <v>1454</v>
      </c>
      <c r="H510" s="375">
        <v>2</v>
      </c>
      <c r="I510" s="379">
        <f>2*(13*3+2.25*3+7.2*3+18.2*3)</f>
        <v>243.89999999999998</v>
      </c>
      <c r="J510" s="376" t="s">
        <v>1171</v>
      </c>
      <c r="K510" s="376"/>
      <c r="L510" s="377">
        <f t="shared" si="37"/>
        <v>0</v>
      </c>
      <c r="M510" s="377">
        <f t="shared" si="38"/>
        <v>0</v>
      </c>
      <c r="N510" s="377">
        <f t="shared" si="39"/>
        <v>0</v>
      </c>
    </row>
    <row r="511" spans="1:14" s="2" customFormat="1" ht="12.75">
      <c r="A511" s="2" t="s">
        <v>1529</v>
      </c>
      <c r="B511" s="374" t="s">
        <v>1414</v>
      </c>
      <c r="C511" s="3">
        <v>304</v>
      </c>
      <c r="D511" s="381" t="s">
        <v>1411</v>
      </c>
      <c r="E511" s="378" t="s">
        <v>54</v>
      </c>
      <c r="F511" s="374" t="s">
        <v>1170</v>
      </c>
      <c r="G511" s="374" t="s">
        <v>1455</v>
      </c>
      <c r="H511" s="375">
        <v>2</v>
      </c>
      <c r="I511" s="379">
        <f>2*(6.6*1+18.2*1.75+4.5*1)</f>
        <v>85.899999999999991</v>
      </c>
      <c r="J511" s="376" t="s">
        <v>1174</v>
      </c>
      <c r="K511" s="376"/>
      <c r="L511" s="377">
        <f t="shared" si="37"/>
        <v>0</v>
      </c>
      <c r="M511" s="377">
        <f t="shared" si="38"/>
        <v>0</v>
      </c>
      <c r="N511" s="377">
        <f t="shared" si="39"/>
        <v>0</v>
      </c>
    </row>
    <row r="512" spans="1:14" s="2" customFormat="1" ht="12.75">
      <c r="A512" s="2" t="s">
        <v>1529</v>
      </c>
      <c r="B512" s="374" t="s">
        <v>1414</v>
      </c>
      <c r="C512" s="3">
        <v>304</v>
      </c>
      <c r="D512" s="381" t="s">
        <v>1411</v>
      </c>
      <c r="E512" s="378" t="s">
        <v>54</v>
      </c>
      <c r="F512" s="374" t="s">
        <v>1170</v>
      </c>
      <c r="G512" s="374" t="s">
        <v>1456</v>
      </c>
      <c r="H512" s="375">
        <v>2</v>
      </c>
      <c r="I512" s="379">
        <f>2*(6.6*1+18.2*1.75+4.5*1)</f>
        <v>85.899999999999991</v>
      </c>
      <c r="J512" s="376" t="s">
        <v>1171</v>
      </c>
      <c r="K512" s="376"/>
      <c r="L512" s="377">
        <f t="shared" si="37"/>
        <v>0</v>
      </c>
      <c r="M512" s="377">
        <f t="shared" si="38"/>
        <v>0</v>
      </c>
      <c r="N512" s="377">
        <f t="shared" si="39"/>
        <v>0</v>
      </c>
    </row>
    <row r="513" spans="1:14" s="2" customFormat="1" ht="12.75">
      <c r="A513" s="2" t="s">
        <v>1529</v>
      </c>
      <c r="B513" s="374" t="s">
        <v>1414</v>
      </c>
      <c r="C513" s="3">
        <v>304</v>
      </c>
      <c r="D513" s="381" t="s">
        <v>1411</v>
      </c>
      <c r="E513" s="378" t="s">
        <v>54</v>
      </c>
      <c r="F513" s="374" t="s">
        <v>1170</v>
      </c>
      <c r="G513" s="374" t="s">
        <v>1457</v>
      </c>
      <c r="H513" s="375">
        <v>2</v>
      </c>
      <c r="I513" s="379">
        <f>2*(2*(6.6*1+18.2*1.75+4.5*1))</f>
        <v>171.79999999999998</v>
      </c>
      <c r="J513" s="376" t="s">
        <v>1171</v>
      </c>
      <c r="K513" s="376"/>
      <c r="L513" s="377">
        <f t="shared" si="37"/>
        <v>0</v>
      </c>
      <c r="M513" s="377">
        <f t="shared" si="38"/>
        <v>0</v>
      </c>
      <c r="N513" s="377">
        <f t="shared" si="39"/>
        <v>0</v>
      </c>
    </row>
    <row r="514" spans="1:14" s="2" customFormat="1" ht="12.75">
      <c r="A514" s="2" t="s">
        <v>1529</v>
      </c>
      <c r="B514" s="374" t="s">
        <v>1414</v>
      </c>
      <c r="C514" s="3">
        <v>304</v>
      </c>
      <c r="D514" s="381" t="s">
        <v>1411</v>
      </c>
      <c r="E514" s="378" t="s">
        <v>54</v>
      </c>
      <c r="F514" s="374" t="s">
        <v>1170</v>
      </c>
      <c r="G514" s="374" t="s">
        <v>1458</v>
      </c>
      <c r="H514" s="375">
        <v>2</v>
      </c>
      <c r="I514" s="379">
        <f>2*(1.6*3)</f>
        <v>9.6000000000000014</v>
      </c>
      <c r="J514" s="376" t="s">
        <v>1171</v>
      </c>
      <c r="K514" s="376" t="s">
        <v>1233</v>
      </c>
      <c r="L514" s="377">
        <f t="shared" si="37"/>
        <v>0</v>
      </c>
      <c r="M514" s="377">
        <f t="shared" si="38"/>
        <v>0</v>
      </c>
      <c r="N514" s="377">
        <f t="shared" si="39"/>
        <v>0</v>
      </c>
    </row>
    <row r="515" spans="1:14" s="2" customFormat="1" ht="12.75">
      <c r="A515" s="2" t="s">
        <v>1529</v>
      </c>
      <c r="B515" s="374" t="s">
        <v>1414</v>
      </c>
      <c r="C515" s="3">
        <v>304</v>
      </c>
      <c r="D515" s="381" t="s">
        <v>1411</v>
      </c>
      <c r="E515" s="378" t="s">
        <v>1459</v>
      </c>
      <c r="F515" s="374" t="s">
        <v>1182</v>
      </c>
      <c r="G515" s="374" t="s">
        <v>1460</v>
      </c>
      <c r="H515" s="375">
        <v>2</v>
      </c>
      <c r="I515" s="379">
        <f>2*(1.9*4)</f>
        <v>15.2</v>
      </c>
      <c r="J515" s="376" t="s">
        <v>1171</v>
      </c>
      <c r="K515" s="376"/>
      <c r="L515" s="377">
        <f t="shared" si="37"/>
        <v>0</v>
      </c>
      <c r="M515" s="377">
        <f t="shared" si="38"/>
        <v>0</v>
      </c>
      <c r="N515" s="377">
        <f t="shared" si="39"/>
        <v>0</v>
      </c>
    </row>
    <row r="516" spans="1:14" s="2" customFormat="1" ht="12.75">
      <c r="A516" s="2" t="s">
        <v>1529</v>
      </c>
      <c r="B516" s="374" t="s">
        <v>1414</v>
      </c>
      <c r="C516" s="3">
        <v>304</v>
      </c>
      <c r="D516" s="381" t="s">
        <v>1411</v>
      </c>
      <c r="E516" s="378" t="s">
        <v>1459</v>
      </c>
      <c r="F516" s="374" t="s">
        <v>1184</v>
      </c>
      <c r="G516" s="374" t="s">
        <v>1460</v>
      </c>
      <c r="H516" s="375">
        <v>2</v>
      </c>
      <c r="I516" s="379">
        <f>2*(1.9*4)</f>
        <v>15.2</v>
      </c>
      <c r="J516" s="376" t="s">
        <v>1171</v>
      </c>
      <c r="K516" s="376"/>
      <c r="L516" s="377">
        <f t="shared" si="37"/>
        <v>0</v>
      </c>
      <c r="M516" s="377">
        <f t="shared" si="38"/>
        <v>0</v>
      </c>
      <c r="N516" s="377">
        <f t="shared" si="39"/>
        <v>0</v>
      </c>
    </row>
    <row r="517" spans="1:14" s="2" customFormat="1" ht="12.75">
      <c r="A517" s="2" t="s">
        <v>1529</v>
      </c>
      <c r="B517" s="374" t="s">
        <v>1414</v>
      </c>
      <c r="C517" s="3">
        <v>304</v>
      </c>
      <c r="D517" s="381" t="s">
        <v>1411</v>
      </c>
      <c r="E517" s="378" t="s">
        <v>1459</v>
      </c>
      <c r="F517" s="374" t="s">
        <v>1182</v>
      </c>
      <c r="G517" s="374" t="s">
        <v>1461</v>
      </c>
      <c r="H517" s="375">
        <v>2</v>
      </c>
      <c r="I517" s="379">
        <f>2*(3*3)</f>
        <v>18</v>
      </c>
      <c r="J517" s="376" t="s">
        <v>1171</v>
      </c>
      <c r="K517" s="376"/>
      <c r="L517" s="377">
        <f t="shared" si="37"/>
        <v>0</v>
      </c>
      <c r="M517" s="377">
        <f t="shared" si="38"/>
        <v>0</v>
      </c>
      <c r="N517" s="377">
        <f t="shared" si="39"/>
        <v>0</v>
      </c>
    </row>
    <row r="518" spans="1:14" s="2" customFormat="1" ht="12.75">
      <c r="A518" s="2" t="s">
        <v>1529</v>
      </c>
      <c r="B518" s="374" t="s">
        <v>1414</v>
      </c>
      <c r="C518" s="3">
        <v>304</v>
      </c>
      <c r="D518" s="381" t="s">
        <v>1411</v>
      </c>
      <c r="E518" s="378" t="s">
        <v>1459</v>
      </c>
      <c r="F518" s="374" t="s">
        <v>1184</v>
      </c>
      <c r="G518" s="374" t="s">
        <v>1461</v>
      </c>
      <c r="H518" s="375">
        <v>2</v>
      </c>
      <c r="I518" s="379">
        <f>2*(3*3)</f>
        <v>18</v>
      </c>
      <c r="J518" s="376" t="s">
        <v>1171</v>
      </c>
      <c r="K518" s="376"/>
      <c r="L518" s="377">
        <f t="shared" si="37"/>
        <v>0</v>
      </c>
      <c r="M518" s="377">
        <f t="shared" si="38"/>
        <v>0</v>
      </c>
      <c r="N518" s="377">
        <f t="shared" si="39"/>
        <v>0</v>
      </c>
    </row>
    <row r="519" spans="1:14" s="2" customFormat="1" ht="12.75">
      <c r="A519" s="2" t="s">
        <v>1529</v>
      </c>
      <c r="B519" s="374" t="s">
        <v>1414</v>
      </c>
      <c r="C519" s="3">
        <v>304</v>
      </c>
      <c r="D519" s="381" t="s">
        <v>1411</v>
      </c>
      <c r="E519" s="378" t="s">
        <v>1459</v>
      </c>
      <c r="F519" s="374" t="s">
        <v>1182</v>
      </c>
      <c r="G519" s="374" t="s">
        <v>1462</v>
      </c>
      <c r="H519" s="375">
        <v>2</v>
      </c>
      <c r="I519" s="379">
        <f>2*(2*9.75)</f>
        <v>39</v>
      </c>
      <c r="J519" s="376" t="s">
        <v>1171</v>
      </c>
      <c r="K519" s="376"/>
      <c r="L519" s="377">
        <f t="shared" si="37"/>
        <v>0</v>
      </c>
      <c r="M519" s="377">
        <f t="shared" si="38"/>
        <v>0</v>
      </c>
      <c r="N519" s="377">
        <f t="shared" si="39"/>
        <v>0</v>
      </c>
    </row>
    <row r="520" spans="1:14" s="2" customFormat="1" ht="12.75">
      <c r="A520" s="2" t="s">
        <v>1529</v>
      </c>
      <c r="B520" s="374" t="s">
        <v>1414</v>
      </c>
      <c r="C520" s="3">
        <v>304</v>
      </c>
      <c r="D520" s="381" t="s">
        <v>1411</v>
      </c>
      <c r="E520" s="378" t="s">
        <v>1459</v>
      </c>
      <c r="F520" s="374" t="s">
        <v>1184</v>
      </c>
      <c r="G520" s="374" t="s">
        <v>1462</v>
      </c>
      <c r="H520" s="375">
        <v>2</v>
      </c>
      <c r="I520" s="379">
        <f>2*(2*9.75)</f>
        <v>39</v>
      </c>
      <c r="J520" s="376" t="s">
        <v>1171</v>
      </c>
      <c r="K520" s="376"/>
      <c r="L520" s="377">
        <f t="shared" si="37"/>
        <v>0</v>
      </c>
      <c r="M520" s="377">
        <f t="shared" si="38"/>
        <v>0</v>
      </c>
      <c r="N520" s="377">
        <f t="shared" si="39"/>
        <v>0</v>
      </c>
    </row>
    <row r="521" spans="1:14" s="2" customFormat="1" ht="12.75">
      <c r="A521" s="2" t="s">
        <v>1529</v>
      </c>
      <c r="B521" s="374" t="s">
        <v>1414</v>
      </c>
      <c r="C521" s="3">
        <v>304</v>
      </c>
      <c r="D521" s="381" t="s">
        <v>1411</v>
      </c>
      <c r="E521" s="378" t="s">
        <v>1459</v>
      </c>
      <c r="F521" s="374" t="s">
        <v>1182</v>
      </c>
      <c r="G521" s="374" t="s">
        <v>1463</v>
      </c>
      <c r="H521" s="375">
        <v>2</v>
      </c>
      <c r="I521" s="379">
        <f>2*(3*9.75)</f>
        <v>58.5</v>
      </c>
      <c r="J521" s="376" t="s">
        <v>1171</v>
      </c>
      <c r="K521" s="376"/>
      <c r="L521" s="377">
        <f t="shared" si="37"/>
        <v>0</v>
      </c>
      <c r="M521" s="377">
        <f t="shared" si="38"/>
        <v>0</v>
      </c>
      <c r="N521" s="377">
        <f t="shared" si="39"/>
        <v>0</v>
      </c>
    </row>
    <row r="522" spans="1:14" s="2" customFormat="1" ht="12.75">
      <c r="A522" s="2" t="s">
        <v>1529</v>
      </c>
      <c r="B522" s="374" t="s">
        <v>1414</v>
      </c>
      <c r="C522" s="3">
        <v>304</v>
      </c>
      <c r="D522" s="381" t="s">
        <v>1411</v>
      </c>
      <c r="E522" s="378" t="s">
        <v>1459</v>
      </c>
      <c r="F522" s="374" t="s">
        <v>1184</v>
      </c>
      <c r="G522" s="374" t="s">
        <v>1463</v>
      </c>
      <c r="H522" s="375">
        <v>2</v>
      </c>
      <c r="I522" s="379">
        <f>2*(3*9.75)</f>
        <v>58.5</v>
      </c>
      <c r="J522" s="376" t="s">
        <v>1171</v>
      </c>
      <c r="K522" s="376"/>
      <c r="L522" s="377">
        <f t="shared" si="37"/>
        <v>0</v>
      </c>
      <c r="M522" s="377">
        <f t="shared" si="38"/>
        <v>0</v>
      </c>
      <c r="N522" s="377">
        <f t="shared" si="39"/>
        <v>0</v>
      </c>
    </row>
    <row r="523" spans="1:14" s="2" customFormat="1" ht="12.75">
      <c r="A523" s="2" t="s">
        <v>1530</v>
      </c>
      <c r="B523" s="374" t="s">
        <v>1414</v>
      </c>
      <c r="C523" s="3">
        <v>304</v>
      </c>
      <c r="D523" s="381" t="s">
        <v>1411</v>
      </c>
      <c r="E523" s="4"/>
      <c r="F523" s="374" t="s">
        <v>1172</v>
      </c>
      <c r="G523" s="374" t="s">
        <v>1320</v>
      </c>
      <c r="H523" s="375">
        <v>26</v>
      </c>
      <c r="I523" s="379">
        <v>164</v>
      </c>
      <c r="J523" s="376" t="s">
        <v>1171</v>
      </c>
      <c r="K523" s="376" t="s">
        <v>1321</v>
      </c>
      <c r="L523" s="377">
        <f t="shared" si="37"/>
        <v>0</v>
      </c>
      <c r="M523" s="377">
        <f t="shared" si="38"/>
        <v>0</v>
      </c>
      <c r="N523" s="377">
        <f t="shared" si="39"/>
        <v>0</v>
      </c>
    </row>
    <row r="524" spans="1:14" s="2" customFormat="1" ht="12.75">
      <c r="A524" s="2" t="s">
        <v>1531</v>
      </c>
      <c r="B524" s="374" t="s">
        <v>1417</v>
      </c>
      <c r="C524" s="3">
        <v>305</v>
      </c>
      <c r="D524" s="381" t="s">
        <v>1411</v>
      </c>
      <c r="E524" s="378" t="s">
        <v>54</v>
      </c>
      <c r="F524" s="374" t="s">
        <v>1170</v>
      </c>
      <c r="G524" s="374" t="s">
        <v>1452</v>
      </c>
      <c r="H524" s="375">
        <v>2</v>
      </c>
      <c r="I524" s="379">
        <f>17*3+14*3+3.5*1</f>
        <v>96.5</v>
      </c>
      <c r="J524" s="376" t="s">
        <v>1174</v>
      </c>
      <c r="K524" s="376"/>
      <c r="L524" s="377">
        <f t="shared" si="37"/>
        <v>0</v>
      </c>
      <c r="M524" s="377">
        <f t="shared" si="38"/>
        <v>0</v>
      </c>
      <c r="N524" s="377">
        <f t="shared" si="39"/>
        <v>0</v>
      </c>
    </row>
    <row r="525" spans="1:14" s="2" customFormat="1" ht="12.75">
      <c r="A525" s="2" t="s">
        <v>1532</v>
      </c>
      <c r="B525" s="374" t="s">
        <v>1417</v>
      </c>
      <c r="C525" s="3">
        <v>305</v>
      </c>
      <c r="D525" s="381" t="s">
        <v>1411</v>
      </c>
      <c r="E525" s="378" t="s">
        <v>54</v>
      </c>
      <c r="F525" s="374" t="s">
        <v>1170</v>
      </c>
      <c r="G525" s="374" t="s">
        <v>1454</v>
      </c>
      <c r="H525" s="375">
        <v>2</v>
      </c>
      <c r="I525" s="379">
        <f>17*3+14*3+3.5*1</f>
        <v>96.5</v>
      </c>
      <c r="J525" s="376" t="s">
        <v>1171</v>
      </c>
      <c r="K525" s="376"/>
      <c r="L525" s="377">
        <f t="shared" si="37"/>
        <v>0</v>
      </c>
      <c r="M525" s="377">
        <f t="shared" si="38"/>
        <v>0</v>
      </c>
      <c r="N525" s="377">
        <f t="shared" si="39"/>
        <v>0</v>
      </c>
    </row>
    <row r="526" spans="1:14" s="2" customFormat="1" ht="12.75">
      <c r="A526" s="2" t="s">
        <v>1532</v>
      </c>
      <c r="B526" s="374" t="s">
        <v>1417</v>
      </c>
      <c r="C526" s="3">
        <v>305</v>
      </c>
      <c r="D526" s="381" t="s">
        <v>1411</v>
      </c>
      <c r="E526" s="378" t="s">
        <v>54</v>
      </c>
      <c r="F526" s="374" t="s">
        <v>1170</v>
      </c>
      <c r="G526" s="374" t="s">
        <v>1455</v>
      </c>
      <c r="H526" s="375">
        <v>2</v>
      </c>
      <c r="I526" s="379">
        <f>2*(6.2*1*2+17*1.75)</f>
        <v>84.3</v>
      </c>
      <c r="J526" s="376" t="s">
        <v>1174</v>
      </c>
      <c r="K526" s="376"/>
      <c r="L526" s="377">
        <f t="shared" si="37"/>
        <v>0</v>
      </c>
      <c r="M526" s="377">
        <f t="shared" si="38"/>
        <v>0</v>
      </c>
      <c r="N526" s="377">
        <f t="shared" si="39"/>
        <v>0</v>
      </c>
    </row>
    <row r="527" spans="1:14" s="2" customFormat="1" ht="12.75">
      <c r="A527" s="2" t="s">
        <v>1532</v>
      </c>
      <c r="B527" s="374" t="s">
        <v>1417</v>
      </c>
      <c r="C527" s="3">
        <v>305</v>
      </c>
      <c r="D527" s="381" t="s">
        <v>1411</v>
      </c>
      <c r="E527" s="378" t="s">
        <v>54</v>
      </c>
      <c r="F527" s="374" t="s">
        <v>1170</v>
      </c>
      <c r="G527" s="374" t="s">
        <v>1457</v>
      </c>
      <c r="H527" s="375">
        <v>2</v>
      </c>
      <c r="I527" s="379">
        <f>2*(6.2*1*2+17*1.75)</f>
        <v>84.3</v>
      </c>
      <c r="J527" s="376" t="s">
        <v>1171</v>
      </c>
      <c r="K527" s="376"/>
      <c r="L527" s="377">
        <f t="shared" si="37"/>
        <v>0</v>
      </c>
      <c r="M527" s="377">
        <f t="shared" si="38"/>
        <v>0</v>
      </c>
      <c r="N527" s="377">
        <f t="shared" si="39"/>
        <v>0</v>
      </c>
    </row>
    <row r="528" spans="1:14" s="2" customFormat="1" ht="12.75">
      <c r="A528" s="2" t="s">
        <v>1532</v>
      </c>
      <c r="B528" s="374" t="s">
        <v>1417</v>
      </c>
      <c r="C528" s="3">
        <v>305</v>
      </c>
      <c r="D528" s="381" t="s">
        <v>1411</v>
      </c>
      <c r="E528" s="378" t="s">
        <v>64</v>
      </c>
      <c r="F528" s="374" t="s">
        <v>1170</v>
      </c>
      <c r="G528" s="374" t="s">
        <v>1464</v>
      </c>
      <c r="H528" s="375">
        <v>2</v>
      </c>
      <c r="I528" s="379">
        <f>4*4.8</f>
        <v>19.2</v>
      </c>
      <c r="J528" s="376" t="s">
        <v>1171</v>
      </c>
      <c r="K528" s="376"/>
      <c r="L528" s="377">
        <f t="shared" si="37"/>
        <v>0</v>
      </c>
      <c r="M528" s="377">
        <f t="shared" si="38"/>
        <v>0</v>
      </c>
      <c r="N528" s="377">
        <f t="shared" si="39"/>
        <v>0</v>
      </c>
    </row>
    <row r="529" spans="1:14" s="2" customFormat="1" ht="12.75">
      <c r="A529" s="2" t="s">
        <v>1532</v>
      </c>
      <c r="B529" s="374" t="s">
        <v>1417</v>
      </c>
      <c r="C529" s="3">
        <v>305</v>
      </c>
      <c r="D529" s="381" t="s">
        <v>1411</v>
      </c>
      <c r="E529" s="378" t="s">
        <v>64</v>
      </c>
      <c r="F529" s="374" t="s">
        <v>1170</v>
      </c>
      <c r="G529" s="374" t="s">
        <v>1465</v>
      </c>
      <c r="H529" s="375">
        <v>2</v>
      </c>
      <c r="I529" s="379">
        <f>4*4.8</f>
        <v>19.2</v>
      </c>
      <c r="J529" s="376" t="s">
        <v>1171</v>
      </c>
      <c r="K529" s="376"/>
      <c r="L529" s="377">
        <f t="shared" ref="L529:L592" si="40">IF(J529="ja",VLOOKUP(F529,Glassoort2,2,0))*I529</f>
        <v>0</v>
      </c>
      <c r="M529" s="377">
        <f t="shared" ref="M529:M592" si="41">IF(J529="nee",VLOOKUP(F529,Glassoort2,3,0))*I529</f>
        <v>0</v>
      </c>
      <c r="N529" s="377">
        <f t="shared" si="39"/>
        <v>0</v>
      </c>
    </row>
    <row r="530" spans="1:14" s="2" customFormat="1" ht="12.75">
      <c r="A530" s="2" t="s">
        <v>1533</v>
      </c>
      <c r="B530" s="374" t="s">
        <v>1417</v>
      </c>
      <c r="C530" s="3">
        <v>305</v>
      </c>
      <c r="D530" s="381" t="s">
        <v>1411</v>
      </c>
      <c r="E530" s="378" t="s">
        <v>54</v>
      </c>
      <c r="F530" s="374" t="s">
        <v>1172</v>
      </c>
      <c r="G530" s="374" t="s">
        <v>1466</v>
      </c>
      <c r="H530" s="375">
        <v>12</v>
      </c>
      <c r="I530" s="379">
        <f>0.7*13.2*2</f>
        <v>18.479999999999997</v>
      </c>
      <c r="J530" s="376" t="s">
        <v>1171</v>
      </c>
      <c r="K530" s="376"/>
      <c r="L530" s="377">
        <f t="shared" si="40"/>
        <v>0</v>
      </c>
      <c r="M530" s="377">
        <f t="shared" si="41"/>
        <v>0</v>
      </c>
      <c r="N530" s="377">
        <f t="shared" ref="N530:N593" si="42">(M530*H530)+(L530*H530)</f>
        <v>0</v>
      </c>
    </row>
    <row r="531" spans="1:14" s="2" customFormat="1" ht="12.75">
      <c r="A531" s="2" t="s">
        <v>1532</v>
      </c>
      <c r="B531" s="374" t="s">
        <v>1417</v>
      </c>
      <c r="C531" s="3">
        <v>305</v>
      </c>
      <c r="D531" s="381" t="s">
        <v>1411</v>
      </c>
      <c r="E531" s="378" t="s">
        <v>1459</v>
      </c>
      <c r="F531" s="374" t="s">
        <v>1182</v>
      </c>
      <c r="G531" s="374" t="s">
        <v>1460</v>
      </c>
      <c r="H531" s="375">
        <v>2</v>
      </c>
      <c r="I531" s="379">
        <f>1.9*4</f>
        <v>7.6</v>
      </c>
      <c r="J531" s="376" t="s">
        <v>1171</v>
      </c>
      <c r="K531" s="376"/>
      <c r="L531" s="377">
        <f t="shared" si="40"/>
        <v>0</v>
      </c>
      <c r="M531" s="377">
        <f t="shared" si="41"/>
        <v>0</v>
      </c>
      <c r="N531" s="377">
        <f t="shared" si="42"/>
        <v>0</v>
      </c>
    </row>
    <row r="532" spans="1:14" s="2" customFormat="1" ht="12.75">
      <c r="A532" s="2" t="s">
        <v>1532</v>
      </c>
      <c r="B532" s="374" t="s">
        <v>1417</v>
      </c>
      <c r="C532" s="3">
        <v>305</v>
      </c>
      <c r="D532" s="381" t="s">
        <v>1411</v>
      </c>
      <c r="E532" s="378" t="s">
        <v>1459</v>
      </c>
      <c r="F532" s="374" t="s">
        <v>1184</v>
      </c>
      <c r="G532" s="374" t="s">
        <v>1460</v>
      </c>
      <c r="H532" s="375">
        <v>2</v>
      </c>
      <c r="I532" s="379">
        <f>1.9*4</f>
        <v>7.6</v>
      </c>
      <c r="J532" s="376" t="s">
        <v>1171</v>
      </c>
      <c r="K532" s="376"/>
      <c r="L532" s="377">
        <f t="shared" si="40"/>
        <v>0</v>
      </c>
      <c r="M532" s="377">
        <f t="shared" si="41"/>
        <v>0</v>
      </c>
      <c r="N532" s="377">
        <f t="shared" si="42"/>
        <v>0</v>
      </c>
    </row>
    <row r="533" spans="1:14" s="2" customFormat="1" ht="12.75">
      <c r="A533" s="2" t="s">
        <v>1532</v>
      </c>
      <c r="B533" s="374" t="s">
        <v>1417</v>
      </c>
      <c r="C533" s="3">
        <v>305</v>
      </c>
      <c r="D533" s="381" t="s">
        <v>1411</v>
      </c>
      <c r="E533" s="378" t="s">
        <v>1459</v>
      </c>
      <c r="F533" s="374" t="s">
        <v>1182</v>
      </c>
      <c r="G533" s="374" t="s">
        <v>1467</v>
      </c>
      <c r="H533" s="375">
        <v>2</v>
      </c>
      <c r="I533" s="379">
        <f>3*3</f>
        <v>9</v>
      </c>
      <c r="J533" s="376" t="s">
        <v>1171</v>
      </c>
      <c r="K533" s="376"/>
      <c r="L533" s="377">
        <f t="shared" si="40"/>
        <v>0</v>
      </c>
      <c r="M533" s="377">
        <f t="shared" si="41"/>
        <v>0</v>
      </c>
      <c r="N533" s="377">
        <f t="shared" si="42"/>
        <v>0</v>
      </c>
    </row>
    <row r="534" spans="1:14" s="2" customFormat="1" ht="12.75">
      <c r="A534" s="2" t="s">
        <v>1532</v>
      </c>
      <c r="B534" s="374" t="s">
        <v>1417</v>
      </c>
      <c r="C534" s="3">
        <v>305</v>
      </c>
      <c r="D534" s="381" t="s">
        <v>1411</v>
      </c>
      <c r="E534" s="378" t="s">
        <v>1459</v>
      </c>
      <c r="F534" s="374" t="s">
        <v>1184</v>
      </c>
      <c r="G534" s="374" t="s">
        <v>1467</v>
      </c>
      <c r="H534" s="375">
        <v>2</v>
      </c>
      <c r="I534" s="379">
        <f>3*3</f>
        <v>9</v>
      </c>
      <c r="J534" s="376" t="s">
        <v>1174</v>
      </c>
      <c r="K534" s="376"/>
      <c r="L534" s="377">
        <f t="shared" si="40"/>
        <v>0</v>
      </c>
      <c r="M534" s="377">
        <f t="shared" si="41"/>
        <v>0</v>
      </c>
      <c r="N534" s="377">
        <f t="shared" si="42"/>
        <v>0</v>
      </c>
    </row>
    <row r="535" spans="1:14" s="2" customFormat="1" ht="12.75">
      <c r="A535" s="2" t="s">
        <v>1532</v>
      </c>
      <c r="B535" s="374" t="s">
        <v>1417</v>
      </c>
      <c r="C535" s="3">
        <v>305</v>
      </c>
      <c r="D535" s="381" t="s">
        <v>1411</v>
      </c>
      <c r="E535" s="378" t="s">
        <v>1459</v>
      </c>
      <c r="F535" s="374" t="s">
        <v>1182</v>
      </c>
      <c r="G535" s="374" t="s">
        <v>1462</v>
      </c>
      <c r="H535" s="375">
        <v>2</v>
      </c>
      <c r="I535" s="379">
        <f>2*9.75</f>
        <v>19.5</v>
      </c>
      <c r="J535" s="376" t="s">
        <v>1171</v>
      </c>
      <c r="K535" s="376"/>
      <c r="L535" s="377">
        <f t="shared" si="40"/>
        <v>0</v>
      </c>
      <c r="M535" s="377">
        <f t="shared" si="41"/>
        <v>0</v>
      </c>
      <c r="N535" s="377">
        <f t="shared" si="42"/>
        <v>0</v>
      </c>
    </row>
    <row r="536" spans="1:14" s="2" customFormat="1" ht="12.75">
      <c r="A536" s="2" t="s">
        <v>1532</v>
      </c>
      <c r="B536" s="374" t="s">
        <v>1417</v>
      </c>
      <c r="C536" s="3">
        <v>305</v>
      </c>
      <c r="D536" s="381" t="s">
        <v>1411</v>
      </c>
      <c r="E536" s="378" t="s">
        <v>1459</v>
      </c>
      <c r="F536" s="374" t="s">
        <v>1184</v>
      </c>
      <c r="G536" s="374" t="s">
        <v>1462</v>
      </c>
      <c r="H536" s="375">
        <v>2</v>
      </c>
      <c r="I536" s="379">
        <f>2*9.75</f>
        <v>19.5</v>
      </c>
      <c r="J536" s="376" t="s">
        <v>1171</v>
      </c>
      <c r="K536" s="376"/>
      <c r="L536" s="377">
        <f t="shared" si="40"/>
        <v>0</v>
      </c>
      <c r="M536" s="377">
        <f t="shared" si="41"/>
        <v>0</v>
      </c>
      <c r="N536" s="377">
        <f t="shared" si="42"/>
        <v>0</v>
      </c>
    </row>
    <row r="537" spans="1:14" s="2" customFormat="1" ht="12.75">
      <c r="A537" s="2" t="s">
        <v>1532</v>
      </c>
      <c r="B537" s="374" t="s">
        <v>1417</v>
      </c>
      <c r="C537" s="3">
        <v>305</v>
      </c>
      <c r="D537" s="381" t="s">
        <v>1411</v>
      </c>
      <c r="E537" s="378" t="s">
        <v>1459</v>
      </c>
      <c r="F537" s="374" t="s">
        <v>1182</v>
      </c>
      <c r="G537" s="374" t="s">
        <v>1463</v>
      </c>
      <c r="H537" s="375">
        <v>2</v>
      </c>
      <c r="I537" s="379">
        <f>3*9.75</f>
        <v>29.25</v>
      </c>
      <c r="J537" s="376" t="s">
        <v>1171</v>
      </c>
      <c r="K537" s="376"/>
      <c r="L537" s="377">
        <f t="shared" si="40"/>
        <v>0</v>
      </c>
      <c r="M537" s="377">
        <f t="shared" si="41"/>
        <v>0</v>
      </c>
      <c r="N537" s="377">
        <f t="shared" si="42"/>
        <v>0</v>
      </c>
    </row>
    <row r="538" spans="1:14" s="2" customFormat="1" ht="12.75">
      <c r="A538" s="2" t="s">
        <v>1532</v>
      </c>
      <c r="B538" s="374" t="s">
        <v>1417</v>
      </c>
      <c r="C538" s="3">
        <v>305</v>
      </c>
      <c r="D538" s="381" t="s">
        <v>1411</v>
      </c>
      <c r="E538" s="378" t="s">
        <v>1459</v>
      </c>
      <c r="F538" s="374" t="s">
        <v>1184</v>
      </c>
      <c r="G538" s="374" t="s">
        <v>1463</v>
      </c>
      <c r="H538" s="375">
        <v>2</v>
      </c>
      <c r="I538" s="379">
        <f>3*9.75</f>
        <v>29.25</v>
      </c>
      <c r="J538" s="376" t="s">
        <v>1171</v>
      </c>
      <c r="K538" s="376"/>
      <c r="L538" s="377">
        <f t="shared" si="40"/>
        <v>0</v>
      </c>
      <c r="M538" s="377">
        <f t="shared" si="41"/>
        <v>0</v>
      </c>
      <c r="N538" s="377">
        <f t="shared" si="42"/>
        <v>0</v>
      </c>
    </row>
    <row r="539" spans="1:14" s="2" customFormat="1" ht="12.75">
      <c r="A539" s="2" t="s">
        <v>1532</v>
      </c>
      <c r="B539" s="374" t="s">
        <v>1417</v>
      </c>
      <c r="C539" s="3">
        <v>305</v>
      </c>
      <c r="D539" s="381" t="s">
        <v>1411</v>
      </c>
      <c r="E539" s="378" t="s">
        <v>229</v>
      </c>
      <c r="F539" s="374" t="s">
        <v>1173</v>
      </c>
      <c r="G539" s="374" t="s">
        <v>1434</v>
      </c>
      <c r="H539" s="375">
        <v>2</v>
      </c>
      <c r="I539" s="379">
        <f>((1*1)*3)+(0.9*1)</f>
        <v>3.9</v>
      </c>
      <c r="J539" s="376" t="s">
        <v>1171</v>
      </c>
      <c r="K539" s="376"/>
      <c r="L539" s="377">
        <f t="shared" si="40"/>
        <v>0</v>
      </c>
      <c r="M539" s="377">
        <f t="shared" si="41"/>
        <v>0</v>
      </c>
      <c r="N539" s="377">
        <f t="shared" si="42"/>
        <v>0</v>
      </c>
    </row>
    <row r="540" spans="1:14" s="2" customFormat="1" ht="12.75">
      <c r="A540" s="2" t="s">
        <v>1532</v>
      </c>
      <c r="B540" s="374" t="s">
        <v>1417</v>
      </c>
      <c r="C540" s="3">
        <v>305</v>
      </c>
      <c r="D540" s="381" t="s">
        <v>1411</v>
      </c>
      <c r="E540" s="378" t="s">
        <v>229</v>
      </c>
      <c r="F540" s="374" t="s">
        <v>1170</v>
      </c>
      <c r="G540" s="374" t="s">
        <v>1439</v>
      </c>
      <c r="H540" s="375">
        <v>2</v>
      </c>
      <c r="I540" s="379">
        <f>((1*1)*3)+(0.9*1)</f>
        <v>3.9</v>
      </c>
      <c r="J540" s="376" t="s">
        <v>1171</v>
      </c>
      <c r="K540" s="376"/>
      <c r="L540" s="377">
        <f t="shared" si="40"/>
        <v>0</v>
      </c>
      <c r="M540" s="377">
        <f t="shared" si="41"/>
        <v>0</v>
      </c>
      <c r="N540" s="377">
        <f t="shared" si="42"/>
        <v>0</v>
      </c>
    </row>
    <row r="541" spans="1:14" s="2" customFormat="1" ht="12.75">
      <c r="A541" s="2" t="s">
        <v>1533</v>
      </c>
      <c r="B541" s="374" t="s">
        <v>1417</v>
      </c>
      <c r="C541" s="3">
        <v>305</v>
      </c>
      <c r="D541" s="381" t="s">
        <v>1411</v>
      </c>
      <c r="E541" s="378" t="s">
        <v>54</v>
      </c>
      <c r="F541" s="374" t="s">
        <v>1172</v>
      </c>
      <c r="G541" s="374" t="s">
        <v>1468</v>
      </c>
      <c r="H541" s="375">
        <v>12</v>
      </c>
      <c r="I541" s="379">
        <f>0.7*(13.4*2+3.1)*2</f>
        <v>41.86</v>
      </c>
      <c r="J541" s="376" t="s">
        <v>1171</v>
      </c>
      <c r="K541" s="376"/>
      <c r="L541" s="377">
        <f t="shared" si="40"/>
        <v>0</v>
      </c>
      <c r="M541" s="377">
        <f t="shared" si="41"/>
        <v>0</v>
      </c>
      <c r="N541" s="377">
        <f t="shared" si="42"/>
        <v>0</v>
      </c>
    </row>
    <row r="542" spans="1:14" s="2" customFormat="1" ht="12.75">
      <c r="A542" s="2" t="s">
        <v>1533</v>
      </c>
      <c r="B542" s="374" t="s">
        <v>1469</v>
      </c>
      <c r="C542" s="3">
        <v>305</v>
      </c>
      <c r="D542" s="381" t="s">
        <v>1411</v>
      </c>
      <c r="E542" s="4"/>
      <c r="F542" s="374" t="s">
        <v>1172</v>
      </c>
      <c r="G542" s="374" t="s">
        <v>1320</v>
      </c>
      <c r="H542" s="375">
        <v>26</v>
      </c>
      <c r="I542" s="379">
        <v>164</v>
      </c>
      <c r="J542" s="376" t="s">
        <v>1171</v>
      </c>
      <c r="K542" s="376" t="s">
        <v>1321</v>
      </c>
      <c r="L542" s="377">
        <f t="shared" si="40"/>
        <v>0</v>
      </c>
      <c r="M542" s="377">
        <f t="shared" si="41"/>
        <v>0</v>
      </c>
      <c r="N542" s="377">
        <f t="shared" si="42"/>
        <v>0</v>
      </c>
    </row>
    <row r="543" spans="1:14" s="2" customFormat="1" ht="12.75">
      <c r="A543" s="2" t="s">
        <v>1534</v>
      </c>
      <c r="B543" s="374" t="s">
        <v>1418</v>
      </c>
      <c r="C543" s="3">
        <v>306</v>
      </c>
      <c r="D543" s="381" t="s">
        <v>1411</v>
      </c>
      <c r="E543" s="378" t="s">
        <v>54</v>
      </c>
      <c r="F543" s="374" t="s">
        <v>1170</v>
      </c>
      <c r="G543" s="374" t="s">
        <v>1452</v>
      </c>
      <c r="H543" s="375">
        <v>2</v>
      </c>
      <c r="I543" s="379">
        <f>15.5*3+12.5*3+3.5*1</f>
        <v>87.5</v>
      </c>
      <c r="J543" s="376" t="s">
        <v>1174</v>
      </c>
      <c r="K543" s="376"/>
      <c r="L543" s="377">
        <f t="shared" si="40"/>
        <v>0</v>
      </c>
      <c r="M543" s="377">
        <f t="shared" si="41"/>
        <v>0</v>
      </c>
      <c r="N543" s="377">
        <f t="shared" si="42"/>
        <v>0</v>
      </c>
    </row>
    <row r="544" spans="1:14" s="2" customFormat="1" ht="12.75">
      <c r="A544" s="2" t="s">
        <v>1534</v>
      </c>
      <c r="B544" s="374" t="s">
        <v>1418</v>
      </c>
      <c r="C544" s="3">
        <v>306</v>
      </c>
      <c r="D544" s="381" t="s">
        <v>1411</v>
      </c>
      <c r="E544" s="378" t="s">
        <v>54</v>
      </c>
      <c r="F544" s="374" t="s">
        <v>1170</v>
      </c>
      <c r="G544" s="374" t="s">
        <v>1454</v>
      </c>
      <c r="H544" s="375">
        <v>2</v>
      </c>
      <c r="I544" s="379">
        <f>15.5*3+12.5*3+3.5*1</f>
        <v>87.5</v>
      </c>
      <c r="J544" s="376" t="s">
        <v>1171</v>
      </c>
      <c r="K544" s="376"/>
      <c r="L544" s="377">
        <f t="shared" si="40"/>
        <v>0</v>
      </c>
      <c r="M544" s="377">
        <f t="shared" si="41"/>
        <v>0</v>
      </c>
      <c r="N544" s="377">
        <f t="shared" si="42"/>
        <v>0</v>
      </c>
    </row>
    <row r="545" spans="1:14" s="2" customFormat="1" ht="12.75">
      <c r="A545" s="2" t="s">
        <v>1534</v>
      </c>
      <c r="B545" s="374" t="s">
        <v>1418</v>
      </c>
      <c r="C545" s="3">
        <v>306</v>
      </c>
      <c r="D545" s="381" t="s">
        <v>1411</v>
      </c>
      <c r="E545" s="378" t="s">
        <v>54</v>
      </c>
      <c r="F545" s="374" t="s">
        <v>1170</v>
      </c>
      <c r="G545" s="374" t="s">
        <v>1455</v>
      </c>
      <c r="H545" s="375">
        <v>2</v>
      </c>
      <c r="I545" s="379">
        <f>2*(6.2*1*2+15.5*1.75)</f>
        <v>79.05</v>
      </c>
      <c r="J545" s="376" t="s">
        <v>1174</v>
      </c>
      <c r="K545" s="376"/>
      <c r="L545" s="377">
        <f t="shared" si="40"/>
        <v>0</v>
      </c>
      <c r="M545" s="377">
        <f t="shared" si="41"/>
        <v>0</v>
      </c>
      <c r="N545" s="377">
        <f t="shared" si="42"/>
        <v>0</v>
      </c>
    </row>
    <row r="546" spans="1:14" s="2" customFormat="1" ht="12.75">
      <c r="A546" s="2" t="s">
        <v>1534</v>
      </c>
      <c r="B546" s="374" t="s">
        <v>1418</v>
      </c>
      <c r="C546" s="3">
        <v>306</v>
      </c>
      <c r="D546" s="381" t="s">
        <v>1411</v>
      </c>
      <c r="E546" s="378" t="s">
        <v>54</v>
      </c>
      <c r="F546" s="374" t="s">
        <v>1170</v>
      </c>
      <c r="G546" s="374" t="s">
        <v>1457</v>
      </c>
      <c r="H546" s="375">
        <v>2</v>
      </c>
      <c r="I546" s="379">
        <f>2*(6.2*1*2+15.5*1.75)</f>
        <v>79.05</v>
      </c>
      <c r="J546" s="376" t="s">
        <v>1171</v>
      </c>
      <c r="K546" s="376"/>
      <c r="L546" s="377">
        <f t="shared" si="40"/>
        <v>0</v>
      </c>
      <c r="M546" s="377">
        <f t="shared" si="41"/>
        <v>0</v>
      </c>
      <c r="N546" s="377">
        <f t="shared" si="42"/>
        <v>0</v>
      </c>
    </row>
    <row r="547" spans="1:14" s="2" customFormat="1" ht="12.75">
      <c r="A547" s="2" t="s">
        <v>1534</v>
      </c>
      <c r="B547" s="374" t="s">
        <v>1418</v>
      </c>
      <c r="C547" s="3">
        <v>306</v>
      </c>
      <c r="D547" s="381" t="s">
        <v>1411</v>
      </c>
      <c r="E547" s="378" t="s">
        <v>64</v>
      </c>
      <c r="F547" s="374" t="s">
        <v>1170</v>
      </c>
      <c r="G547" s="374" t="s">
        <v>1464</v>
      </c>
      <c r="H547" s="375">
        <v>2</v>
      </c>
      <c r="I547" s="379">
        <f>4*4.8</f>
        <v>19.2</v>
      </c>
      <c r="J547" s="376" t="s">
        <v>1171</v>
      </c>
      <c r="K547" s="376"/>
      <c r="L547" s="377">
        <f t="shared" si="40"/>
        <v>0</v>
      </c>
      <c r="M547" s="377">
        <f t="shared" si="41"/>
        <v>0</v>
      </c>
      <c r="N547" s="377">
        <f t="shared" si="42"/>
        <v>0</v>
      </c>
    </row>
    <row r="548" spans="1:14" s="2" customFormat="1" ht="12.75">
      <c r="A548" s="2" t="s">
        <v>1534</v>
      </c>
      <c r="B548" s="374" t="s">
        <v>1418</v>
      </c>
      <c r="C548" s="3">
        <v>306</v>
      </c>
      <c r="D548" s="381" t="s">
        <v>1411</v>
      </c>
      <c r="E548" s="378" t="s">
        <v>64</v>
      </c>
      <c r="F548" s="374" t="s">
        <v>1170</v>
      </c>
      <c r="G548" s="374" t="s">
        <v>1465</v>
      </c>
      <c r="H548" s="375">
        <v>2</v>
      </c>
      <c r="I548" s="379">
        <f>4*4.8</f>
        <v>19.2</v>
      </c>
      <c r="J548" s="376" t="s">
        <v>1171</v>
      </c>
      <c r="K548" s="376"/>
      <c r="L548" s="377">
        <f t="shared" si="40"/>
        <v>0</v>
      </c>
      <c r="M548" s="377">
        <f t="shared" si="41"/>
        <v>0</v>
      </c>
      <c r="N548" s="377">
        <f t="shared" si="42"/>
        <v>0</v>
      </c>
    </row>
    <row r="549" spans="1:14" s="2" customFormat="1" ht="12.75">
      <c r="A549" s="2" t="s">
        <v>1535</v>
      </c>
      <c r="B549" s="374" t="s">
        <v>1418</v>
      </c>
      <c r="C549" s="3">
        <v>306</v>
      </c>
      <c r="D549" s="381" t="s">
        <v>1411</v>
      </c>
      <c r="E549" s="378" t="s">
        <v>54</v>
      </c>
      <c r="F549" s="374" t="s">
        <v>1172</v>
      </c>
      <c r="G549" s="374" t="s">
        <v>1466</v>
      </c>
      <c r="H549" s="375">
        <v>12</v>
      </c>
      <c r="I549" s="379">
        <f>0.7*12*2</f>
        <v>16.799999999999997</v>
      </c>
      <c r="J549" s="376" t="s">
        <v>1171</v>
      </c>
      <c r="K549" s="376"/>
      <c r="L549" s="377">
        <f t="shared" si="40"/>
        <v>0</v>
      </c>
      <c r="M549" s="377">
        <f t="shared" si="41"/>
        <v>0</v>
      </c>
      <c r="N549" s="377">
        <f t="shared" si="42"/>
        <v>0</v>
      </c>
    </row>
    <row r="550" spans="1:14" s="2" customFormat="1" ht="12.75">
      <c r="A550" s="2" t="s">
        <v>1534</v>
      </c>
      <c r="B550" s="374" t="s">
        <v>1418</v>
      </c>
      <c r="C550" s="3">
        <v>306</v>
      </c>
      <c r="D550" s="381" t="s">
        <v>1411</v>
      </c>
      <c r="E550" s="378" t="s">
        <v>1459</v>
      </c>
      <c r="F550" s="374" t="s">
        <v>1182</v>
      </c>
      <c r="G550" s="374" t="s">
        <v>1460</v>
      </c>
      <c r="H550" s="375">
        <v>2</v>
      </c>
      <c r="I550" s="379">
        <f>1.9*4</f>
        <v>7.6</v>
      </c>
      <c r="J550" s="376" t="s">
        <v>1171</v>
      </c>
      <c r="K550" s="376"/>
      <c r="L550" s="377">
        <f t="shared" si="40"/>
        <v>0</v>
      </c>
      <c r="M550" s="377">
        <f t="shared" si="41"/>
        <v>0</v>
      </c>
      <c r="N550" s="377">
        <f t="shared" si="42"/>
        <v>0</v>
      </c>
    </row>
    <row r="551" spans="1:14" s="2" customFormat="1" ht="12.75">
      <c r="A551" s="2" t="s">
        <v>1534</v>
      </c>
      <c r="B551" s="374" t="s">
        <v>1418</v>
      </c>
      <c r="C551" s="3">
        <v>306</v>
      </c>
      <c r="D551" s="381" t="s">
        <v>1411</v>
      </c>
      <c r="E551" s="378" t="s">
        <v>1459</v>
      </c>
      <c r="F551" s="374" t="s">
        <v>1184</v>
      </c>
      <c r="G551" s="374" t="s">
        <v>1460</v>
      </c>
      <c r="H551" s="375">
        <v>2</v>
      </c>
      <c r="I551" s="379">
        <f>1.9*4</f>
        <v>7.6</v>
      </c>
      <c r="J551" s="376" t="s">
        <v>1171</v>
      </c>
      <c r="K551" s="376"/>
      <c r="L551" s="377">
        <f t="shared" si="40"/>
        <v>0</v>
      </c>
      <c r="M551" s="377">
        <f t="shared" si="41"/>
        <v>0</v>
      </c>
      <c r="N551" s="377">
        <f t="shared" si="42"/>
        <v>0</v>
      </c>
    </row>
    <row r="552" spans="1:14" s="2" customFormat="1" ht="12.75">
      <c r="A552" s="2" t="s">
        <v>1534</v>
      </c>
      <c r="B552" s="374" t="s">
        <v>1418</v>
      </c>
      <c r="C552" s="3">
        <v>306</v>
      </c>
      <c r="D552" s="381" t="s">
        <v>1411</v>
      </c>
      <c r="E552" s="378" t="s">
        <v>1459</v>
      </c>
      <c r="F552" s="374" t="s">
        <v>1182</v>
      </c>
      <c r="G552" s="374" t="s">
        <v>1467</v>
      </c>
      <c r="H552" s="375">
        <v>2</v>
      </c>
      <c r="I552" s="379">
        <f>3*3</f>
        <v>9</v>
      </c>
      <c r="J552" s="376" t="s">
        <v>1171</v>
      </c>
      <c r="K552" s="376"/>
      <c r="L552" s="377">
        <f t="shared" si="40"/>
        <v>0</v>
      </c>
      <c r="M552" s="377">
        <f t="shared" si="41"/>
        <v>0</v>
      </c>
      <c r="N552" s="377">
        <f t="shared" si="42"/>
        <v>0</v>
      </c>
    </row>
    <row r="553" spans="1:14" s="2" customFormat="1" ht="12.75">
      <c r="A553" s="2" t="s">
        <v>1534</v>
      </c>
      <c r="B553" s="374" t="s">
        <v>1418</v>
      </c>
      <c r="C553" s="3">
        <v>306</v>
      </c>
      <c r="D553" s="381" t="s">
        <v>1411</v>
      </c>
      <c r="E553" s="378" t="s">
        <v>1459</v>
      </c>
      <c r="F553" s="374" t="s">
        <v>1184</v>
      </c>
      <c r="G553" s="374" t="s">
        <v>1467</v>
      </c>
      <c r="H553" s="375">
        <v>2</v>
      </c>
      <c r="I553" s="379">
        <f>3*3</f>
        <v>9</v>
      </c>
      <c r="J553" s="376" t="s">
        <v>1174</v>
      </c>
      <c r="K553" s="376"/>
      <c r="L553" s="377">
        <f t="shared" si="40"/>
        <v>0</v>
      </c>
      <c r="M553" s="377">
        <f t="shared" si="41"/>
        <v>0</v>
      </c>
      <c r="N553" s="377">
        <f t="shared" si="42"/>
        <v>0</v>
      </c>
    </row>
    <row r="554" spans="1:14" s="2" customFormat="1" ht="12.75">
      <c r="A554" s="2" t="s">
        <v>1534</v>
      </c>
      <c r="B554" s="374" t="s">
        <v>1418</v>
      </c>
      <c r="C554" s="3">
        <v>306</v>
      </c>
      <c r="D554" s="381" t="s">
        <v>1411</v>
      </c>
      <c r="E554" s="378" t="s">
        <v>1459</v>
      </c>
      <c r="F554" s="374" t="s">
        <v>1182</v>
      </c>
      <c r="G554" s="374" t="s">
        <v>1462</v>
      </c>
      <c r="H554" s="375">
        <v>2</v>
      </c>
      <c r="I554" s="379">
        <f>2*9.75</f>
        <v>19.5</v>
      </c>
      <c r="J554" s="376" t="s">
        <v>1171</v>
      </c>
      <c r="K554" s="376"/>
      <c r="L554" s="377">
        <f t="shared" si="40"/>
        <v>0</v>
      </c>
      <c r="M554" s="377">
        <f t="shared" si="41"/>
        <v>0</v>
      </c>
      <c r="N554" s="377">
        <f t="shared" si="42"/>
        <v>0</v>
      </c>
    </row>
    <row r="555" spans="1:14" s="2" customFormat="1" ht="12.75">
      <c r="A555" s="2" t="s">
        <v>1534</v>
      </c>
      <c r="B555" s="374" t="s">
        <v>1418</v>
      </c>
      <c r="C555" s="3">
        <v>306</v>
      </c>
      <c r="D555" s="381" t="s">
        <v>1411</v>
      </c>
      <c r="E555" s="378" t="s">
        <v>1459</v>
      </c>
      <c r="F555" s="374" t="s">
        <v>1184</v>
      </c>
      <c r="G555" s="374" t="s">
        <v>1462</v>
      </c>
      <c r="H555" s="375">
        <v>2</v>
      </c>
      <c r="I555" s="379">
        <f>2*9.75</f>
        <v>19.5</v>
      </c>
      <c r="J555" s="376" t="s">
        <v>1171</v>
      </c>
      <c r="K555" s="376"/>
      <c r="L555" s="377">
        <f t="shared" si="40"/>
        <v>0</v>
      </c>
      <c r="M555" s="377">
        <f t="shared" si="41"/>
        <v>0</v>
      </c>
      <c r="N555" s="377">
        <f t="shared" si="42"/>
        <v>0</v>
      </c>
    </row>
    <row r="556" spans="1:14" s="2" customFormat="1" ht="12.75">
      <c r="A556" s="2" t="s">
        <v>1534</v>
      </c>
      <c r="B556" s="374" t="s">
        <v>1418</v>
      </c>
      <c r="C556" s="3">
        <v>306</v>
      </c>
      <c r="D556" s="381" t="s">
        <v>1411</v>
      </c>
      <c r="E556" s="378" t="s">
        <v>1459</v>
      </c>
      <c r="F556" s="374" t="s">
        <v>1182</v>
      </c>
      <c r="G556" s="374" t="s">
        <v>1463</v>
      </c>
      <c r="H556" s="375">
        <v>2</v>
      </c>
      <c r="I556" s="379">
        <f>3*9.75</f>
        <v>29.25</v>
      </c>
      <c r="J556" s="376" t="s">
        <v>1171</v>
      </c>
      <c r="K556" s="376"/>
      <c r="L556" s="377">
        <f t="shared" si="40"/>
        <v>0</v>
      </c>
      <c r="M556" s="377">
        <f t="shared" si="41"/>
        <v>0</v>
      </c>
      <c r="N556" s="377">
        <f t="shared" si="42"/>
        <v>0</v>
      </c>
    </row>
    <row r="557" spans="1:14" s="2" customFormat="1" ht="12.75">
      <c r="A557" s="2" t="s">
        <v>1534</v>
      </c>
      <c r="B557" s="374" t="s">
        <v>1418</v>
      </c>
      <c r="C557" s="3">
        <v>306</v>
      </c>
      <c r="D557" s="381" t="s">
        <v>1411</v>
      </c>
      <c r="E557" s="378" t="s">
        <v>1459</v>
      </c>
      <c r="F557" s="374" t="s">
        <v>1184</v>
      </c>
      <c r="G557" s="374" t="s">
        <v>1463</v>
      </c>
      <c r="H557" s="375">
        <v>2</v>
      </c>
      <c r="I557" s="379">
        <f>3*9.75</f>
        <v>29.25</v>
      </c>
      <c r="J557" s="376" t="s">
        <v>1171</v>
      </c>
      <c r="K557" s="376"/>
      <c r="L557" s="377">
        <f t="shared" si="40"/>
        <v>0</v>
      </c>
      <c r="M557" s="377">
        <f t="shared" si="41"/>
        <v>0</v>
      </c>
      <c r="N557" s="377">
        <f t="shared" si="42"/>
        <v>0</v>
      </c>
    </row>
    <row r="558" spans="1:14" s="2" customFormat="1" ht="12.75">
      <c r="A558" s="2" t="s">
        <v>1534</v>
      </c>
      <c r="B558" s="374" t="s">
        <v>1418</v>
      </c>
      <c r="C558" s="3">
        <v>306</v>
      </c>
      <c r="D558" s="381" t="s">
        <v>1411</v>
      </c>
      <c r="E558" s="378" t="s">
        <v>229</v>
      </c>
      <c r="F558" s="374" t="s">
        <v>1173</v>
      </c>
      <c r="G558" s="374" t="s">
        <v>1434</v>
      </c>
      <c r="H558" s="375">
        <v>2</v>
      </c>
      <c r="I558" s="379">
        <f>((1*1)*3)+(0.9*1)</f>
        <v>3.9</v>
      </c>
      <c r="J558" s="376" t="s">
        <v>1171</v>
      </c>
      <c r="K558" s="376"/>
      <c r="L558" s="377">
        <f t="shared" si="40"/>
        <v>0</v>
      </c>
      <c r="M558" s="377">
        <f t="shared" si="41"/>
        <v>0</v>
      </c>
      <c r="N558" s="377">
        <f t="shared" si="42"/>
        <v>0</v>
      </c>
    </row>
    <row r="559" spans="1:14" s="2" customFormat="1" ht="12.75">
      <c r="A559" s="2" t="s">
        <v>1534</v>
      </c>
      <c r="B559" s="374" t="s">
        <v>1418</v>
      </c>
      <c r="C559" s="3">
        <v>306</v>
      </c>
      <c r="D559" s="381" t="s">
        <v>1411</v>
      </c>
      <c r="E559" s="378" t="s">
        <v>229</v>
      </c>
      <c r="F559" s="374" t="s">
        <v>1170</v>
      </c>
      <c r="G559" s="374" t="s">
        <v>1439</v>
      </c>
      <c r="H559" s="375">
        <v>2</v>
      </c>
      <c r="I559" s="379">
        <f>((1*1)*3)+(0.9*1)</f>
        <v>3.9</v>
      </c>
      <c r="J559" s="376" t="s">
        <v>1171</v>
      </c>
      <c r="K559" s="376"/>
      <c r="L559" s="377">
        <f t="shared" si="40"/>
        <v>0</v>
      </c>
      <c r="M559" s="377">
        <f t="shared" si="41"/>
        <v>0</v>
      </c>
      <c r="N559" s="377">
        <f t="shared" si="42"/>
        <v>0</v>
      </c>
    </row>
    <row r="560" spans="1:14" s="2" customFormat="1" ht="12.75">
      <c r="A560" s="2" t="s">
        <v>1535</v>
      </c>
      <c r="B560" s="374" t="s">
        <v>1418</v>
      </c>
      <c r="C560" s="3">
        <v>306</v>
      </c>
      <c r="D560" s="381" t="s">
        <v>1411</v>
      </c>
      <c r="E560" s="4"/>
      <c r="F560" s="374" t="s">
        <v>1172</v>
      </c>
      <c r="G560" s="374" t="s">
        <v>1320</v>
      </c>
      <c r="H560" s="375">
        <v>26</v>
      </c>
      <c r="I560" s="379">
        <v>70</v>
      </c>
      <c r="J560" s="376" t="s">
        <v>1171</v>
      </c>
      <c r="K560" s="376" t="s">
        <v>1321</v>
      </c>
      <c r="L560" s="377">
        <f t="shared" si="40"/>
        <v>0</v>
      </c>
      <c r="M560" s="377">
        <f t="shared" si="41"/>
        <v>0</v>
      </c>
      <c r="N560" s="377">
        <f t="shared" si="42"/>
        <v>0</v>
      </c>
    </row>
    <row r="561" spans="1:14" s="2" customFormat="1" ht="12.75">
      <c r="A561" s="2" t="s">
        <v>1536</v>
      </c>
      <c r="B561" s="374" t="s">
        <v>1412</v>
      </c>
      <c r="C561" s="3">
        <v>307</v>
      </c>
      <c r="D561" s="381" t="s">
        <v>1411</v>
      </c>
      <c r="E561" s="378" t="s">
        <v>54</v>
      </c>
      <c r="F561" s="374" t="s">
        <v>1172</v>
      </c>
      <c r="G561" s="374" t="s">
        <v>1470</v>
      </c>
      <c r="H561" s="375">
        <v>12</v>
      </c>
      <c r="I561" s="379">
        <f>0.75*((2.2+7.4*2)+(4.3+13*2)+(4.3+15*2)+(13.75+15.5+4.3))*2</f>
        <v>172.72499999999999</v>
      </c>
      <c r="J561" s="376" t="s">
        <v>1171</v>
      </c>
      <c r="K561" s="376"/>
      <c r="L561" s="377">
        <f t="shared" si="40"/>
        <v>0</v>
      </c>
      <c r="M561" s="377">
        <f t="shared" si="41"/>
        <v>0</v>
      </c>
      <c r="N561" s="377">
        <f t="shared" si="42"/>
        <v>0</v>
      </c>
    </row>
    <row r="562" spans="1:14" s="2" customFormat="1" ht="12.75">
      <c r="A562" s="2" t="s">
        <v>1536</v>
      </c>
      <c r="B562" s="374" t="s">
        <v>1412</v>
      </c>
      <c r="C562" s="3">
        <v>307</v>
      </c>
      <c r="D562" s="381" t="s">
        <v>1411</v>
      </c>
      <c r="E562" s="378" t="s">
        <v>54</v>
      </c>
      <c r="F562" s="374" t="s">
        <v>1172</v>
      </c>
      <c r="G562" s="374" t="s">
        <v>1471</v>
      </c>
      <c r="H562" s="375">
        <v>12</v>
      </c>
      <c r="I562" s="379">
        <f>0.75*(2.25+4.15+4.4+1.4)*2</f>
        <v>18.3</v>
      </c>
      <c r="J562" s="376" t="s">
        <v>1174</v>
      </c>
      <c r="K562" s="376"/>
      <c r="L562" s="377">
        <f t="shared" si="40"/>
        <v>0</v>
      </c>
      <c r="M562" s="377">
        <f t="shared" si="41"/>
        <v>0</v>
      </c>
      <c r="N562" s="377">
        <f t="shared" si="42"/>
        <v>0</v>
      </c>
    </row>
    <row r="563" spans="1:14" s="2" customFormat="1" ht="12.75">
      <c r="A563" s="2" t="s">
        <v>1536</v>
      </c>
      <c r="B563" s="374" t="s">
        <v>1412</v>
      </c>
      <c r="C563" s="3">
        <v>307</v>
      </c>
      <c r="D563" s="381" t="s">
        <v>1411</v>
      </c>
      <c r="E563" s="378" t="s">
        <v>54</v>
      </c>
      <c r="F563" s="374" t="s">
        <v>1172</v>
      </c>
      <c r="G563" s="374" t="s">
        <v>1472</v>
      </c>
      <c r="H563" s="375">
        <v>12</v>
      </c>
      <c r="I563" s="379">
        <f>0.75*(2.25+4.15+4.4+1.4)*2</f>
        <v>18.3</v>
      </c>
      <c r="J563" s="376" t="s">
        <v>1171</v>
      </c>
      <c r="K563" s="376"/>
      <c r="L563" s="377">
        <f t="shared" si="40"/>
        <v>0</v>
      </c>
      <c r="M563" s="377">
        <f t="shared" si="41"/>
        <v>0</v>
      </c>
      <c r="N563" s="377">
        <f t="shared" si="42"/>
        <v>0</v>
      </c>
    </row>
    <row r="564" spans="1:14" s="2" customFormat="1" ht="12.75">
      <c r="A564" s="2" t="s">
        <v>1537</v>
      </c>
      <c r="B564" s="374" t="s">
        <v>1412</v>
      </c>
      <c r="C564" s="3">
        <v>307</v>
      </c>
      <c r="D564" s="381" t="s">
        <v>1411</v>
      </c>
      <c r="E564" s="378" t="s">
        <v>54</v>
      </c>
      <c r="F564" s="374" t="s">
        <v>1182</v>
      </c>
      <c r="G564" s="374" t="s">
        <v>1473</v>
      </c>
      <c r="H564" s="375">
        <v>2</v>
      </c>
      <c r="I564" s="379">
        <f>(11+11)*(1.6*3.14)</f>
        <v>110.52800000000002</v>
      </c>
      <c r="J564" s="376" t="s">
        <v>1171</v>
      </c>
      <c r="K564" s="376"/>
      <c r="L564" s="377">
        <f t="shared" si="40"/>
        <v>0</v>
      </c>
      <c r="M564" s="377">
        <f t="shared" si="41"/>
        <v>0</v>
      </c>
      <c r="N564" s="377">
        <f t="shared" si="42"/>
        <v>0</v>
      </c>
    </row>
    <row r="565" spans="1:14" s="2" customFormat="1" ht="12.75">
      <c r="A565" s="2" t="s">
        <v>1537</v>
      </c>
      <c r="B565" s="374" t="s">
        <v>1412</v>
      </c>
      <c r="C565" s="3">
        <v>307</v>
      </c>
      <c r="D565" s="381" t="s">
        <v>1411</v>
      </c>
      <c r="E565" s="378" t="s">
        <v>54</v>
      </c>
      <c r="F565" s="374" t="s">
        <v>1184</v>
      </c>
      <c r="G565" s="374" t="s">
        <v>1473</v>
      </c>
      <c r="H565" s="375">
        <v>2</v>
      </c>
      <c r="I565" s="379">
        <f>(11+11)*(1.6*3.14)</f>
        <v>110.52800000000002</v>
      </c>
      <c r="J565" s="376" t="s">
        <v>1171</v>
      </c>
      <c r="K565" s="376"/>
      <c r="L565" s="377">
        <f t="shared" si="40"/>
        <v>0</v>
      </c>
      <c r="M565" s="377">
        <f t="shared" si="41"/>
        <v>0</v>
      </c>
      <c r="N565" s="377">
        <f t="shared" si="42"/>
        <v>0</v>
      </c>
    </row>
    <row r="566" spans="1:14" s="2" customFormat="1" ht="12.75">
      <c r="A566" s="2" t="s">
        <v>1537</v>
      </c>
      <c r="B566" s="374" t="s">
        <v>1412</v>
      </c>
      <c r="C566" s="3">
        <v>307</v>
      </c>
      <c r="D566" s="381" t="s">
        <v>1411</v>
      </c>
      <c r="E566" s="378" t="s">
        <v>54</v>
      </c>
      <c r="F566" s="374" t="s">
        <v>1182</v>
      </c>
      <c r="G566" s="374" t="s">
        <v>1474</v>
      </c>
      <c r="H566" s="375">
        <v>2</v>
      </c>
      <c r="I566" s="379">
        <f>(1*(2.2*1.1))+(4*(0.8*1.8))*2</f>
        <v>13.940000000000001</v>
      </c>
      <c r="J566" s="376" t="s">
        <v>1171</v>
      </c>
      <c r="K566" s="376"/>
      <c r="L566" s="377">
        <f t="shared" si="40"/>
        <v>0</v>
      </c>
      <c r="M566" s="377">
        <f t="shared" si="41"/>
        <v>0</v>
      </c>
      <c r="N566" s="377">
        <f t="shared" si="42"/>
        <v>0</v>
      </c>
    </row>
    <row r="567" spans="1:14" s="2" customFormat="1" ht="12.75">
      <c r="A567" s="2" t="s">
        <v>1537</v>
      </c>
      <c r="B567" s="374" t="s">
        <v>1412</v>
      </c>
      <c r="C567" s="3">
        <v>307</v>
      </c>
      <c r="D567" s="381" t="s">
        <v>1411</v>
      </c>
      <c r="E567" s="378" t="s">
        <v>54</v>
      </c>
      <c r="F567" s="374" t="s">
        <v>1184</v>
      </c>
      <c r="G567" s="374" t="s">
        <v>1474</v>
      </c>
      <c r="H567" s="375">
        <v>2</v>
      </c>
      <c r="I567" s="379">
        <f>(1*(2.2*1.1))+(4*(0.8*1.8))*2</f>
        <v>13.940000000000001</v>
      </c>
      <c r="J567" s="376" t="s">
        <v>1171</v>
      </c>
      <c r="K567" s="376"/>
      <c r="L567" s="377">
        <f t="shared" si="40"/>
        <v>0</v>
      </c>
      <c r="M567" s="377">
        <f t="shared" si="41"/>
        <v>0</v>
      </c>
      <c r="N567" s="377">
        <f t="shared" si="42"/>
        <v>0</v>
      </c>
    </row>
    <row r="568" spans="1:14" s="2" customFormat="1" ht="12.75">
      <c r="A568" s="2" t="s">
        <v>1537</v>
      </c>
      <c r="B568" s="374" t="s">
        <v>1412</v>
      </c>
      <c r="C568" s="3">
        <v>307</v>
      </c>
      <c r="D568" s="381" t="s">
        <v>1411</v>
      </c>
      <c r="E568" s="378" t="s">
        <v>54</v>
      </c>
      <c r="F568" s="374" t="s">
        <v>1179</v>
      </c>
      <c r="G568" s="374" t="s">
        <v>1475</v>
      </c>
      <c r="H568" s="375">
        <v>2</v>
      </c>
      <c r="I568" s="379">
        <f>4.5*(5.5*24)</f>
        <v>594</v>
      </c>
      <c r="J568" s="376" t="s">
        <v>1171</v>
      </c>
      <c r="K568" s="376"/>
      <c r="L568" s="377">
        <f t="shared" si="40"/>
        <v>0</v>
      </c>
      <c r="M568" s="377">
        <f t="shared" si="41"/>
        <v>0</v>
      </c>
      <c r="N568" s="377">
        <f t="shared" si="42"/>
        <v>0</v>
      </c>
    </row>
    <row r="569" spans="1:14" s="2" customFormat="1" ht="12.75">
      <c r="A569" s="2" t="s">
        <v>1537</v>
      </c>
      <c r="B569" s="374" t="s">
        <v>1412</v>
      </c>
      <c r="C569" s="3">
        <v>307</v>
      </c>
      <c r="D569" s="381" t="s">
        <v>1411</v>
      </c>
      <c r="E569" s="378" t="s">
        <v>54</v>
      </c>
      <c r="F569" s="374" t="s">
        <v>1181</v>
      </c>
      <c r="G569" s="374" t="s">
        <v>1475</v>
      </c>
      <c r="H569" s="375">
        <v>2</v>
      </c>
      <c r="I569" s="379">
        <f>4.5*(5.5*24)</f>
        <v>594</v>
      </c>
      <c r="J569" s="376" t="s">
        <v>1171</v>
      </c>
      <c r="K569" s="376"/>
      <c r="L569" s="377">
        <f t="shared" si="40"/>
        <v>0</v>
      </c>
      <c r="M569" s="377">
        <f t="shared" si="41"/>
        <v>0</v>
      </c>
      <c r="N569" s="377">
        <f t="shared" si="42"/>
        <v>0</v>
      </c>
    </row>
    <row r="570" spans="1:14" s="2" customFormat="1" ht="12.75">
      <c r="A570" s="2" t="s">
        <v>1537</v>
      </c>
      <c r="B570" s="374" t="s">
        <v>1412</v>
      </c>
      <c r="C570" s="3">
        <v>307</v>
      </c>
      <c r="D570" s="381" t="s">
        <v>1411</v>
      </c>
      <c r="E570" s="378" t="s">
        <v>143</v>
      </c>
      <c r="F570" s="374" t="s">
        <v>1173</v>
      </c>
      <c r="G570" s="374" t="s">
        <v>1434</v>
      </c>
      <c r="H570" s="375">
        <v>2</v>
      </c>
      <c r="I570" s="379">
        <f>4.4*(3.8+15.7+0.85+4+13+4)</f>
        <v>181.94000000000003</v>
      </c>
      <c r="J570" s="376" t="s">
        <v>1171</v>
      </c>
      <c r="K570" s="376"/>
      <c r="L570" s="377">
        <f t="shared" si="40"/>
        <v>0</v>
      </c>
      <c r="M570" s="377">
        <f t="shared" si="41"/>
        <v>0</v>
      </c>
      <c r="N570" s="377">
        <f t="shared" si="42"/>
        <v>0</v>
      </c>
    </row>
    <row r="571" spans="1:14" s="2" customFormat="1" ht="12.75">
      <c r="A571" s="2" t="s">
        <v>1537</v>
      </c>
      <c r="B571" s="374" t="s">
        <v>1412</v>
      </c>
      <c r="C571" s="3">
        <v>307</v>
      </c>
      <c r="D571" s="381" t="s">
        <v>1411</v>
      </c>
      <c r="E571" s="378" t="s">
        <v>143</v>
      </c>
      <c r="F571" s="374" t="s">
        <v>1170</v>
      </c>
      <c r="G571" s="374" t="s">
        <v>1439</v>
      </c>
      <c r="H571" s="375">
        <v>2</v>
      </c>
      <c r="I571" s="379">
        <f>4.4*(3.8+15.7+0.85+4+13+4)</f>
        <v>181.94000000000003</v>
      </c>
      <c r="J571" s="376" t="s">
        <v>1171</v>
      </c>
      <c r="K571" s="376"/>
      <c r="L571" s="377">
        <f t="shared" si="40"/>
        <v>0</v>
      </c>
      <c r="M571" s="377">
        <f t="shared" si="41"/>
        <v>0</v>
      </c>
      <c r="N571" s="377">
        <f t="shared" si="42"/>
        <v>0</v>
      </c>
    </row>
    <row r="572" spans="1:14" s="2" customFormat="1" ht="12.75">
      <c r="A572" s="2" t="s">
        <v>1537</v>
      </c>
      <c r="B572" s="374" t="s">
        <v>1412</v>
      </c>
      <c r="C572" s="3">
        <v>307</v>
      </c>
      <c r="D572" s="381" t="s">
        <v>1411</v>
      </c>
      <c r="E572" s="378" t="s">
        <v>1438</v>
      </c>
      <c r="F572" s="374" t="s">
        <v>1173</v>
      </c>
      <c r="G572" s="374" t="s">
        <v>1434</v>
      </c>
      <c r="H572" s="375">
        <v>2</v>
      </c>
      <c r="I572" s="379">
        <f>12*(0.95*2.35)</f>
        <v>26.79</v>
      </c>
      <c r="J572" s="376" t="s">
        <v>1171</v>
      </c>
      <c r="K572" s="376"/>
      <c r="L572" s="377">
        <f t="shared" si="40"/>
        <v>0</v>
      </c>
      <c r="M572" s="377">
        <f t="shared" si="41"/>
        <v>0</v>
      </c>
      <c r="N572" s="377">
        <f t="shared" si="42"/>
        <v>0</v>
      </c>
    </row>
    <row r="573" spans="1:14" s="2" customFormat="1" ht="12.75">
      <c r="A573" s="2" t="s">
        <v>1537</v>
      </c>
      <c r="B573" s="374" t="s">
        <v>1412</v>
      </c>
      <c r="C573" s="3">
        <v>307</v>
      </c>
      <c r="D573" s="381" t="s">
        <v>1411</v>
      </c>
      <c r="E573" s="378" t="s">
        <v>1438</v>
      </c>
      <c r="F573" s="374" t="s">
        <v>1170</v>
      </c>
      <c r="G573" s="374" t="s">
        <v>1439</v>
      </c>
      <c r="H573" s="375">
        <v>2</v>
      </c>
      <c r="I573" s="379">
        <f>12*(0.95*2.35)</f>
        <v>26.79</v>
      </c>
      <c r="J573" s="376" t="s">
        <v>1171</v>
      </c>
      <c r="K573" s="376"/>
      <c r="L573" s="377">
        <f t="shared" si="40"/>
        <v>0</v>
      </c>
      <c r="M573" s="377">
        <f t="shared" si="41"/>
        <v>0</v>
      </c>
      <c r="N573" s="377">
        <f t="shared" si="42"/>
        <v>0</v>
      </c>
    </row>
    <row r="574" spans="1:14" s="2" customFormat="1" ht="12.75">
      <c r="A574" s="2" t="s">
        <v>1537</v>
      </c>
      <c r="B574" s="374" t="s">
        <v>1412</v>
      </c>
      <c r="C574" s="3">
        <v>307</v>
      </c>
      <c r="D574" s="381" t="s">
        <v>1411</v>
      </c>
      <c r="E574" s="378" t="s">
        <v>1476</v>
      </c>
      <c r="F574" s="374" t="s">
        <v>1173</v>
      </c>
      <c r="G574" s="374" t="s">
        <v>1434</v>
      </c>
      <c r="H574" s="375">
        <v>2</v>
      </c>
      <c r="I574" s="379">
        <f>(0.7*1.4)*2</f>
        <v>1.9599999999999997</v>
      </c>
      <c r="J574" s="376" t="s">
        <v>1171</v>
      </c>
      <c r="K574" s="376"/>
      <c r="L574" s="377">
        <f t="shared" si="40"/>
        <v>0</v>
      </c>
      <c r="M574" s="377">
        <f t="shared" si="41"/>
        <v>0</v>
      </c>
      <c r="N574" s="377">
        <f t="shared" si="42"/>
        <v>0</v>
      </c>
    </row>
    <row r="575" spans="1:14" s="2" customFormat="1" ht="12.75">
      <c r="A575" s="2" t="s">
        <v>1537</v>
      </c>
      <c r="B575" s="374" t="s">
        <v>1412</v>
      </c>
      <c r="C575" s="3">
        <v>307</v>
      </c>
      <c r="D575" s="381" t="s">
        <v>1411</v>
      </c>
      <c r="E575" s="378" t="s">
        <v>1476</v>
      </c>
      <c r="F575" s="374" t="s">
        <v>1170</v>
      </c>
      <c r="G575" s="374" t="s">
        <v>1439</v>
      </c>
      <c r="H575" s="375">
        <v>2</v>
      </c>
      <c r="I575" s="379">
        <f>(0.7*1.4)*2</f>
        <v>1.9599999999999997</v>
      </c>
      <c r="J575" s="376" t="s">
        <v>1171</v>
      </c>
      <c r="K575" s="376"/>
      <c r="L575" s="377">
        <f t="shared" si="40"/>
        <v>0</v>
      </c>
      <c r="M575" s="377">
        <f t="shared" si="41"/>
        <v>0</v>
      </c>
      <c r="N575" s="377">
        <f t="shared" si="42"/>
        <v>0</v>
      </c>
    </row>
    <row r="576" spans="1:14" s="2" customFormat="1" ht="12.75">
      <c r="A576" s="2" t="s">
        <v>1537</v>
      </c>
      <c r="B576" s="374" t="s">
        <v>1412</v>
      </c>
      <c r="C576" s="3">
        <v>307</v>
      </c>
      <c r="D576" s="381" t="s">
        <v>1411</v>
      </c>
      <c r="E576" s="378" t="s">
        <v>1477</v>
      </c>
      <c r="F576" s="374" t="s">
        <v>1173</v>
      </c>
      <c r="G576" s="374" t="s">
        <v>1434</v>
      </c>
      <c r="H576" s="375">
        <v>2</v>
      </c>
      <c r="I576" s="379">
        <f>(1.2*4.4)</f>
        <v>5.28</v>
      </c>
      <c r="J576" s="376" t="s">
        <v>1171</v>
      </c>
      <c r="K576" s="376"/>
      <c r="L576" s="377">
        <f t="shared" si="40"/>
        <v>0</v>
      </c>
      <c r="M576" s="377">
        <f t="shared" si="41"/>
        <v>0</v>
      </c>
      <c r="N576" s="377">
        <f t="shared" si="42"/>
        <v>0</v>
      </c>
    </row>
    <row r="577" spans="1:14" s="2" customFormat="1" ht="12.75">
      <c r="A577" s="2" t="s">
        <v>1537</v>
      </c>
      <c r="B577" s="374" t="s">
        <v>1412</v>
      </c>
      <c r="C577" s="3">
        <v>307</v>
      </c>
      <c r="D577" s="381" t="s">
        <v>1411</v>
      </c>
      <c r="E577" s="378" t="s">
        <v>1477</v>
      </c>
      <c r="F577" s="374" t="s">
        <v>1170</v>
      </c>
      <c r="G577" s="374" t="s">
        <v>1439</v>
      </c>
      <c r="H577" s="375">
        <v>2</v>
      </c>
      <c r="I577" s="379">
        <f>(1.2*4.4)*0.5</f>
        <v>2.64</v>
      </c>
      <c r="J577" s="376" t="s">
        <v>1171</v>
      </c>
      <c r="K577" s="376"/>
      <c r="L577" s="377">
        <f t="shared" si="40"/>
        <v>0</v>
      </c>
      <c r="M577" s="377">
        <f t="shared" si="41"/>
        <v>0</v>
      </c>
      <c r="N577" s="377">
        <f t="shared" si="42"/>
        <v>0</v>
      </c>
    </row>
    <row r="578" spans="1:14" s="2" customFormat="1" ht="12.75">
      <c r="A578" s="2" t="s">
        <v>1537</v>
      </c>
      <c r="B578" s="374" t="s">
        <v>1412</v>
      </c>
      <c r="C578" s="3">
        <v>307</v>
      </c>
      <c r="D578" s="381" t="s">
        <v>1411</v>
      </c>
      <c r="E578" s="378" t="s">
        <v>1478</v>
      </c>
      <c r="F578" s="374" t="s">
        <v>1173</v>
      </c>
      <c r="G578" s="374" t="s">
        <v>1434</v>
      </c>
      <c r="H578" s="375">
        <v>2</v>
      </c>
      <c r="I578" s="379">
        <f>(0.85*0.8)+(0.7*0.8)</f>
        <v>1.24</v>
      </c>
      <c r="J578" s="376" t="s">
        <v>1171</v>
      </c>
      <c r="K578" s="376"/>
      <c r="L578" s="377">
        <f t="shared" si="40"/>
        <v>0</v>
      </c>
      <c r="M578" s="377">
        <f t="shared" si="41"/>
        <v>0</v>
      </c>
      <c r="N578" s="377">
        <f t="shared" si="42"/>
        <v>0</v>
      </c>
    </row>
    <row r="579" spans="1:14" s="2" customFormat="1" ht="12.75">
      <c r="A579" s="2" t="s">
        <v>1537</v>
      </c>
      <c r="B579" s="374" t="s">
        <v>1412</v>
      </c>
      <c r="C579" s="3">
        <v>307</v>
      </c>
      <c r="D579" s="381" t="s">
        <v>1411</v>
      </c>
      <c r="E579" s="378" t="s">
        <v>1478</v>
      </c>
      <c r="F579" s="374" t="s">
        <v>1170</v>
      </c>
      <c r="G579" s="374" t="s">
        <v>1439</v>
      </c>
      <c r="H579" s="375">
        <v>2</v>
      </c>
      <c r="I579" s="379">
        <f>(0.85*0.8)+(0.7*0.8)</f>
        <v>1.24</v>
      </c>
      <c r="J579" s="376" t="s">
        <v>1171</v>
      </c>
      <c r="K579" s="376"/>
      <c r="L579" s="377">
        <f t="shared" si="40"/>
        <v>0</v>
      </c>
      <c r="M579" s="377">
        <f t="shared" si="41"/>
        <v>0</v>
      </c>
      <c r="N579" s="377">
        <f t="shared" si="42"/>
        <v>0</v>
      </c>
    </row>
    <row r="580" spans="1:14" s="2" customFormat="1" ht="12.75">
      <c r="A580" s="2" t="s">
        <v>1536</v>
      </c>
      <c r="B580" s="374" t="s">
        <v>1412</v>
      </c>
      <c r="C580" s="3">
        <v>307</v>
      </c>
      <c r="D580" s="381" t="s">
        <v>1411</v>
      </c>
      <c r="E580" s="4"/>
      <c r="F580" s="374" t="s">
        <v>1172</v>
      </c>
      <c r="G580" s="374" t="s">
        <v>1320</v>
      </c>
      <c r="H580" s="375">
        <v>26</v>
      </c>
      <c r="I580" s="379">
        <v>231</v>
      </c>
      <c r="J580" s="376" t="s">
        <v>1171</v>
      </c>
      <c r="K580" s="376" t="s">
        <v>1321</v>
      </c>
      <c r="L580" s="377">
        <f t="shared" si="40"/>
        <v>0</v>
      </c>
      <c r="M580" s="377">
        <f t="shared" si="41"/>
        <v>0</v>
      </c>
      <c r="N580" s="377">
        <f t="shared" si="42"/>
        <v>0</v>
      </c>
    </row>
    <row r="581" spans="1:14" s="2" customFormat="1" ht="12.75">
      <c r="A581" s="2" t="s">
        <v>1538</v>
      </c>
      <c r="B581" s="374" t="s">
        <v>1419</v>
      </c>
      <c r="C581" s="3">
        <v>308</v>
      </c>
      <c r="D581" s="381" t="s">
        <v>1411</v>
      </c>
      <c r="E581" s="378" t="s">
        <v>54</v>
      </c>
      <c r="F581" s="374" t="s">
        <v>1170</v>
      </c>
      <c r="G581" s="374" t="s">
        <v>1452</v>
      </c>
      <c r="H581" s="375">
        <v>2</v>
      </c>
      <c r="I581" s="379">
        <f>15.5*3+12.5*3+3.5*1</f>
        <v>87.5</v>
      </c>
      <c r="J581" s="376" t="s">
        <v>1174</v>
      </c>
      <c r="K581" s="376"/>
      <c r="L581" s="377">
        <f t="shared" si="40"/>
        <v>0</v>
      </c>
      <c r="M581" s="377">
        <f t="shared" si="41"/>
        <v>0</v>
      </c>
      <c r="N581" s="377">
        <f t="shared" si="42"/>
        <v>0</v>
      </c>
    </row>
    <row r="582" spans="1:14" s="2" customFormat="1" ht="12.75">
      <c r="A582" s="2" t="s">
        <v>1538</v>
      </c>
      <c r="B582" s="374" t="s">
        <v>1419</v>
      </c>
      <c r="C582" s="3">
        <v>308</v>
      </c>
      <c r="D582" s="381" t="s">
        <v>1411</v>
      </c>
      <c r="E582" s="378" t="s">
        <v>54</v>
      </c>
      <c r="F582" s="374" t="s">
        <v>1170</v>
      </c>
      <c r="G582" s="374" t="s">
        <v>1454</v>
      </c>
      <c r="H582" s="375">
        <v>2</v>
      </c>
      <c r="I582" s="379">
        <f>15.5*3+12.5*3+3.5*1</f>
        <v>87.5</v>
      </c>
      <c r="J582" s="376" t="s">
        <v>1171</v>
      </c>
      <c r="K582" s="376"/>
      <c r="L582" s="377">
        <f t="shared" si="40"/>
        <v>0</v>
      </c>
      <c r="M582" s="377">
        <f t="shared" si="41"/>
        <v>0</v>
      </c>
      <c r="N582" s="377">
        <f t="shared" si="42"/>
        <v>0</v>
      </c>
    </row>
    <row r="583" spans="1:14" s="2" customFormat="1" ht="12.75">
      <c r="A583" s="2" t="s">
        <v>1538</v>
      </c>
      <c r="B583" s="374" t="s">
        <v>1419</v>
      </c>
      <c r="C583" s="3">
        <v>308</v>
      </c>
      <c r="D583" s="381" t="s">
        <v>1411</v>
      </c>
      <c r="E583" s="378" t="s">
        <v>54</v>
      </c>
      <c r="F583" s="374" t="s">
        <v>1170</v>
      </c>
      <c r="G583" s="374" t="s">
        <v>1455</v>
      </c>
      <c r="H583" s="375">
        <v>2</v>
      </c>
      <c r="I583" s="379">
        <f>2*(6.2*1*2+15.5*1.75)</f>
        <v>79.05</v>
      </c>
      <c r="J583" s="376" t="s">
        <v>1174</v>
      </c>
      <c r="K583" s="376"/>
      <c r="L583" s="377">
        <f t="shared" si="40"/>
        <v>0</v>
      </c>
      <c r="M583" s="377">
        <f t="shared" si="41"/>
        <v>0</v>
      </c>
      <c r="N583" s="377">
        <f t="shared" si="42"/>
        <v>0</v>
      </c>
    </row>
    <row r="584" spans="1:14" s="2" customFormat="1" ht="12.75">
      <c r="A584" s="2" t="s">
        <v>1538</v>
      </c>
      <c r="B584" s="374" t="s">
        <v>1419</v>
      </c>
      <c r="C584" s="3">
        <v>308</v>
      </c>
      <c r="D584" s="381" t="s">
        <v>1411</v>
      </c>
      <c r="E584" s="378" t="s">
        <v>54</v>
      </c>
      <c r="F584" s="374" t="s">
        <v>1170</v>
      </c>
      <c r="G584" s="374" t="s">
        <v>1457</v>
      </c>
      <c r="H584" s="375">
        <v>2</v>
      </c>
      <c r="I584" s="379">
        <f>2*(6.2*1*2+15.5*1.75)</f>
        <v>79.05</v>
      </c>
      <c r="J584" s="376" t="s">
        <v>1171</v>
      </c>
      <c r="K584" s="376"/>
      <c r="L584" s="377">
        <f t="shared" si="40"/>
        <v>0</v>
      </c>
      <c r="M584" s="377">
        <f t="shared" si="41"/>
        <v>0</v>
      </c>
      <c r="N584" s="377">
        <f t="shared" si="42"/>
        <v>0</v>
      </c>
    </row>
    <row r="585" spans="1:14" s="2" customFormat="1" ht="12.75">
      <c r="A585" s="2" t="s">
        <v>1538</v>
      </c>
      <c r="B585" s="374" t="s">
        <v>1419</v>
      </c>
      <c r="C585" s="3">
        <v>308</v>
      </c>
      <c r="D585" s="381" t="s">
        <v>1411</v>
      </c>
      <c r="E585" s="378" t="s">
        <v>64</v>
      </c>
      <c r="F585" s="374" t="s">
        <v>1170</v>
      </c>
      <c r="G585" s="374" t="s">
        <v>1464</v>
      </c>
      <c r="H585" s="375">
        <v>2</v>
      </c>
      <c r="I585" s="379">
        <f>4*4.3</f>
        <v>17.2</v>
      </c>
      <c r="J585" s="376" t="s">
        <v>1171</v>
      </c>
      <c r="K585" s="376"/>
      <c r="L585" s="377">
        <f t="shared" si="40"/>
        <v>0</v>
      </c>
      <c r="M585" s="377">
        <f t="shared" si="41"/>
        <v>0</v>
      </c>
      <c r="N585" s="377">
        <f t="shared" si="42"/>
        <v>0</v>
      </c>
    </row>
    <row r="586" spans="1:14" s="2" customFormat="1" ht="12.75">
      <c r="A586" s="2" t="s">
        <v>1538</v>
      </c>
      <c r="B586" s="374" t="s">
        <v>1419</v>
      </c>
      <c r="C586" s="3">
        <v>308</v>
      </c>
      <c r="D586" s="381" t="s">
        <v>1411</v>
      </c>
      <c r="E586" s="378" t="s">
        <v>64</v>
      </c>
      <c r="F586" s="374" t="s">
        <v>1170</v>
      </c>
      <c r="G586" s="374" t="s">
        <v>1465</v>
      </c>
      <c r="H586" s="375">
        <v>2</v>
      </c>
      <c r="I586" s="379">
        <f>4*4.3</f>
        <v>17.2</v>
      </c>
      <c r="J586" s="376" t="s">
        <v>1171</v>
      </c>
      <c r="K586" s="376"/>
      <c r="L586" s="377">
        <f t="shared" si="40"/>
        <v>0</v>
      </c>
      <c r="M586" s="377">
        <f t="shared" si="41"/>
        <v>0</v>
      </c>
      <c r="N586" s="377">
        <f t="shared" si="42"/>
        <v>0</v>
      </c>
    </row>
    <row r="587" spans="1:14" s="2" customFormat="1" ht="12.75">
      <c r="A587" s="2" t="s">
        <v>1539</v>
      </c>
      <c r="B587" s="374" t="s">
        <v>1419</v>
      </c>
      <c r="C587" s="3">
        <v>308</v>
      </c>
      <c r="D587" s="381" t="s">
        <v>1411</v>
      </c>
      <c r="E587" s="378" t="s">
        <v>54</v>
      </c>
      <c r="F587" s="374" t="s">
        <v>1172</v>
      </c>
      <c r="G587" s="374" t="s">
        <v>1466</v>
      </c>
      <c r="H587" s="375">
        <v>12</v>
      </c>
      <c r="I587" s="379">
        <f>0.7*12*2</f>
        <v>16.799999999999997</v>
      </c>
      <c r="J587" s="376" t="s">
        <v>1171</v>
      </c>
      <c r="K587" s="376"/>
      <c r="L587" s="377">
        <f t="shared" si="40"/>
        <v>0</v>
      </c>
      <c r="M587" s="377">
        <f t="shared" si="41"/>
        <v>0</v>
      </c>
      <c r="N587" s="377">
        <f t="shared" si="42"/>
        <v>0</v>
      </c>
    </row>
    <row r="588" spans="1:14" s="2" customFormat="1" ht="12.75">
      <c r="A588" s="2" t="s">
        <v>1538</v>
      </c>
      <c r="B588" s="374" t="s">
        <v>1419</v>
      </c>
      <c r="C588" s="3">
        <v>308</v>
      </c>
      <c r="D588" s="381" t="s">
        <v>1411</v>
      </c>
      <c r="E588" s="378" t="s">
        <v>1459</v>
      </c>
      <c r="F588" s="374" t="s">
        <v>1182</v>
      </c>
      <c r="G588" s="374" t="s">
        <v>1460</v>
      </c>
      <c r="H588" s="375">
        <v>2</v>
      </c>
      <c r="I588" s="379">
        <f>1.9*4</f>
        <v>7.6</v>
      </c>
      <c r="J588" s="376" t="s">
        <v>1171</v>
      </c>
      <c r="K588" s="376"/>
      <c r="L588" s="377">
        <f t="shared" si="40"/>
        <v>0</v>
      </c>
      <c r="M588" s="377">
        <f t="shared" si="41"/>
        <v>0</v>
      </c>
      <c r="N588" s="377">
        <f t="shared" si="42"/>
        <v>0</v>
      </c>
    </row>
    <row r="589" spans="1:14" s="2" customFormat="1" ht="12.75">
      <c r="A589" s="2" t="s">
        <v>1538</v>
      </c>
      <c r="B589" s="374" t="s">
        <v>1419</v>
      </c>
      <c r="C589" s="3">
        <v>308</v>
      </c>
      <c r="D589" s="381" t="s">
        <v>1411</v>
      </c>
      <c r="E589" s="378" t="s">
        <v>1459</v>
      </c>
      <c r="F589" s="374" t="s">
        <v>1184</v>
      </c>
      <c r="G589" s="374" t="s">
        <v>1460</v>
      </c>
      <c r="H589" s="375">
        <v>2</v>
      </c>
      <c r="I589" s="379">
        <f>1.9*4</f>
        <v>7.6</v>
      </c>
      <c r="J589" s="376" t="s">
        <v>1171</v>
      </c>
      <c r="K589" s="376"/>
      <c r="L589" s="377">
        <f t="shared" si="40"/>
        <v>0</v>
      </c>
      <c r="M589" s="377">
        <f t="shared" si="41"/>
        <v>0</v>
      </c>
      <c r="N589" s="377">
        <f t="shared" si="42"/>
        <v>0</v>
      </c>
    </row>
    <row r="590" spans="1:14" s="2" customFormat="1" ht="12.75">
      <c r="A590" s="2" t="s">
        <v>1538</v>
      </c>
      <c r="B590" s="374" t="s">
        <v>1419</v>
      </c>
      <c r="C590" s="3">
        <v>308</v>
      </c>
      <c r="D590" s="381" t="s">
        <v>1411</v>
      </c>
      <c r="E590" s="378" t="s">
        <v>1459</v>
      </c>
      <c r="F590" s="374" t="s">
        <v>1182</v>
      </c>
      <c r="G590" s="374" t="s">
        <v>1467</v>
      </c>
      <c r="H590" s="375">
        <v>2</v>
      </c>
      <c r="I590" s="379">
        <f>3*3</f>
        <v>9</v>
      </c>
      <c r="J590" s="376" t="s">
        <v>1171</v>
      </c>
      <c r="K590" s="376"/>
      <c r="L590" s="377">
        <f t="shared" si="40"/>
        <v>0</v>
      </c>
      <c r="M590" s="377">
        <f t="shared" si="41"/>
        <v>0</v>
      </c>
      <c r="N590" s="377">
        <f t="shared" si="42"/>
        <v>0</v>
      </c>
    </row>
    <row r="591" spans="1:14" s="2" customFormat="1" ht="12.75">
      <c r="A591" s="2" t="s">
        <v>1538</v>
      </c>
      <c r="B591" s="374" t="s">
        <v>1419</v>
      </c>
      <c r="C591" s="3">
        <v>308</v>
      </c>
      <c r="D591" s="381" t="s">
        <v>1411</v>
      </c>
      <c r="E591" s="378" t="s">
        <v>1459</v>
      </c>
      <c r="F591" s="374" t="s">
        <v>1184</v>
      </c>
      <c r="G591" s="374" t="s">
        <v>1467</v>
      </c>
      <c r="H591" s="375">
        <v>2</v>
      </c>
      <c r="I591" s="379">
        <f>3*3</f>
        <v>9</v>
      </c>
      <c r="J591" s="376" t="s">
        <v>1174</v>
      </c>
      <c r="K591" s="376"/>
      <c r="L591" s="377">
        <f t="shared" si="40"/>
        <v>0</v>
      </c>
      <c r="M591" s="377">
        <f t="shared" si="41"/>
        <v>0</v>
      </c>
      <c r="N591" s="377">
        <f t="shared" si="42"/>
        <v>0</v>
      </c>
    </row>
    <row r="592" spans="1:14" s="2" customFormat="1" ht="12.75">
      <c r="A592" s="2" t="s">
        <v>1538</v>
      </c>
      <c r="B592" s="374" t="s">
        <v>1419</v>
      </c>
      <c r="C592" s="3">
        <v>308</v>
      </c>
      <c r="D592" s="381" t="s">
        <v>1411</v>
      </c>
      <c r="E592" s="378" t="s">
        <v>1459</v>
      </c>
      <c r="F592" s="374" t="s">
        <v>1182</v>
      </c>
      <c r="G592" s="374" t="s">
        <v>1462</v>
      </c>
      <c r="H592" s="375">
        <v>2</v>
      </c>
      <c r="I592" s="379">
        <f>2*9.75</f>
        <v>19.5</v>
      </c>
      <c r="J592" s="376" t="s">
        <v>1171</v>
      </c>
      <c r="K592" s="376"/>
      <c r="L592" s="377">
        <f t="shared" si="40"/>
        <v>0</v>
      </c>
      <c r="M592" s="377">
        <f t="shared" si="41"/>
        <v>0</v>
      </c>
      <c r="N592" s="377">
        <f t="shared" si="42"/>
        <v>0</v>
      </c>
    </row>
    <row r="593" spans="1:14" s="2" customFormat="1" ht="12.75">
      <c r="A593" s="2" t="s">
        <v>1538</v>
      </c>
      <c r="B593" s="374" t="s">
        <v>1419</v>
      </c>
      <c r="C593" s="3">
        <v>308</v>
      </c>
      <c r="D593" s="381" t="s">
        <v>1411</v>
      </c>
      <c r="E593" s="378" t="s">
        <v>1459</v>
      </c>
      <c r="F593" s="374" t="s">
        <v>1184</v>
      </c>
      <c r="G593" s="374" t="s">
        <v>1462</v>
      </c>
      <c r="H593" s="375">
        <v>2</v>
      </c>
      <c r="I593" s="379">
        <f>2*9.75</f>
        <v>19.5</v>
      </c>
      <c r="J593" s="376" t="s">
        <v>1171</v>
      </c>
      <c r="K593" s="376"/>
      <c r="L593" s="377">
        <f t="shared" ref="L593:L656" si="43">IF(J593="ja",VLOOKUP(F593,Glassoort2,2,0))*I593</f>
        <v>0</v>
      </c>
      <c r="M593" s="377">
        <f t="shared" ref="M593:M656" si="44">IF(J593="nee",VLOOKUP(F593,Glassoort2,3,0))*I593</f>
        <v>0</v>
      </c>
      <c r="N593" s="377">
        <f t="shared" si="42"/>
        <v>0</v>
      </c>
    </row>
    <row r="594" spans="1:14" s="2" customFormat="1" ht="12.75">
      <c r="A594" s="2" t="s">
        <v>1538</v>
      </c>
      <c r="B594" s="374" t="s">
        <v>1419</v>
      </c>
      <c r="C594" s="3">
        <v>308</v>
      </c>
      <c r="D594" s="381" t="s">
        <v>1411</v>
      </c>
      <c r="E594" s="378" t="s">
        <v>1459</v>
      </c>
      <c r="F594" s="374" t="s">
        <v>1182</v>
      </c>
      <c r="G594" s="374" t="s">
        <v>1463</v>
      </c>
      <c r="H594" s="375">
        <v>2</v>
      </c>
      <c r="I594" s="379">
        <f>3*9.75</f>
        <v>29.25</v>
      </c>
      <c r="J594" s="376" t="s">
        <v>1171</v>
      </c>
      <c r="K594" s="376"/>
      <c r="L594" s="377">
        <f t="shared" si="43"/>
        <v>0</v>
      </c>
      <c r="M594" s="377">
        <f t="shared" si="44"/>
        <v>0</v>
      </c>
      <c r="N594" s="377">
        <f t="shared" ref="N594:N657" si="45">(M594*H594)+(L594*H594)</f>
        <v>0</v>
      </c>
    </row>
    <row r="595" spans="1:14" s="2" customFormat="1" ht="12.75">
      <c r="A595" s="2" t="s">
        <v>1538</v>
      </c>
      <c r="B595" s="374" t="s">
        <v>1419</v>
      </c>
      <c r="C595" s="3">
        <v>308</v>
      </c>
      <c r="D595" s="381" t="s">
        <v>1411</v>
      </c>
      <c r="E595" s="378" t="s">
        <v>1459</v>
      </c>
      <c r="F595" s="374" t="s">
        <v>1184</v>
      </c>
      <c r="G595" s="374" t="s">
        <v>1463</v>
      </c>
      <c r="H595" s="375">
        <v>2</v>
      </c>
      <c r="I595" s="379">
        <f>3*9.75</f>
        <v>29.25</v>
      </c>
      <c r="J595" s="376" t="s">
        <v>1171</v>
      </c>
      <c r="K595" s="376"/>
      <c r="L595" s="377">
        <f t="shared" si="43"/>
        <v>0</v>
      </c>
      <c r="M595" s="377">
        <f t="shared" si="44"/>
        <v>0</v>
      </c>
      <c r="N595" s="377">
        <f t="shared" si="45"/>
        <v>0</v>
      </c>
    </row>
    <row r="596" spans="1:14" s="2" customFormat="1" ht="12.75">
      <c r="A596" s="2" t="s">
        <v>1538</v>
      </c>
      <c r="B596" s="374" t="s">
        <v>1419</v>
      </c>
      <c r="C596" s="3">
        <v>308</v>
      </c>
      <c r="D596" s="381" t="s">
        <v>1411</v>
      </c>
      <c r="E596" s="378" t="s">
        <v>229</v>
      </c>
      <c r="F596" s="374" t="s">
        <v>1173</v>
      </c>
      <c r="G596" s="374" t="s">
        <v>1434</v>
      </c>
      <c r="H596" s="375">
        <v>2</v>
      </c>
      <c r="I596" s="379">
        <f>((1*1)*3)+(0.9*1)</f>
        <v>3.9</v>
      </c>
      <c r="J596" s="376" t="s">
        <v>1171</v>
      </c>
      <c r="K596" s="376"/>
      <c r="L596" s="377">
        <f t="shared" si="43"/>
        <v>0</v>
      </c>
      <c r="M596" s="377">
        <f t="shared" si="44"/>
        <v>0</v>
      </c>
      <c r="N596" s="377">
        <f t="shared" si="45"/>
        <v>0</v>
      </c>
    </row>
    <row r="597" spans="1:14" s="2" customFormat="1" ht="12.75">
      <c r="A597" s="2" t="s">
        <v>1538</v>
      </c>
      <c r="B597" s="374" t="s">
        <v>1419</v>
      </c>
      <c r="C597" s="3">
        <v>308</v>
      </c>
      <c r="D597" s="381" t="s">
        <v>1411</v>
      </c>
      <c r="E597" s="378" t="s">
        <v>229</v>
      </c>
      <c r="F597" s="374" t="s">
        <v>1170</v>
      </c>
      <c r="G597" s="374" t="s">
        <v>1439</v>
      </c>
      <c r="H597" s="375">
        <v>2</v>
      </c>
      <c r="I597" s="379">
        <f>((1*1)*3)+(0.9*1)</f>
        <v>3.9</v>
      </c>
      <c r="J597" s="376" t="s">
        <v>1171</v>
      </c>
      <c r="K597" s="376"/>
      <c r="L597" s="377">
        <f t="shared" si="43"/>
        <v>0</v>
      </c>
      <c r="M597" s="377">
        <f t="shared" si="44"/>
        <v>0</v>
      </c>
      <c r="N597" s="377">
        <f t="shared" si="45"/>
        <v>0</v>
      </c>
    </row>
    <row r="598" spans="1:14" s="2" customFormat="1" ht="12.75">
      <c r="A598" s="2" t="s">
        <v>1539</v>
      </c>
      <c r="B598" s="374" t="s">
        <v>1419</v>
      </c>
      <c r="C598" s="3">
        <v>308</v>
      </c>
      <c r="D598" s="381" t="s">
        <v>1411</v>
      </c>
      <c r="E598" s="4"/>
      <c r="F598" s="374" t="s">
        <v>1172</v>
      </c>
      <c r="G598" s="374" t="s">
        <v>1320</v>
      </c>
      <c r="H598" s="375">
        <v>26</v>
      </c>
      <c r="I598" s="379">
        <v>86</v>
      </c>
      <c r="J598" s="376" t="s">
        <v>1171</v>
      </c>
      <c r="K598" s="376" t="s">
        <v>1321</v>
      </c>
      <c r="L598" s="377">
        <f t="shared" si="43"/>
        <v>0</v>
      </c>
      <c r="M598" s="377">
        <f t="shared" si="44"/>
        <v>0</v>
      </c>
      <c r="N598" s="377">
        <f t="shared" si="45"/>
        <v>0</v>
      </c>
    </row>
    <row r="599" spans="1:14" s="2" customFormat="1" ht="12.75">
      <c r="A599" s="2" t="s">
        <v>1540</v>
      </c>
      <c r="B599" s="374" t="s">
        <v>1479</v>
      </c>
      <c r="C599" s="3">
        <v>309</v>
      </c>
      <c r="D599" s="381" t="s">
        <v>1411</v>
      </c>
      <c r="E599" s="378" t="s">
        <v>54</v>
      </c>
      <c r="F599" s="374" t="s">
        <v>1170</v>
      </c>
      <c r="G599" s="374" t="s">
        <v>1452</v>
      </c>
      <c r="H599" s="375">
        <v>2</v>
      </c>
      <c r="I599" s="379">
        <f>15.5*3+12.5*3+3.5*1</f>
        <v>87.5</v>
      </c>
      <c r="J599" s="376" t="s">
        <v>1174</v>
      </c>
      <c r="K599" s="376"/>
      <c r="L599" s="377">
        <f t="shared" si="43"/>
        <v>0</v>
      </c>
      <c r="M599" s="377">
        <f t="shared" si="44"/>
        <v>0</v>
      </c>
      <c r="N599" s="377">
        <f t="shared" si="45"/>
        <v>0</v>
      </c>
    </row>
    <row r="600" spans="1:14" s="2" customFormat="1" ht="12.75">
      <c r="A600" s="2" t="s">
        <v>1540</v>
      </c>
      <c r="B600" s="374" t="s">
        <v>1479</v>
      </c>
      <c r="C600" s="3">
        <v>309</v>
      </c>
      <c r="D600" s="381" t="s">
        <v>1411</v>
      </c>
      <c r="E600" s="378" t="s">
        <v>54</v>
      </c>
      <c r="F600" s="374" t="s">
        <v>1170</v>
      </c>
      <c r="G600" s="374" t="s">
        <v>1454</v>
      </c>
      <c r="H600" s="375">
        <v>2</v>
      </c>
      <c r="I600" s="379">
        <f>15.5*3+12.5*3+3.5*1</f>
        <v>87.5</v>
      </c>
      <c r="J600" s="376" t="s">
        <v>1171</v>
      </c>
      <c r="K600" s="376"/>
      <c r="L600" s="377">
        <f t="shared" si="43"/>
        <v>0</v>
      </c>
      <c r="M600" s="377">
        <f t="shared" si="44"/>
        <v>0</v>
      </c>
      <c r="N600" s="377">
        <f t="shared" si="45"/>
        <v>0</v>
      </c>
    </row>
    <row r="601" spans="1:14" s="2" customFormat="1" ht="12.75">
      <c r="A601" s="2" t="s">
        <v>1540</v>
      </c>
      <c r="B601" s="374" t="s">
        <v>1479</v>
      </c>
      <c r="C601" s="3">
        <v>309</v>
      </c>
      <c r="D601" s="381" t="s">
        <v>1411</v>
      </c>
      <c r="E601" s="378" t="s">
        <v>54</v>
      </c>
      <c r="F601" s="374" t="s">
        <v>1170</v>
      </c>
      <c r="G601" s="374" t="s">
        <v>1455</v>
      </c>
      <c r="H601" s="375">
        <v>2</v>
      </c>
      <c r="I601" s="379">
        <f>2*(6.2*1*2+15.5*1.75)</f>
        <v>79.05</v>
      </c>
      <c r="J601" s="376" t="s">
        <v>1174</v>
      </c>
      <c r="K601" s="376"/>
      <c r="L601" s="377">
        <f t="shared" si="43"/>
        <v>0</v>
      </c>
      <c r="M601" s="377">
        <f t="shared" si="44"/>
        <v>0</v>
      </c>
      <c r="N601" s="377">
        <f t="shared" si="45"/>
        <v>0</v>
      </c>
    </row>
    <row r="602" spans="1:14" s="2" customFormat="1" ht="12.75">
      <c r="A602" s="2" t="s">
        <v>1540</v>
      </c>
      <c r="B602" s="374" t="s">
        <v>1479</v>
      </c>
      <c r="C602" s="3">
        <v>309</v>
      </c>
      <c r="D602" s="381" t="s">
        <v>1411</v>
      </c>
      <c r="E602" s="378" t="s">
        <v>54</v>
      </c>
      <c r="F602" s="374" t="s">
        <v>1170</v>
      </c>
      <c r="G602" s="374" t="s">
        <v>1457</v>
      </c>
      <c r="H602" s="375">
        <v>2</v>
      </c>
      <c r="I602" s="379">
        <f>2*(6.2*1*2+15.5*1.75)</f>
        <v>79.05</v>
      </c>
      <c r="J602" s="376" t="s">
        <v>1171</v>
      </c>
      <c r="K602" s="376"/>
      <c r="L602" s="377">
        <f t="shared" si="43"/>
        <v>0</v>
      </c>
      <c r="M602" s="377">
        <f t="shared" si="44"/>
        <v>0</v>
      </c>
      <c r="N602" s="377">
        <f t="shared" si="45"/>
        <v>0</v>
      </c>
    </row>
    <row r="603" spans="1:14" s="2" customFormat="1" ht="12.75">
      <c r="A603" s="2" t="s">
        <v>1540</v>
      </c>
      <c r="B603" s="374" t="s">
        <v>1479</v>
      </c>
      <c r="C603" s="3">
        <v>309</v>
      </c>
      <c r="D603" s="381" t="s">
        <v>1411</v>
      </c>
      <c r="E603" s="378" t="s">
        <v>64</v>
      </c>
      <c r="F603" s="374" t="s">
        <v>1170</v>
      </c>
      <c r="G603" s="374" t="s">
        <v>1464</v>
      </c>
      <c r="H603" s="375">
        <v>2</v>
      </c>
      <c r="I603" s="379">
        <f>4*4.3</f>
        <v>17.2</v>
      </c>
      <c r="J603" s="376" t="s">
        <v>1171</v>
      </c>
      <c r="K603" s="376"/>
      <c r="L603" s="377">
        <f t="shared" si="43"/>
        <v>0</v>
      </c>
      <c r="M603" s="377">
        <f t="shared" si="44"/>
        <v>0</v>
      </c>
      <c r="N603" s="377">
        <f t="shared" si="45"/>
        <v>0</v>
      </c>
    </row>
    <row r="604" spans="1:14" s="2" customFormat="1" ht="12.75">
      <c r="A604" s="2" t="s">
        <v>1540</v>
      </c>
      <c r="B604" s="374" t="s">
        <v>1479</v>
      </c>
      <c r="C604" s="3">
        <v>309</v>
      </c>
      <c r="D604" s="381" t="s">
        <v>1411</v>
      </c>
      <c r="E604" s="378" t="s">
        <v>64</v>
      </c>
      <c r="F604" s="374" t="s">
        <v>1170</v>
      </c>
      <c r="G604" s="374" t="s">
        <v>1465</v>
      </c>
      <c r="H604" s="375">
        <v>2</v>
      </c>
      <c r="I604" s="379">
        <f>4*4.3</f>
        <v>17.2</v>
      </c>
      <c r="J604" s="376" t="s">
        <v>1171</v>
      </c>
      <c r="K604" s="376"/>
      <c r="L604" s="377">
        <f t="shared" si="43"/>
        <v>0</v>
      </c>
      <c r="M604" s="377">
        <f t="shared" si="44"/>
        <v>0</v>
      </c>
      <c r="N604" s="377">
        <f t="shared" si="45"/>
        <v>0</v>
      </c>
    </row>
    <row r="605" spans="1:14" s="2" customFormat="1" ht="12.75">
      <c r="A605" s="2" t="s">
        <v>1541</v>
      </c>
      <c r="B605" s="374" t="s">
        <v>1479</v>
      </c>
      <c r="C605" s="3">
        <v>309</v>
      </c>
      <c r="D605" s="381" t="s">
        <v>1411</v>
      </c>
      <c r="E605" s="378" t="s">
        <v>54</v>
      </c>
      <c r="F605" s="374" t="s">
        <v>1172</v>
      </c>
      <c r="G605" s="374" t="s">
        <v>1466</v>
      </c>
      <c r="H605" s="375">
        <v>12</v>
      </c>
      <c r="I605" s="379">
        <f>0.7*12*2</f>
        <v>16.799999999999997</v>
      </c>
      <c r="J605" s="376" t="s">
        <v>1171</v>
      </c>
      <c r="K605" s="376"/>
      <c r="L605" s="377">
        <f t="shared" si="43"/>
        <v>0</v>
      </c>
      <c r="M605" s="377">
        <f t="shared" si="44"/>
        <v>0</v>
      </c>
      <c r="N605" s="377">
        <f t="shared" si="45"/>
        <v>0</v>
      </c>
    </row>
    <row r="606" spans="1:14" s="2" customFormat="1" ht="12.75">
      <c r="A606" s="2" t="s">
        <v>1540</v>
      </c>
      <c r="B606" s="374" t="s">
        <v>1479</v>
      </c>
      <c r="C606" s="3">
        <v>309</v>
      </c>
      <c r="D606" s="381" t="s">
        <v>1411</v>
      </c>
      <c r="E606" s="378" t="s">
        <v>1459</v>
      </c>
      <c r="F606" s="374" t="s">
        <v>1182</v>
      </c>
      <c r="G606" s="374" t="s">
        <v>1460</v>
      </c>
      <c r="H606" s="375">
        <v>2</v>
      </c>
      <c r="I606" s="379">
        <f>1.9*4</f>
        <v>7.6</v>
      </c>
      <c r="J606" s="376" t="s">
        <v>1171</v>
      </c>
      <c r="K606" s="376"/>
      <c r="L606" s="377">
        <f t="shared" si="43"/>
        <v>0</v>
      </c>
      <c r="M606" s="377">
        <f t="shared" si="44"/>
        <v>0</v>
      </c>
      <c r="N606" s="377">
        <f t="shared" si="45"/>
        <v>0</v>
      </c>
    </row>
    <row r="607" spans="1:14" s="2" customFormat="1" ht="12.75">
      <c r="A607" s="2" t="s">
        <v>1540</v>
      </c>
      <c r="B607" s="374" t="s">
        <v>1479</v>
      </c>
      <c r="C607" s="3">
        <v>309</v>
      </c>
      <c r="D607" s="381" t="s">
        <v>1411</v>
      </c>
      <c r="E607" s="378" t="s">
        <v>1459</v>
      </c>
      <c r="F607" s="374" t="s">
        <v>1184</v>
      </c>
      <c r="G607" s="374" t="s">
        <v>1460</v>
      </c>
      <c r="H607" s="375">
        <v>2</v>
      </c>
      <c r="I607" s="379">
        <f>1.9*4</f>
        <v>7.6</v>
      </c>
      <c r="J607" s="376" t="s">
        <v>1171</v>
      </c>
      <c r="K607" s="376"/>
      <c r="L607" s="377">
        <f t="shared" si="43"/>
        <v>0</v>
      </c>
      <c r="M607" s="377">
        <f t="shared" si="44"/>
        <v>0</v>
      </c>
      <c r="N607" s="377">
        <f t="shared" si="45"/>
        <v>0</v>
      </c>
    </row>
    <row r="608" spans="1:14" s="2" customFormat="1" ht="12.75">
      <c r="A608" s="2" t="s">
        <v>1540</v>
      </c>
      <c r="B608" s="374" t="s">
        <v>1479</v>
      </c>
      <c r="C608" s="3">
        <v>309</v>
      </c>
      <c r="D608" s="381" t="s">
        <v>1411</v>
      </c>
      <c r="E608" s="378" t="s">
        <v>1459</v>
      </c>
      <c r="F608" s="374" t="s">
        <v>1182</v>
      </c>
      <c r="G608" s="374" t="s">
        <v>1467</v>
      </c>
      <c r="H608" s="375">
        <v>2</v>
      </c>
      <c r="I608" s="379">
        <f>3*3</f>
        <v>9</v>
      </c>
      <c r="J608" s="376" t="s">
        <v>1171</v>
      </c>
      <c r="K608" s="376"/>
      <c r="L608" s="377">
        <f t="shared" si="43"/>
        <v>0</v>
      </c>
      <c r="M608" s="377">
        <f t="shared" si="44"/>
        <v>0</v>
      </c>
      <c r="N608" s="377">
        <f t="shared" si="45"/>
        <v>0</v>
      </c>
    </row>
    <row r="609" spans="1:14" s="2" customFormat="1" ht="12.75">
      <c r="A609" s="2" t="s">
        <v>1540</v>
      </c>
      <c r="B609" s="374" t="s">
        <v>1479</v>
      </c>
      <c r="C609" s="3">
        <v>309</v>
      </c>
      <c r="D609" s="381" t="s">
        <v>1411</v>
      </c>
      <c r="E609" s="378" t="s">
        <v>1459</v>
      </c>
      <c r="F609" s="374" t="s">
        <v>1184</v>
      </c>
      <c r="G609" s="374" t="s">
        <v>1467</v>
      </c>
      <c r="H609" s="375">
        <v>2</v>
      </c>
      <c r="I609" s="379">
        <f>3*3</f>
        <v>9</v>
      </c>
      <c r="J609" s="376" t="s">
        <v>1174</v>
      </c>
      <c r="K609" s="376"/>
      <c r="L609" s="377">
        <f t="shared" si="43"/>
        <v>0</v>
      </c>
      <c r="M609" s="377">
        <f t="shared" si="44"/>
        <v>0</v>
      </c>
      <c r="N609" s="377">
        <f t="shared" si="45"/>
        <v>0</v>
      </c>
    </row>
    <row r="610" spans="1:14" s="2" customFormat="1" ht="12.75">
      <c r="A610" s="2" t="s">
        <v>1540</v>
      </c>
      <c r="B610" s="374" t="s">
        <v>1479</v>
      </c>
      <c r="C610" s="3">
        <v>309</v>
      </c>
      <c r="D610" s="381" t="s">
        <v>1411</v>
      </c>
      <c r="E610" s="378" t="s">
        <v>1459</v>
      </c>
      <c r="F610" s="374" t="s">
        <v>1182</v>
      </c>
      <c r="G610" s="374" t="s">
        <v>1462</v>
      </c>
      <c r="H610" s="375">
        <v>2</v>
      </c>
      <c r="I610" s="379">
        <f>2*9.75</f>
        <v>19.5</v>
      </c>
      <c r="J610" s="376" t="s">
        <v>1171</v>
      </c>
      <c r="K610" s="376"/>
      <c r="L610" s="377">
        <f t="shared" si="43"/>
        <v>0</v>
      </c>
      <c r="M610" s="377">
        <f t="shared" si="44"/>
        <v>0</v>
      </c>
      <c r="N610" s="377">
        <f t="shared" si="45"/>
        <v>0</v>
      </c>
    </row>
    <row r="611" spans="1:14" s="2" customFormat="1" ht="12.75">
      <c r="A611" s="2" t="s">
        <v>1540</v>
      </c>
      <c r="B611" s="374" t="s">
        <v>1479</v>
      </c>
      <c r="C611" s="3">
        <v>309</v>
      </c>
      <c r="D611" s="381" t="s">
        <v>1411</v>
      </c>
      <c r="E611" s="378" t="s">
        <v>1459</v>
      </c>
      <c r="F611" s="374" t="s">
        <v>1184</v>
      </c>
      <c r="G611" s="374" t="s">
        <v>1462</v>
      </c>
      <c r="H611" s="375">
        <v>2</v>
      </c>
      <c r="I611" s="379">
        <f>2*9.75</f>
        <v>19.5</v>
      </c>
      <c r="J611" s="376" t="s">
        <v>1171</v>
      </c>
      <c r="K611" s="376"/>
      <c r="L611" s="377">
        <f t="shared" si="43"/>
        <v>0</v>
      </c>
      <c r="M611" s="377">
        <f t="shared" si="44"/>
        <v>0</v>
      </c>
      <c r="N611" s="377">
        <f t="shared" si="45"/>
        <v>0</v>
      </c>
    </row>
    <row r="612" spans="1:14" s="2" customFormat="1" ht="12.75">
      <c r="A612" s="2" t="s">
        <v>1540</v>
      </c>
      <c r="B612" s="374" t="s">
        <v>1479</v>
      </c>
      <c r="C612" s="3">
        <v>309</v>
      </c>
      <c r="D612" s="381" t="s">
        <v>1411</v>
      </c>
      <c r="E612" s="378" t="s">
        <v>1459</v>
      </c>
      <c r="F612" s="374" t="s">
        <v>1182</v>
      </c>
      <c r="G612" s="374" t="s">
        <v>1463</v>
      </c>
      <c r="H612" s="375">
        <v>2</v>
      </c>
      <c r="I612" s="379">
        <f>3*9.75</f>
        <v>29.25</v>
      </c>
      <c r="J612" s="376" t="s">
        <v>1171</v>
      </c>
      <c r="K612" s="376"/>
      <c r="L612" s="377">
        <f t="shared" si="43"/>
        <v>0</v>
      </c>
      <c r="M612" s="377">
        <f t="shared" si="44"/>
        <v>0</v>
      </c>
      <c r="N612" s="377">
        <f t="shared" si="45"/>
        <v>0</v>
      </c>
    </row>
    <row r="613" spans="1:14" s="2" customFormat="1" ht="12.75">
      <c r="A613" s="2" t="s">
        <v>1540</v>
      </c>
      <c r="B613" s="374" t="s">
        <v>1479</v>
      </c>
      <c r="C613" s="3">
        <v>309</v>
      </c>
      <c r="D613" s="381" t="s">
        <v>1411</v>
      </c>
      <c r="E613" s="378" t="s">
        <v>1459</v>
      </c>
      <c r="F613" s="374" t="s">
        <v>1184</v>
      </c>
      <c r="G613" s="374" t="s">
        <v>1463</v>
      </c>
      <c r="H613" s="375">
        <v>2</v>
      </c>
      <c r="I613" s="379">
        <f>3*9.75</f>
        <v>29.25</v>
      </c>
      <c r="J613" s="376" t="s">
        <v>1171</v>
      </c>
      <c r="K613" s="376"/>
      <c r="L613" s="377">
        <f t="shared" si="43"/>
        <v>0</v>
      </c>
      <c r="M613" s="377">
        <f t="shared" si="44"/>
        <v>0</v>
      </c>
      <c r="N613" s="377">
        <f t="shared" si="45"/>
        <v>0</v>
      </c>
    </row>
    <row r="614" spans="1:14" s="2" customFormat="1" ht="12.75">
      <c r="A614" s="2" t="s">
        <v>1540</v>
      </c>
      <c r="B614" s="374" t="s">
        <v>1479</v>
      </c>
      <c r="C614" s="3">
        <v>309</v>
      </c>
      <c r="D614" s="381" t="s">
        <v>1411</v>
      </c>
      <c r="E614" s="378" t="s">
        <v>229</v>
      </c>
      <c r="F614" s="374" t="s">
        <v>1173</v>
      </c>
      <c r="G614" s="374" t="s">
        <v>1434</v>
      </c>
      <c r="H614" s="375">
        <v>2</v>
      </c>
      <c r="I614" s="379">
        <f>((1*1)*3)+(0.9*1)</f>
        <v>3.9</v>
      </c>
      <c r="J614" s="376" t="s">
        <v>1171</v>
      </c>
      <c r="K614" s="376"/>
      <c r="L614" s="377">
        <f t="shared" si="43"/>
        <v>0</v>
      </c>
      <c r="M614" s="377">
        <f t="shared" si="44"/>
        <v>0</v>
      </c>
      <c r="N614" s="377">
        <f t="shared" si="45"/>
        <v>0</v>
      </c>
    </row>
    <row r="615" spans="1:14" s="2" customFormat="1" ht="12.75">
      <c r="A615" s="2" t="s">
        <v>1540</v>
      </c>
      <c r="B615" s="374" t="s">
        <v>1479</v>
      </c>
      <c r="C615" s="3">
        <v>309</v>
      </c>
      <c r="D615" s="381" t="s">
        <v>1411</v>
      </c>
      <c r="E615" s="378" t="s">
        <v>229</v>
      </c>
      <c r="F615" s="374" t="s">
        <v>1170</v>
      </c>
      <c r="G615" s="374" t="s">
        <v>1439</v>
      </c>
      <c r="H615" s="375">
        <v>2</v>
      </c>
      <c r="I615" s="379">
        <f>((1*1)*3)+(0.9*1)</f>
        <v>3.9</v>
      </c>
      <c r="J615" s="376" t="s">
        <v>1171</v>
      </c>
      <c r="K615" s="376"/>
      <c r="L615" s="377">
        <f t="shared" si="43"/>
        <v>0</v>
      </c>
      <c r="M615" s="377">
        <f t="shared" si="44"/>
        <v>0</v>
      </c>
      <c r="N615" s="377">
        <f t="shared" si="45"/>
        <v>0</v>
      </c>
    </row>
    <row r="616" spans="1:14" s="2" customFormat="1" ht="12.75">
      <c r="A616" s="2" t="s">
        <v>1541</v>
      </c>
      <c r="B616" s="374" t="s">
        <v>1479</v>
      </c>
      <c r="C616" s="3">
        <v>309</v>
      </c>
      <c r="D616" s="381" t="s">
        <v>1411</v>
      </c>
      <c r="E616" s="4"/>
      <c r="F616" s="374" t="s">
        <v>1172</v>
      </c>
      <c r="G616" s="374" t="s">
        <v>1320</v>
      </c>
      <c r="H616" s="375">
        <v>26</v>
      </c>
      <c r="I616" s="379">
        <v>97</v>
      </c>
      <c r="J616" s="376" t="s">
        <v>1171</v>
      </c>
      <c r="K616" s="376" t="s">
        <v>1321</v>
      </c>
      <c r="L616" s="377">
        <f t="shared" si="43"/>
        <v>0</v>
      </c>
      <c r="M616" s="377">
        <f t="shared" si="44"/>
        <v>0</v>
      </c>
      <c r="N616" s="377">
        <f t="shared" si="45"/>
        <v>0</v>
      </c>
    </row>
    <row r="617" spans="1:14" s="2" customFormat="1" ht="12.75">
      <c r="A617" s="2" t="s">
        <v>1542</v>
      </c>
      <c r="B617" s="374" t="s">
        <v>1416</v>
      </c>
      <c r="C617" s="3">
        <v>310</v>
      </c>
      <c r="D617" s="381" t="s">
        <v>1411</v>
      </c>
      <c r="E617" s="378" t="s">
        <v>54</v>
      </c>
      <c r="F617" s="374" t="s">
        <v>1170</v>
      </c>
      <c r="G617" s="374" t="s">
        <v>1452</v>
      </c>
      <c r="H617" s="375">
        <v>2</v>
      </c>
      <c r="I617" s="379">
        <f>15.5*3+12.5*3+3.5*1</f>
        <v>87.5</v>
      </c>
      <c r="J617" s="376" t="s">
        <v>1174</v>
      </c>
      <c r="K617" s="376"/>
      <c r="L617" s="377">
        <f t="shared" si="43"/>
        <v>0</v>
      </c>
      <c r="M617" s="377">
        <f t="shared" si="44"/>
        <v>0</v>
      </c>
      <c r="N617" s="377">
        <f t="shared" si="45"/>
        <v>0</v>
      </c>
    </row>
    <row r="618" spans="1:14" s="2" customFormat="1" ht="12.75">
      <c r="A618" s="2" t="s">
        <v>1542</v>
      </c>
      <c r="B618" s="374" t="s">
        <v>1416</v>
      </c>
      <c r="C618" s="3">
        <v>310</v>
      </c>
      <c r="D618" s="381" t="s">
        <v>1411</v>
      </c>
      <c r="E618" s="378" t="s">
        <v>54</v>
      </c>
      <c r="F618" s="374" t="s">
        <v>1170</v>
      </c>
      <c r="G618" s="374" t="s">
        <v>1454</v>
      </c>
      <c r="H618" s="375">
        <v>2</v>
      </c>
      <c r="I618" s="379">
        <f>15.5*3+12.5*3+3.5*1</f>
        <v>87.5</v>
      </c>
      <c r="J618" s="376" t="s">
        <v>1171</v>
      </c>
      <c r="K618" s="376"/>
      <c r="L618" s="377">
        <f t="shared" si="43"/>
        <v>0</v>
      </c>
      <c r="M618" s="377">
        <f t="shared" si="44"/>
        <v>0</v>
      </c>
      <c r="N618" s="377">
        <f t="shared" si="45"/>
        <v>0</v>
      </c>
    </row>
    <row r="619" spans="1:14" s="2" customFormat="1" ht="12.75">
      <c r="A619" s="2" t="s">
        <v>1542</v>
      </c>
      <c r="B619" s="374" t="s">
        <v>1416</v>
      </c>
      <c r="C619" s="3">
        <v>310</v>
      </c>
      <c r="D619" s="381" t="s">
        <v>1411</v>
      </c>
      <c r="E619" s="378" t="s">
        <v>54</v>
      </c>
      <c r="F619" s="374" t="s">
        <v>1170</v>
      </c>
      <c r="G619" s="374" t="s">
        <v>1455</v>
      </c>
      <c r="H619" s="375">
        <v>2</v>
      </c>
      <c r="I619" s="379">
        <f>2*(6.2*1*2+15.5*1.75)</f>
        <v>79.05</v>
      </c>
      <c r="J619" s="376" t="s">
        <v>1174</v>
      </c>
      <c r="K619" s="376"/>
      <c r="L619" s="377">
        <f t="shared" si="43"/>
        <v>0</v>
      </c>
      <c r="M619" s="377">
        <f t="shared" si="44"/>
        <v>0</v>
      </c>
      <c r="N619" s="377">
        <f t="shared" si="45"/>
        <v>0</v>
      </c>
    </row>
    <row r="620" spans="1:14" s="2" customFormat="1" ht="12.75">
      <c r="A620" s="2" t="s">
        <v>1542</v>
      </c>
      <c r="B620" s="374" t="s">
        <v>1416</v>
      </c>
      <c r="C620" s="3">
        <v>310</v>
      </c>
      <c r="D620" s="381" t="s">
        <v>1411</v>
      </c>
      <c r="E620" s="378" t="s">
        <v>54</v>
      </c>
      <c r="F620" s="374" t="s">
        <v>1170</v>
      </c>
      <c r="G620" s="374" t="s">
        <v>1457</v>
      </c>
      <c r="H620" s="375">
        <v>2</v>
      </c>
      <c r="I620" s="379">
        <f>2*(6.2*1*2+15.5*1.75)</f>
        <v>79.05</v>
      </c>
      <c r="J620" s="376" t="s">
        <v>1171</v>
      </c>
      <c r="K620" s="376"/>
      <c r="L620" s="377">
        <f t="shared" si="43"/>
        <v>0</v>
      </c>
      <c r="M620" s="377">
        <f t="shared" si="44"/>
        <v>0</v>
      </c>
      <c r="N620" s="377">
        <f t="shared" si="45"/>
        <v>0</v>
      </c>
    </row>
    <row r="621" spans="1:14" s="2" customFormat="1" ht="12.75">
      <c r="A621" s="2" t="s">
        <v>1542</v>
      </c>
      <c r="B621" s="374" t="s">
        <v>1416</v>
      </c>
      <c r="C621" s="3">
        <v>310</v>
      </c>
      <c r="D621" s="381" t="s">
        <v>1411</v>
      </c>
      <c r="E621" s="378" t="s">
        <v>64</v>
      </c>
      <c r="F621" s="374" t="s">
        <v>1170</v>
      </c>
      <c r="G621" s="374" t="s">
        <v>1464</v>
      </c>
      <c r="H621" s="375">
        <v>2</v>
      </c>
      <c r="I621" s="379">
        <f>4*4.3</f>
        <v>17.2</v>
      </c>
      <c r="J621" s="376" t="s">
        <v>1171</v>
      </c>
      <c r="K621" s="376"/>
      <c r="L621" s="377">
        <f t="shared" si="43"/>
        <v>0</v>
      </c>
      <c r="M621" s="377">
        <f t="shared" si="44"/>
        <v>0</v>
      </c>
      <c r="N621" s="377">
        <f t="shared" si="45"/>
        <v>0</v>
      </c>
    </row>
    <row r="622" spans="1:14" s="2" customFormat="1" ht="12.75">
      <c r="A622" s="2" t="s">
        <v>1542</v>
      </c>
      <c r="B622" s="374" t="s">
        <v>1416</v>
      </c>
      <c r="C622" s="3">
        <v>310</v>
      </c>
      <c r="D622" s="381" t="s">
        <v>1411</v>
      </c>
      <c r="E622" s="378" t="s">
        <v>64</v>
      </c>
      <c r="F622" s="374" t="s">
        <v>1170</v>
      </c>
      <c r="G622" s="374" t="s">
        <v>1465</v>
      </c>
      <c r="H622" s="375">
        <v>2</v>
      </c>
      <c r="I622" s="379">
        <f>4*4.3</f>
        <v>17.2</v>
      </c>
      <c r="J622" s="376" t="s">
        <v>1171</v>
      </c>
      <c r="K622" s="376"/>
      <c r="L622" s="377">
        <f t="shared" si="43"/>
        <v>0</v>
      </c>
      <c r="M622" s="377">
        <f t="shared" si="44"/>
        <v>0</v>
      </c>
      <c r="N622" s="377">
        <f t="shared" si="45"/>
        <v>0</v>
      </c>
    </row>
    <row r="623" spans="1:14" s="2" customFormat="1" ht="12.75">
      <c r="A623" s="2" t="s">
        <v>1543</v>
      </c>
      <c r="B623" s="374" t="s">
        <v>1416</v>
      </c>
      <c r="C623" s="3">
        <v>310</v>
      </c>
      <c r="D623" s="381" t="s">
        <v>1411</v>
      </c>
      <c r="E623" s="378" t="s">
        <v>54</v>
      </c>
      <c r="F623" s="374" t="s">
        <v>1172</v>
      </c>
      <c r="G623" s="374" t="s">
        <v>1466</v>
      </c>
      <c r="H623" s="375">
        <v>12</v>
      </c>
      <c r="I623" s="379">
        <f>0.7*12*2</f>
        <v>16.799999999999997</v>
      </c>
      <c r="J623" s="376" t="s">
        <v>1171</v>
      </c>
      <c r="K623" s="376"/>
      <c r="L623" s="377">
        <f t="shared" si="43"/>
        <v>0</v>
      </c>
      <c r="M623" s="377">
        <f t="shared" si="44"/>
        <v>0</v>
      </c>
      <c r="N623" s="377">
        <f t="shared" si="45"/>
        <v>0</v>
      </c>
    </row>
    <row r="624" spans="1:14" s="2" customFormat="1" ht="12.75">
      <c r="A624" s="2" t="s">
        <v>1542</v>
      </c>
      <c r="B624" s="374" t="s">
        <v>1416</v>
      </c>
      <c r="C624" s="3">
        <v>310</v>
      </c>
      <c r="D624" s="381" t="s">
        <v>1411</v>
      </c>
      <c r="E624" s="378" t="s">
        <v>1459</v>
      </c>
      <c r="F624" s="374" t="s">
        <v>1182</v>
      </c>
      <c r="G624" s="374" t="s">
        <v>1460</v>
      </c>
      <c r="H624" s="375">
        <v>2</v>
      </c>
      <c r="I624" s="379">
        <f>1.9*4</f>
        <v>7.6</v>
      </c>
      <c r="J624" s="376" t="s">
        <v>1171</v>
      </c>
      <c r="K624" s="376"/>
      <c r="L624" s="377">
        <f t="shared" si="43"/>
        <v>0</v>
      </c>
      <c r="M624" s="377">
        <f t="shared" si="44"/>
        <v>0</v>
      </c>
      <c r="N624" s="377">
        <f t="shared" si="45"/>
        <v>0</v>
      </c>
    </row>
    <row r="625" spans="1:14" s="2" customFormat="1" ht="12.75">
      <c r="A625" s="2" t="s">
        <v>1542</v>
      </c>
      <c r="B625" s="374" t="s">
        <v>1416</v>
      </c>
      <c r="C625" s="3">
        <v>310</v>
      </c>
      <c r="D625" s="381" t="s">
        <v>1411</v>
      </c>
      <c r="E625" s="378" t="s">
        <v>1459</v>
      </c>
      <c r="F625" s="374" t="s">
        <v>1184</v>
      </c>
      <c r="G625" s="374" t="s">
        <v>1460</v>
      </c>
      <c r="H625" s="375">
        <v>2</v>
      </c>
      <c r="I625" s="379">
        <f>1.9*4</f>
        <v>7.6</v>
      </c>
      <c r="J625" s="376" t="s">
        <v>1171</v>
      </c>
      <c r="K625" s="376"/>
      <c r="L625" s="377">
        <f t="shared" si="43"/>
        <v>0</v>
      </c>
      <c r="M625" s="377">
        <f t="shared" si="44"/>
        <v>0</v>
      </c>
      <c r="N625" s="377">
        <f t="shared" si="45"/>
        <v>0</v>
      </c>
    </row>
    <row r="626" spans="1:14" s="2" customFormat="1" ht="12.75">
      <c r="A626" s="2" t="s">
        <v>1542</v>
      </c>
      <c r="B626" s="374" t="s">
        <v>1416</v>
      </c>
      <c r="C626" s="3">
        <v>310</v>
      </c>
      <c r="D626" s="381" t="s">
        <v>1411</v>
      </c>
      <c r="E626" s="378" t="s">
        <v>1459</v>
      </c>
      <c r="F626" s="374" t="s">
        <v>1182</v>
      </c>
      <c r="G626" s="374" t="s">
        <v>1467</v>
      </c>
      <c r="H626" s="375">
        <v>2</v>
      </c>
      <c r="I626" s="379">
        <f>3*3</f>
        <v>9</v>
      </c>
      <c r="J626" s="376" t="s">
        <v>1171</v>
      </c>
      <c r="K626" s="376"/>
      <c r="L626" s="377">
        <f t="shared" si="43"/>
        <v>0</v>
      </c>
      <c r="M626" s="377">
        <f t="shared" si="44"/>
        <v>0</v>
      </c>
      <c r="N626" s="377">
        <f t="shared" si="45"/>
        <v>0</v>
      </c>
    </row>
    <row r="627" spans="1:14" s="2" customFormat="1" ht="12.75">
      <c r="A627" s="2" t="s">
        <v>1542</v>
      </c>
      <c r="B627" s="374" t="s">
        <v>1416</v>
      </c>
      <c r="C627" s="3">
        <v>310</v>
      </c>
      <c r="D627" s="381" t="s">
        <v>1411</v>
      </c>
      <c r="E627" s="378" t="s">
        <v>1459</v>
      </c>
      <c r="F627" s="374" t="s">
        <v>1184</v>
      </c>
      <c r="G627" s="374" t="s">
        <v>1467</v>
      </c>
      <c r="H627" s="375">
        <v>2</v>
      </c>
      <c r="I627" s="379">
        <f>3*3</f>
        <v>9</v>
      </c>
      <c r="J627" s="376" t="s">
        <v>1174</v>
      </c>
      <c r="K627" s="376"/>
      <c r="L627" s="377">
        <f t="shared" si="43"/>
        <v>0</v>
      </c>
      <c r="M627" s="377">
        <f t="shared" si="44"/>
        <v>0</v>
      </c>
      <c r="N627" s="377">
        <f t="shared" si="45"/>
        <v>0</v>
      </c>
    </row>
    <row r="628" spans="1:14" s="2" customFormat="1" ht="12.75">
      <c r="A628" s="2" t="s">
        <v>1542</v>
      </c>
      <c r="B628" s="374" t="s">
        <v>1416</v>
      </c>
      <c r="C628" s="3">
        <v>310</v>
      </c>
      <c r="D628" s="381" t="s">
        <v>1411</v>
      </c>
      <c r="E628" s="378" t="s">
        <v>1459</v>
      </c>
      <c r="F628" s="374" t="s">
        <v>1182</v>
      </c>
      <c r="G628" s="374" t="s">
        <v>1462</v>
      </c>
      <c r="H628" s="375">
        <v>2</v>
      </c>
      <c r="I628" s="379">
        <f>2*9.75</f>
        <v>19.5</v>
      </c>
      <c r="J628" s="376" t="s">
        <v>1171</v>
      </c>
      <c r="K628" s="376"/>
      <c r="L628" s="377">
        <f t="shared" si="43"/>
        <v>0</v>
      </c>
      <c r="M628" s="377">
        <f t="shared" si="44"/>
        <v>0</v>
      </c>
      <c r="N628" s="377">
        <f t="shared" si="45"/>
        <v>0</v>
      </c>
    </row>
    <row r="629" spans="1:14" s="2" customFormat="1" ht="12.75">
      <c r="A629" s="2" t="s">
        <v>1542</v>
      </c>
      <c r="B629" s="374" t="s">
        <v>1416</v>
      </c>
      <c r="C629" s="3">
        <v>310</v>
      </c>
      <c r="D629" s="381" t="s">
        <v>1411</v>
      </c>
      <c r="E629" s="378" t="s">
        <v>1459</v>
      </c>
      <c r="F629" s="374" t="s">
        <v>1184</v>
      </c>
      <c r="G629" s="374" t="s">
        <v>1462</v>
      </c>
      <c r="H629" s="375">
        <v>2</v>
      </c>
      <c r="I629" s="379">
        <f>2*9.75</f>
        <v>19.5</v>
      </c>
      <c r="J629" s="376" t="s">
        <v>1171</v>
      </c>
      <c r="K629" s="376"/>
      <c r="L629" s="377">
        <f t="shared" si="43"/>
        <v>0</v>
      </c>
      <c r="M629" s="377">
        <f t="shared" si="44"/>
        <v>0</v>
      </c>
      <c r="N629" s="377">
        <f t="shared" si="45"/>
        <v>0</v>
      </c>
    </row>
    <row r="630" spans="1:14" s="2" customFormat="1" ht="12.75">
      <c r="A630" s="2" t="s">
        <v>1542</v>
      </c>
      <c r="B630" s="374" t="s">
        <v>1416</v>
      </c>
      <c r="C630" s="3">
        <v>310</v>
      </c>
      <c r="D630" s="381" t="s">
        <v>1411</v>
      </c>
      <c r="E630" s="378" t="s">
        <v>1459</v>
      </c>
      <c r="F630" s="374" t="s">
        <v>1182</v>
      </c>
      <c r="G630" s="374" t="s">
        <v>1463</v>
      </c>
      <c r="H630" s="375">
        <v>2</v>
      </c>
      <c r="I630" s="379">
        <f>3*9.75</f>
        <v>29.25</v>
      </c>
      <c r="J630" s="376" t="s">
        <v>1171</v>
      </c>
      <c r="K630" s="376"/>
      <c r="L630" s="377">
        <f t="shared" si="43"/>
        <v>0</v>
      </c>
      <c r="M630" s="377">
        <f t="shared" si="44"/>
        <v>0</v>
      </c>
      <c r="N630" s="377">
        <f t="shared" si="45"/>
        <v>0</v>
      </c>
    </row>
    <row r="631" spans="1:14" s="2" customFormat="1" ht="12.75">
      <c r="A631" s="2" t="s">
        <v>1542</v>
      </c>
      <c r="B631" s="374" t="s">
        <v>1416</v>
      </c>
      <c r="C631" s="3">
        <v>310</v>
      </c>
      <c r="D631" s="381" t="s">
        <v>1411</v>
      </c>
      <c r="E631" s="378" t="s">
        <v>1459</v>
      </c>
      <c r="F631" s="374" t="s">
        <v>1184</v>
      </c>
      <c r="G631" s="374" t="s">
        <v>1463</v>
      </c>
      <c r="H631" s="375">
        <v>2</v>
      </c>
      <c r="I631" s="379">
        <f>3*9.75</f>
        <v>29.25</v>
      </c>
      <c r="J631" s="376" t="s">
        <v>1171</v>
      </c>
      <c r="K631" s="376"/>
      <c r="L631" s="377">
        <f t="shared" si="43"/>
        <v>0</v>
      </c>
      <c r="M631" s="377">
        <f t="shared" si="44"/>
        <v>0</v>
      </c>
      <c r="N631" s="377">
        <f t="shared" si="45"/>
        <v>0</v>
      </c>
    </row>
    <row r="632" spans="1:14" s="2" customFormat="1" ht="12.75">
      <c r="A632" s="2" t="s">
        <v>1543</v>
      </c>
      <c r="B632" s="374" t="s">
        <v>1416</v>
      </c>
      <c r="C632" s="3">
        <v>310</v>
      </c>
      <c r="D632" s="381" t="s">
        <v>1411</v>
      </c>
      <c r="E632" s="4"/>
      <c r="F632" s="374" t="s">
        <v>1172</v>
      </c>
      <c r="G632" s="374" t="s">
        <v>1320</v>
      </c>
      <c r="H632" s="375">
        <v>26</v>
      </c>
      <c r="I632" s="379">
        <v>84</v>
      </c>
      <c r="J632" s="376" t="s">
        <v>1171</v>
      </c>
      <c r="K632" s="376" t="s">
        <v>1321</v>
      </c>
      <c r="L632" s="377">
        <f t="shared" si="43"/>
        <v>0</v>
      </c>
      <c r="M632" s="377">
        <f t="shared" si="44"/>
        <v>0</v>
      </c>
      <c r="N632" s="377">
        <f t="shared" si="45"/>
        <v>0</v>
      </c>
    </row>
    <row r="633" spans="1:14" s="2" customFormat="1" ht="12.75">
      <c r="A633" s="2" t="s">
        <v>1544</v>
      </c>
      <c r="B633" s="374" t="s">
        <v>1413</v>
      </c>
      <c r="C633" s="3">
        <v>311</v>
      </c>
      <c r="D633" s="381" t="s">
        <v>1411</v>
      </c>
      <c r="E633" s="378" t="s">
        <v>54</v>
      </c>
      <c r="F633" s="374" t="s">
        <v>1179</v>
      </c>
      <c r="G633" s="374" t="s">
        <v>1480</v>
      </c>
      <c r="H633" s="375">
        <v>2</v>
      </c>
      <c r="I633" s="379">
        <f>9.1*42*2</f>
        <v>764.4</v>
      </c>
      <c r="J633" s="376" t="s">
        <v>1174</v>
      </c>
      <c r="K633" s="376"/>
      <c r="L633" s="377">
        <f t="shared" si="43"/>
        <v>0</v>
      </c>
      <c r="M633" s="377">
        <f t="shared" si="44"/>
        <v>0</v>
      </c>
      <c r="N633" s="377">
        <f t="shared" si="45"/>
        <v>0</v>
      </c>
    </row>
    <row r="634" spans="1:14" s="2" customFormat="1" ht="12.75">
      <c r="A634" s="2" t="s">
        <v>1544</v>
      </c>
      <c r="B634" s="374" t="s">
        <v>1413</v>
      </c>
      <c r="C634" s="3">
        <v>311</v>
      </c>
      <c r="D634" s="381" t="s">
        <v>1411</v>
      </c>
      <c r="E634" s="378" t="s">
        <v>54</v>
      </c>
      <c r="F634" s="374" t="s">
        <v>1181</v>
      </c>
      <c r="G634" s="374" t="s">
        <v>1480</v>
      </c>
      <c r="H634" s="375">
        <v>2</v>
      </c>
      <c r="I634" s="379">
        <f>9.1*42*2</f>
        <v>764.4</v>
      </c>
      <c r="J634" s="376" t="s">
        <v>1174</v>
      </c>
      <c r="K634" s="376"/>
      <c r="L634" s="377">
        <f t="shared" si="43"/>
        <v>0</v>
      </c>
      <c r="M634" s="377">
        <f t="shared" si="44"/>
        <v>0</v>
      </c>
      <c r="N634" s="377">
        <f t="shared" si="45"/>
        <v>0</v>
      </c>
    </row>
    <row r="635" spans="1:14" s="2" customFormat="1" ht="12.75">
      <c r="A635" s="2" t="s">
        <v>1544</v>
      </c>
      <c r="B635" s="374" t="s">
        <v>1413</v>
      </c>
      <c r="C635" s="3">
        <v>311</v>
      </c>
      <c r="D635" s="381" t="s">
        <v>1411</v>
      </c>
      <c r="E635" s="378" t="s">
        <v>54</v>
      </c>
      <c r="F635" s="374" t="s">
        <v>1179</v>
      </c>
      <c r="G635" s="374" t="s">
        <v>1481</v>
      </c>
      <c r="H635" s="375">
        <v>2</v>
      </c>
      <c r="I635" s="379">
        <f>5*42*2</f>
        <v>420</v>
      </c>
      <c r="J635" s="376" t="s">
        <v>1171</v>
      </c>
      <c r="K635" s="376"/>
      <c r="L635" s="377">
        <f t="shared" si="43"/>
        <v>0</v>
      </c>
      <c r="M635" s="377">
        <f t="shared" si="44"/>
        <v>0</v>
      </c>
      <c r="N635" s="377">
        <f t="shared" si="45"/>
        <v>0</v>
      </c>
    </row>
    <row r="636" spans="1:14" s="2" customFormat="1" ht="12.75">
      <c r="A636" s="2" t="s">
        <v>1544</v>
      </c>
      <c r="B636" s="374" t="s">
        <v>1413</v>
      </c>
      <c r="C636" s="3">
        <v>311</v>
      </c>
      <c r="D636" s="381" t="s">
        <v>1411</v>
      </c>
      <c r="E636" s="378" t="s">
        <v>54</v>
      </c>
      <c r="F636" s="374" t="s">
        <v>1181</v>
      </c>
      <c r="G636" s="374" t="s">
        <v>1481</v>
      </c>
      <c r="H636" s="375">
        <v>2</v>
      </c>
      <c r="I636" s="379">
        <f>5*42*2</f>
        <v>420</v>
      </c>
      <c r="J636" s="376" t="s">
        <v>1171</v>
      </c>
      <c r="K636" s="376"/>
      <c r="L636" s="377">
        <f t="shared" si="43"/>
        <v>0</v>
      </c>
      <c r="M636" s="377">
        <f t="shared" si="44"/>
        <v>0</v>
      </c>
      <c r="N636" s="377">
        <f t="shared" si="45"/>
        <v>0</v>
      </c>
    </row>
    <row r="637" spans="1:14" s="2" customFormat="1" ht="12.75">
      <c r="A637" s="2" t="s">
        <v>1545</v>
      </c>
      <c r="B637" s="374" t="s">
        <v>1413</v>
      </c>
      <c r="C637" s="3">
        <v>311</v>
      </c>
      <c r="D637" s="381" t="s">
        <v>1411</v>
      </c>
      <c r="E637" s="378" t="s">
        <v>54</v>
      </c>
      <c r="F637" s="374" t="s">
        <v>1172</v>
      </c>
      <c r="G637" s="374" t="s">
        <v>1482</v>
      </c>
      <c r="H637" s="375">
        <v>12</v>
      </c>
      <c r="I637" s="379">
        <f>0.6*(14+14+12.5+12.5+4.45+4.45+5.5+5.5+19.2+19.2)*2</f>
        <v>133.56</v>
      </c>
      <c r="J637" s="376" t="s">
        <v>1171</v>
      </c>
      <c r="K637" s="376"/>
      <c r="L637" s="377">
        <f t="shared" si="43"/>
        <v>0</v>
      </c>
      <c r="M637" s="377">
        <f t="shared" si="44"/>
        <v>0</v>
      </c>
      <c r="N637" s="377">
        <f t="shared" si="45"/>
        <v>0</v>
      </c>
    </row>
    <row r="638" spans="1:14" s="2" customFormat="1" ht="12.75">
      <c r="A638" s="2" t="s">
        <v>1545</v>
      </c>
      <c r="B638" s="374" t="s">
        <v>1413</v>
      </c>
      <c r="C638" s="3">
        <v>311</v>
      </c>
      <c r="D638" s="381" t="s">
        <v>1411</v>
      </c>
      <c r="E638" s="378" t="s">
        <v>54</v>
      </c>
      <c r="F638" s="374" t="s">
        <v>1172</v>
      </c>
      <c r="G638" s="374" t="s">
        <v>1483</v>
      </c>
      <c r="H638" s="375">
        <v>12</v>
      </c>
      <c r="I638" s="379">
        <f>2.15*(4.25+4.25+4.25+4.25)*2</f>
        <v>73.099999999999994</v>
      </c>
      <c r="J638" s="376" t="s">
        <v>1171</v>
      </c>
      <c r="K638" s="376"/>
      <c r="L638" s="377">
        <f t="shared" si="43"/>
        <v>0</v>
      </c>
      <c r="M638" s="377">
        <f t="shared" si="44"/>
        <v>0</v>
      </c>
      <c r="N638" s="377">
        <f t="shared" si="45"/>
        <v>0</v>
      </c>
    </row>
    <row r="639" spans="1:14" s="2" customFormat="1" ht="12.75">
      <c r="A639" s="2" t="s">
        <v>1544</v>
      </c>
      <c r="B639" s="374" t="s">
        <v>1413</v>
      </c>
      <c r="C639" s="3">
        <v>311</v>
      </c>
      <c r="D639" s="381" t="s">
        <v>1411</v>
      </c>
      <c r="E639" s="378" t="s">
        <v>54</v>
      </c>
      <c r="F639" s="374" t="s">
        <v>1182</v>
      </c>
      <c r="G639" s="374" t="s">
        <v>125</v>
      </c>
      <c r="H639" s="375">
        <v>2</v>
      </c>
      <c r="I639" s="379">
        <f>(2.3+2.9+2.3+2.9)*10.5</f>
        <v>109.19999999999999</v>
      </c>
      <c r="J639" s="376" t="s">
        <v>1171</v>
      </c>
      <c r="K639" s="376"/>
      <c r="L639" s="377">
        <f t="shared" si="43"/>
        <v>0</v>
      </c>
      <c r="M639" s="377">
        <f t="shared" si="44"/>
        <v>0</v>
      </c>
      <c r="N639" s="377">
        <f t="shared" si="45"/>
        <v>0</v>
      </c>
    </row>
    <row r="640" spans="1:14" s="2" customFormat="1" ht="12.75">
      <c r="A640" s="2" t="s">
        <v>1544</v>
      </c>
      <c r="B640" s="374" t="s">
        <v>1413</v>
      </c>
      <c r="C640" s="3">
        <v>311</v>
      </c>
      <c r="D640" s="381" t="s">
        <v>1411</v>
      </c>
      <c r="E640" s="378" t="s">
        <v>54</v>
      </c>
      <c r="F640" s="374" t="s">
        <v>1184</v>
      </c>
      <c r="G640" s="374" t="s">
        <v>125</v>
      </c>
      <c r="H640" s="375">
        <v>2</v>
      </c>
      <c r="I640" s="379">
        <f>(2.3+2.9+2.3+2.9)*10.5</f>
        <v>109.19999999999999</v>
      </c>
      <c r="J640" s="376" t="s">
        <v>1171</v>
      </c>
      <c r="K640" s="376"/>
      <c r="L640" s="377">
        <f t="shared" si="43"/>
        <v>0</v>
      </c>
      <c r="M640" s="377">
        <f t="shared" si="44"/>
        <v>0</v>
      </c>
      <c r="N640" s="377">
        <f t="shared" si="45"/>
        <v>0</v>
      </c>
    </row>
    <row r="641" spans="1:14" s="2" customFormat="1" ht="12.75">
      <c r="A641" s="2" t="s">
        <v>1545</v>
      </c>
      <c r="B641" s="374" t="s">
        <v>1413</v>
      </c>
      <c r="C641" s="3">
        <v>311</v>
      </c>
      <c r="D641" s="381" t="s">
        <v>1411</v>
      </c>
      <c r="E641" s="378" t="s">
        <v>1484</v>
      </c>
      <c r="F641" s="374" t="s">
        <v>1172</v>
      </c>
      <c r="G641" s="374" t="s">
        <v>1485</v>
      </c>
      <c r="H641" s="375">
        <v>12</v>
      </c>
      <c r="I641" s="379">
        <f>2*((0.4*(4.8+5))+(0.5*0.9)+(0.7*4.8))*2</f>
        <v>30.92</v>
      </c>
      <c r="J641" s="376" t="s">
        <v>1171</v>
      </c>
      <c r="K641" s="376"/>
      <c r="L641" s="377">
        <f t="shared" si="43"/>
        <v>0</v>
      </c>
      <c r="M641" s="377">
        <f t="shared" si="44"/>
        <v>0</v>
      </c>
      <c r="N641" s="377">
        <f t="shared" si="45"/>
        <v>0</v>
      </c>
    </row>
    <row r="642" spans="1:14" s="2" customFormat="1" ht="12.75">
      <c r="A642" s="2" t="s">
        <v>1544</v>
      </c>
      <c r="B642" s="374" t="s">
        <v>1413</v>
      </c>
      <c r="C642" s="3">
        <v>311</v>
      </c>
      <c r="D642" s="381" t="s">
        <v>1411</v>
      </c>
      <c r="E642" s="378" t="s">
        <v>143</v>
      </c>
      <c r="F642" s="374" t="s">
        <v>1173</v>
      </c>
      <c r="G642" s="374" t="s">
        <v>1486</v>
      </c>
      <c r="H642" s="375">
        <v>2</v>
      </c>
      <c r="I642" s="379">
        <f>2.25*(8+15.5+11.5+8+4.5+4.5)</f>
        <v>117</v>
      </c>
      <c r="J642" s="376" t="s">
        <v>1171</v>
      </c>
      <c r="K642" s="376"/>
      <c r="L642" s="377">
        <f t="shared" si="43"/>
        <v>0</v>
      </c>
      <c r="M642" s="377">
        <f t="shared" si="44"/>
        <v>0</v>
      </c>
      <c r="N642" s="377">
        <f t="shared" si="45"/>
        <v>0</v>
      </c>
    </row>
    <row r="643" spans="1:14" s="2" customFormat="1" ht="12.75">
      <c r="A643" s="2" t="s">
        <v>1544</v>
      </c>
      <c r="B643" s="374" t="s">
        <v>1413</v>
      </c>
      <c r="C643" s="3">
        <v>311</v>
      </c>
      <c r="D643" s="381" t="s">
        <v>1411</v>
      </c>
      <c r="E643" s="378" t="s">
        <v>143</v>
      </c>
      <c r="F643" s="374" t="s">
        <v>1172</v>
      </c>
      <c r="G643" s="374" t="s">
        <v>125</v>
      </c>
      <c r="H643" s="375">
        <v>2</v>
      </c>
      <c r="I643" s="379">
        <f>0.6*((2*1.1)+(2*0.15)+(4.4+3.8))*2</f>
        <v>12.839999999999998</v>
      </c>
      <c r="J643" s="376" t="s">
        <v>1171</v>
      </c>
      <c r="K643" s="376"/>
      <c r="L643" s="377">
        <f t="shared" si="43"/>
        <v>0</v>
      </c>
      <c r="M643" s="377">
        <f t="shared" si="44"/>
        <v>0</v>
      </c>
      <c r="N643" s="377">
        <f t="shared" si="45"/>
        <v>0</v>
      </c>
    </row>
    <row r="644" spans="1:14" s="2" customFormat="1" ht="12.75">
      <c r="A644" s="2" t="s">
        <v>1545</v>
      </c>
      <c r="B644" s="374" t="s">
        <v>1413</v>
      </c>
      <c r="C644" s="3">
        <v>311</v>
      </c>
      <c r="D644" s="381" t="s">
        <v>1411</v>
      </c>
      <c r="E644" s="4"/>
      <c r="F644" s="374" t="s">
        <v>1172</v>
      </c>
      <c r="G644" s="374" t="s">
        <v>1320</v>
      </c>
      <c r="H644" s="375">
        <v>26</v>
      </c>
      <c r="I644" s="379">
        <v>61.2</v>
      </c>
      <c r="J644" s="376" t="s">
        <v>1171</v>
      </c>
      <c r="K644" s="376" t="s">
        <v>1321</v>
      </c>
      <c r="L644" s="377">
        <f t="shared" si="43"/>
        <v>0</v>
      </c>
      <c r="M644" s="377">
        <f t="shared" si="44"/>
        <v>0</v>
      </c>
      <c r="N644" s="377">
        <f t="shared" si="45"/>
        <v>0</v>
      </c>
    </row>
    <row r="645" spans="1:14" s="2" customFormat="1" ht="12.75">
      <c r="A645" s="2" t="s">
        <v>1546</v>
      </c>
      <c r="B645" s="374" t="s">
        <v>1429</v>
      </c>
      <c r="C645" s="3">
        <v>312</v>
      </c>
      <c r="D645" s="381" t="s">
        <v>1411</v>
      </c>
      <c r="E645" s="378" t="s">
        <v>1487</v>
      </c>
      <c r="F645" s="374" t="s">
        <v>1173</v>
      </c>
      <c r="G645" s="374" t="s">
        <v>1434</v>
      </c>
      <c r="H645" s="375">
        <v>2</v>
      </c>
      <c r="I645" s="379">
        <f>((2.85*2.5)*2)+((2.65*2.5)*7)+((2.7*2.5)*1)</f>
        <v>67.375</v>
      </c>
      <c r="J645" s="376" t="s">
        <v>1171</v>
      </c>
      <c r="K645" s="376"/>
      <c r="L645" s="377">
        <f t="shared" si="43"/>
        <v>0</v>
      </c>
      <c r="M645" s="377">
        <f t="shared" si="44"/>
        <v>0</v>
      </c>
      <c r="N645" s="377">
        <f t="shared" si="45"/>
        <v>0</v>
      </c>
    </row>
    <row r="646" spans="1:14" s="2" customFormat="1" ht="12.75">
      <c r="A646" s="2" t="s">
        <v>1546</v>
      </c>
      <c r="B646" s="374" t="s">
        <v>1429</v>
      </c>
      <c r="C646" s="3">
        <v>312</v>
      </c>
      <c r="D646" s="381" t="s">
        <v>1411</v>
      </c>
      <c r="E646" s="378" t="s">
        <v>1487</v>
      </c>
      <c r="F646" s="374" t="s">
        <v>1170</v>
      </c>
      <c r="G646" s="374" t="s">
        <v>1439</v>
      </c>
      <c r="H646" s="375">
        <v>2</v>
      </c>
      <c r="I646" s="379">
        <f>((2.85*2.5)*2)+((2.65*2.5)*7)+((2.7*2.5)*1)</f>
        <v>67.375</v>
      </c>
      <c r="J646" s="376" t="s">
        <v>1171</v>
      </c>
      <c r="K646" s="376"/>
      <c r="L646" s="377">
        <f t="shared" si="43"/>
        <v>0</v>
      </c>
      <c r="M646" s="377">
        <f t="shared" si="44"/>
        <v>0</v>
      </c>
      <c r="N646" s="377">
        <f t="shared" si="45"/>
        <v>0</v>
      </c>
    </row>
    <row r="647" spans="1:14" s="2" customFormat="1" ht="12.75">
      <c r="A647" s="2" t="s">
        <v>1547</v>
      </c>
      <c r="B647" s="374" t="s">
        <v>1429</v>
      </c>
      <c r="C647" s="3">
        <v>312</v>
      </c>
      <c r="D647" s="381" t="s">
        <v>1411</v>
      </c>
      <c r="E647" s="378" t="s">
        <v>54</v>
      </c>
      <c r="F647" s="374" t="s">
        <v>1172</v>
      </c>
      <c r="G647" s="374" t="s">
        <v>1488</v>
      </c>
      <c r="H647" s="375">
        <v>12</v>
      </c>
      <c r="I647" s="379">
        <f>0.7*(14.3+14.3+6.3)*2</f>
        <v>48.859999999999992</v>
      </c>
      <c r="J647" s="376" t="s">
        <v>1171</v>
      </c>
      <c r="K647" s="376"/>
      <c r="L647" s="377">
        <f t="shared" si="43"/>
        <v>0</v>
      </c>
      <c r="M647" s="377">
        <f t="shared" si="44"/>
        <v>0</v>
      </c>
      <c r="N647" s="377">
        <f t="shared" si="45"/>
        <v>0</v>
      </c>
    </row>
    <row r="648" spans="1:14" s="2" customFormat="1" ht="12.75">
      <c r="A648" s="2" t="s">
        <v>1546</v>
      </c>
      <c r="B648" s="374" t="s">
        <v>1429</v>
      </c>
      <c r="C648" s="3">
        <v>312</v>
      </c>
      <c r="D648" s="381" t="s">
        <v>1411</v>
      </c>
      <c r="E648" s="378" t="s">
        <v>54</v>
      </c>
      <c r="F648" s="374" t="s">
        <v>1172</v>
      </c>
      <c r="G648" s="374" t="s">
        <v>1458</v>
      </c>
      <c r="H648" s="375">
        <v>2</v>
      </c>
      <c r="I648" s="379">
        <f>1.65*3*2</f>
        <v>9.8999999999999986</v>
      </c>
      <c r="J648" s="376" t="s">
        <v>1171</v>
      </c>
      <c r="K648" s="376"/>
      <c r="L648" s="377">
        <f t="shared" si="43"/>
        <v>0</v>
      </c>
      <c r="M648" s="377">
        <f t="shared" si="44"/>
        <v>0</v>
      </c>
      <c r="N648" s="377">
        <f t="shared" si="45"/>
        <v>0</v>
      </c>
    </row>
    <row r="649" spans="1:14" s="2" customFormat="1" ht="12.75">
      <c r="A649" s="2" t="s">
        <v>1546</v>
      </c>
      <c r="B649" s="374" t="s">
        <v>1429</v>
      </c>
      <c r="C649" s="3">
        <v>312</v>
      </c>
      <c r="D649" s="381" t="s">
        <v>1411</v>
      </c>
      <c r="E649" s="378" t="s">
        <v>54</v>
      </c>
      <c r="F649" s="374" t="s">
        <v>1170</v>
      </c>
      <c r="G649" s="374" t="s">
        <v>1453</v>
      </c>
      <c r="H649" s="375">
        <v>2</v>
      </c>
      <c r="I649" s="379">
        <f>13.25*3+17*3</f>
        <v>90.75</v>
      </c>
      <c r="J649" s="376" t="s">
        <v>1171</v>
      </c>
      <c r="K649" s="376"/>
      <c r="L649" s="377">
        <f t="shared" si="43"/>
        <v>0</v>
      </c>
      <c r="M649" s="377">
        <f t="shared" si="44"/>
        <v>0</v>
      </c>
      <c r="N649" s="377">
        <f t="shared" si="45"/>
        <v>0</v>
      </c>
    </row>
    <row r="650" spans="1:14" s="2" customFormat="1" ht="12.75">
      <c r="A650" s="2" t="s">
        <v>1546</v>
      </c>
      <c r="B650" s="374" t="s">
        <v>1429</v>
      </c>
      <c r="C650" s="3">
        <v>312</v>
      </c>
      <c r="D650" s="381" t="s">
        <v>1411</v>
      </c>
      <c r="E650" s="378" t="s">
        <v>54</v>
      </c>
      <c r="F650" s="374" t="s">
        <v>1170</v>
      </c>
      <c r="G650" s="374" t="s">
        <v>1454</v>
      </c>
      <c r="H650" s="375">
        <v>2</v>
      </c>
      <c r="I650" s="379">
        <f>13.25*3+17*3</f>
        <v>90.75</v>
      </c>
      <c r="J650" s="376" t="s">
        <v>1171</v>
      </c>
      <c r="K650" s="376"/>
      <c r="L650" s="377">
        <f t="shared" si="43"/>
        <v>0</v>
      </c>
      <c r="M650" s="377">
        <f t="shared" si="44"/>
        <v>0</v>
      </c>
      <c r="N650" s="377">
        <f t="shared" si="45"/>
        <v>0</v>
      </c>
    </row>
    <row r="651" spans="1:14" s="2" customFormat="1" ht="12.75">
      <c r="A651" s="2" t="s">
        <v>1546</v>
      </c>
      <c r="B651" s="374" t="s">
        <v>1429</v>
      </c>
      <c r="C651" s="3">
        <v>312</v>
      </c>
      <c r="D651" s="381" t="s">
        <v>1411</v>
      </c>
      <c r="E651" s="378" t="s">
        <v>54</v>
      </c>
      <c r="F651" s="374" t="s">
        <v>1170</v>
      </c>
      <c r="G651" s="374" t="s">
        <v>1456</v>
      </c>
      <c r="H651" s="375">
        <v>2</v>
      </c>
      <c r="I651" s="379">
        <f>2*(6.2*1*2+17*1.75)</f>
        <v>84.3</v>
      </c>
      <c r="J651" s="376" t="s">
        <v>1171</v>
      </c>
      <c r="K651" s="376"/>
      <c r="L651" s="377">
        <f t="shared" si="43"/>
        <v>0</v>
      </c>
      <c r="M651" s="377">
        <f t="shared" si="44"/>
        <v>0</v>
      </c>
      <c r="N651" s="377">
        <f t="shared" si="45"/>
        <v>0</v>
      </c>
    </row>
    <row r="652" spans="1:14" s="2" customFormat="1" ht="12.75">
      <c r="A652" s="2" t="s">
        <v>1546</v>
      </c>
      <c r="B652" s="374" t="s">
        <v>1429</v>
      </c>
      <c r="C652" s="3">
        <v>312</v>
      </c>
      <c r="D652" s="381" t="s">
        <v>1411</v>
      </c>
      <c r="E652" s="378" t="s">
        <v>54</v>
      </c>
      <c r="F652" s="374" t="s">
        <v>1170</v>
      </c>
      <c r="G652" s="374" t="s">
        <v>1457</v>
      </c>
      <c r="H652" s="375">
        <v>2</v>
      </c>
      <c r="I652" s="379">
        <f>2*(6.2*1*2+17*1.75)</f>
        <v>84.3</v>
      </c>
      <c r="J652" s="376" t="s">
        <v>1171</v>
      </c>
      <c r="K652" s="376"/>
      <c r="L652" s="377">
        <f t="shared" si="43"/>
        <v>0</v>
      </c>
      <c r="M652" s="377">
        <f t="shared" si="44"/>
        <v>0</v>
      </c>
      <c r="N652" s="377">
        <f t="shared" si="45"/>
        <v>0</v>
      </c>
    </row>
    <row r="653" spans="1:14" s="2" customFormat="1" ht="12.75">
      <c r="A653" s="2" t="s">
        <v>1546</v>
      </c>
      <c r="B653" s="374" t="s">
        <v>1429</v>
      </c>
      <c r="C653" s="3">
        <v>312</v>
      </c>
      <c r="D653" s="381" t="s">
        <v>1411</v>
      </c>
      <c r="E653" s="378" t="s">
        <v>64</v>
      </c>
      <c r="F653" s="374" t="s">
        <v>1170</v>
      </c>
      <c r="G653" s="374" t="s">
        <v>1464</v>
      </c>
      <c r="H653" s="375">
        <v>2</v>
      </c>
      <c r="I653" s="379">
        <f>4*4.3</f>
        <v>17.2</v>
      </c>
      <c r="J653" s="376" t="s">
        <v>1171</v>
      </c>
      <c r="K653" s="376"/>
      <c r="L653" s="377">
        <f t="shared" si="43"/>
        <v>0</v>
      </c>
      <c r="M653" s="377">
        <f t="shared" si="44"/>
        <v>0</v>
      </c>
      <c r="N653" s="377">
        <f t="shared" si="45"/>
        <v>0</v>
      </c>
    </row>
    <row r="654" spans="1:14" s="2" customFormat="1" ht="12.75">
      <c r="A654" s="2" t="s">
        <v>1546</v>
      </c>
      <c r="B654" s="374" t="s">
        <v>1429</v>
      </c>
      <c r="C654" s="3">
        <v>312</v>
      </c>
      <c r="D654" s="381" t="s">
        <v>1411</v>
      </c>
      <c r="E654" s="378" t="s">
        <v>64</v>
      </c>
      <c r="F654" s="374" t="s">
        <v>1170</v>
      </c>
      <c r="G654" s="374" t="s">
        <v>1465</v>
      </c>
      <c r="H654" s="375">
        <v>2</v>
      </c>
      <c r="I654" s="379">
        <f>4*4.3</f>
        <v>17.2</v>
      </c>
      <c r="J654" s="376" t="s">
        <v>1171</v>
      </c>
      <c r="K654" s="376"/>
      <c r="L654" s="377">
        <f t="shared" si="43"/>
        <v>0</v>
      </c>
      <c r="M654" s="377">
        <f t="shared" si="44"/>
        <v>0</v>
      </c>
      <c r="N654" s="377">
        <f t="shared" si="45"/>
        <v>0</v>
      </c>
    </row>
    <row r="655" spans="1:14" s="2" customFormat="1" ht="12.75">
      <c r="A655" s="2" t="s">
        <v>1546</v>
      </c>
      <c r="B655" s="374" t="s">
        <v>1429</v>
      </c>
      <c r="C655" s="3">
        <v>312</v>
      </c>
      <c r="D655" s="381" t="s">
        <v>1411</v>
      </c>
      <c r="E655" s="378" t="s">
        <v>1459</v>
      </c>
      <c r="F655" s="374" t="s">
        <v>1182</v>
      </c>
      <c r="G655" s="374" t="s">
        <v>1460</v>
      </c>
      <c r="H655" s="375">
        <v>2</v>
      </c>
      <c r="I655" s="379">
        <f>1.8*4</f>
        <v>7.2</v>
      </c>
      <c r="J655" s="376" t="s">
        <v>1171</v>
      </c>
      <c r="K655" s="376"/>
      <c r="L655" s="377">
        <f t="shared" si="43"/>
        <v>0</v>
      </c>
      <c r="M655" s="377">
        <f t="shared" si="44"/>
        <v>0</v>
      </c>
      <c r="N655" s="377">
        <f t="shared" si="45"/>
        <v>0</v>
      </c>
    </row>
    <row r="656" spans="1:14" s="2" customFormat="1" ht="12.75">
      <c r="A656" s="2" t="s">
        <v>1546</v>
      </c>
      <c r="B656" s="374" t="s">
        <v>1429</v>
      </c>
      <c r="C656" s="3">
        <v>312</v>
      </c>
      <c r="D656" s="381" t="s">
        <v>1411</v>
      </c>
      <c r="E656" s="378" t="s">
        <v>1459</v>
      </c>
      <c r="F656" s="374" t="s">
        <v>1184</v>
      </c>
      <c r="G656" s="374" t="s">
        <v>1460</v>
      </c>
      <c r="H656" s="375">
        <v>2</v>
      </c>
      <c r="I656" s="379">
        <f>1.8*4</f>
        <v>7.2</v>
      </c>
      <c r="J656" s="376" t="s">
        <v>1171</v>
      </c>
      <c r="K656" s="376"/>
      <c r="L656" s="377">
        <f t="shared" si="43"/>
        <v>0</v>
      </c>
      <c r="M656" s="377">
        <f t="shared" si="44"/>
        <v>0</v>
      </c>
      <c r="N656" s="377">
        <f t="shared" si="45"/>
        <v>0</v>
      </c>
    </row>
    <row r="657" spans="1:14" s="2" customFormat="1" ht="12.75">
      <c r="A657" s="2" t="s">
        <v>1546</v>
      </c>
      <c r="B657" s="374" t="s">
        <v>1429</v>
      </c>
      <c r="C657" s="3">
        <v>312</v>
      </c>
      <c r="D657" s="381" t="s">
        <v>1411</v>
      </c>
      <c r="E657" s="378" t="s">
        <v>1459</v>
      </c>
      <c r="F657" s="374" t="s">
        <v>1182</v>
      </c>
      <c r="G657" s="374" t="s">
        <v>1461</v>
      </c>
      <c r="H657" s="375">
        <v>2</v>
      </c>
      <c r="I657" s="379">
        <f>3.45*3</f>
        <v>10.350000000000001</v>
      </c>
      <c r="J657" s="376" t="s">
        <v>1171</v>
      </c>
      <c r="K657" s="376"/>
      <c r="L657" s="377">
        <f t="shared" ref="L657:L698" si="46">IF(J657="ja",VLOOKUP(F657,Glassoort2,2,0))*I657</f>
        <v>0</v>
      </c>
      <c r="M657" s="377">
        <f t="shared" ref="M657:M698" si="47">IF(J657="nee",VLOOKUP(F657,Glassoort2,3,0))*I657</f>
        <v>0</v>
      </c>
      <c r="N657" s="377">
        <f t="shared" si="45"/>
        <v>0</v>
      </c>
    </row>
    <row r="658" spans="1:14" s="2" customFormat="1" ht="12.75">
      <c r="A658" s="2" t="s">
        <v>1546</v>
      </c>
      <c r="B658" s="374" t="s">
        <v>1429</v>
      </c>
      <c r="C658" s="3">
        <v>312</v>
      </c>
      <c r="D658" s="381" t="s">
        <v>1411</v>
      </c>
      <c r="E658" s="378" t="s">
        <v>1459</v>
      </c>
      <c r="F658" s="374" t="s">
        <v>1184</v>
      </c>
      <c r="G658" s="374" t="s">
        <v>1461</v>
      </c>
      <c r="H658" s="375">
        <v>2</v>
      </c>
      <c r="I658" s="379">
        <f>3.45*3</f>
        <v>10.350000000000001</v>
      </c>
      <c r="J658" s="376" t="s">
        <v>1171</v>
      </c>
      <c r="K658" s="376"/>
      <c r="L658" s="377">
        <f t="shared" si="46"/>
        <v>0</v>
      </c>
      <c r="M658" s="377">
        <f t="shared" si="47"/>
        <v>0</v>
      </c>
      <c r="N658" s="377">
        <f t="shared" ref="N658:N698" si="48">(M658*H658)+(L658*H658)</f>
        <v>0</v>
      </c>
    </row>
    <row r="659" spans="1:14" s="2" customFormat="1" ht="12.75">
      <c r="A659" s="2" t="s">
        <v>1546</v>
      </c>
      <c r="B659" s="374" t="s">
        <v>1429</v>
      </c>
      <c r="C659" s="3">
        <v>312</v>
      </c>
      <c r="D659" s="381" t="s">
        <v>1411</v>
      </c>
      <c r="E659" s="378" t="s">
        <v>1459</v>
      </c>
      <c r="F659" s="374" t="s">
        <v>1182</v>
      </c>
      <c r="G659" s="374" t="s">
        <v>1462</v>
      </c>
      <c r="H659" s="375">
        <v>2</v>
      </c>
      <c r="I659" s="379">
        <f>2*9.75</f>
        <v>19.5</v>
      </c>
      <c r="J659" s="376" t="s">
        <v>1171</v>
      </c>
      <c r="K659" s="376"/>
      <c r="L659" s="377">
        <f t="shared" si="46"/>
        <v>0</v>
      </c>
      <c r="M659" s="377">
        <f t="shared" si="47"/>
        <v>0</v>
      </c>
      <c r="N659" s="377">
        <f t="shared" si="48"/>
        <v>0</v>
      </c>
    </row>
    <row r="660" spans="1:14" s="2" customFormat="1" ht="12.75">
      <c r="A660" s="2" t="s">
        <v>1546</v>
      </c>
      <c r="B660" s="374" t="s">
        <v>1429</v>
      </c>
      <c r="C660" s="3">
        <v>312</v>
      </c>
      <c r="D660" s="381" t="s">
        <v>1411</v>
      </c>
      <c r="E660" s="378" t="s">
        <v>1459</v>
      </c>
      <c r="F660" s="374" t="s">
        <v>1184</v>
      </c>
      <c r="G660" s="374" t="s">
        <v>1462</v>
      </c>
      <c r="H660" s="375">
        <v>2</v>
      </c>
      <c r="I660" s="379">
        <f>2*9.75</f>
        <v>19.5</v>
      </c>
      <c r="J660" s="376" t="s">
        <v>1171</v>
      </c>
      <c r="K660" s="376"/>
      <c r="L660" s="377">
        <f t="shared" si="46"/>
        <v>0</v>
      </c>
      <c r="M660" s="377">
        <f t="shared" si="47"/>
        <v>0</v>
      </c>
      <c r="N660" s="377">
        <f t="shared" si="48"/>
        <v>0</v>
      </c>
    </row>
    <row r="661" spans="1:14" s="2" customFormat="1" ht="12.75">
      <c r="A661" s="2" t="s">
        <v>1546</v>
      </c>
      <c r="B661" s="374" t="s">
        <v>1429</v>
      </c>
      <c r="C661" s="3">
        <v>312</v>
      </c>
      <c r="D661" s="381" t="s">
        <v>1411</v>
      </c>
      <c r="E661" s="378" t="s">
        <v>1459</v>
      </c>
      <c r="F661" s="374" t="s">
        <v>1182</v>
      </c>
      <c r="G661" s="374" t="s">
        <v>1463</v>
      </c>
      <c r="H661" s="375">
        <v>2</v>
      </c>
      <c r="I661" s="379">
        <f>3.45*9.75</f>
        <v>33.637500000000003</v>
      </c>
      <c r="J661" s="376" t="s">
        <v>1171</v>
      </c>
      <c r="K661" s="376"/>
      <c r="L661" s="377">
        <f t="shared" si="46"/>
        <v>0</v>
      </c>
      <c r="M661" s="377">
        <f t="shared" si="47"/>
        <v>0</v>
      </c>
      <c r="N661" s="377">
        <f t="shared" si="48"/>
        <v>0</v>
      </c>
    </row>
    <row r="662" spans="1:14" s="2" customFormat="1" ht="12.75">
      <c r="A662" s="2" t="s">
        <v>1546</v>
      </c>
      <c r="B662" s="374" t="s">
        <v>1429</v>
      </c>
      <c r="C662" s="3">
        <v>312</v>
      </c>
      <c r="D662" s="381" t="s">
        <v>1411</v>
      </c>
      <c r="E662" s="378" t="s">
        <v>1459</v>
      </c>
      <c r="F662" s="374" t="s">
        <v>1184</v>
      </c>
      <c r="G662" s="374" t="s">
        <v>1463</v>
      </c>
      <c r="H662" s="375">
        <v>2</v>
      </c>
      <c r="I662" s="379">
        <f>3.45*9.75</f>
        <v>33.637500000000003</v>
      </c>
      <c r="J662" s="376" t="s">
        <v>1171</v>
      </c>
      <c r="K662" s="376"/>
      <c r="L662" s="377">
        <f t="shared" si="46"/>
        <v>0</v>
      </c>
      <c r="M662" s="377">
        <f t="shared" si="47"/>
        <v>0</v>
      </c>
      <c r="N662" s="377">
        <f t="shared" si="48"/>
        <v>0</v>
      </c>
    </row>
    <row r="663" spans="1:14" s="2" customFormat="1" ht="12.75">
      <c r="B663" s="374" t="s">
        <v>1429</v>
      </c>
      <c r="C663" s="3">
        <v>312</v>
      </c>
      <c r="D663" s="381" t="s">
        <v>1411</v>
      </c>
      <c r="E663" s="378" t="s">
        <v>54</v>
      </c>
      <c r="F663" s="374" t="s">
        <v>1172</v>
      </c>
      <c r="G663" s="374" t="s">
        <v>1320</v>
      </c>
      <c r="H663" s="375">
        <v>26</v>
      </c>
      <c r="I663" s="379">
        <v>54</v>
      </c>
      <c r="J663" s="376" t="s">
        <v>1171</v>
      </c>
      <c r="K663" s="376" t="s">
        <v>1321</v>
      </c>
      <c r="L663" s="377">
        <f t="shared" si="46"/>
        <v>0</v>
      </c>
      <c r="M663" s="377">
        <f t="shared" si="47"/>
        <v>0</v>
      </c>
      <c r="N663" s="377">
        <f t="shared" si="48"/>
        <v>0</v>
      </c>
    </row>
    <row r="664" spans="1:14" s="2" customFormat="1" ht="12.75">
      <c r="A664" s="2" t="s">
        <v>1548</v>
      </c>
      <c r="B664" s="374" t="s">
        <v>1489</v>
      </c>
      <c r="C664" s="3">
        <v>401</v>
      </c>
      <c r="D664" s="381" t="s">
        <v>1490</v>
      </c>
      <c r="E664" s="378" t="s">
        <v>1491</v>
      </c>
      <c r="F664" s="374" t="s">
        <v>1173</v>
      </c>
      <c r="G664" s="374" t="s">
        <v>1492</v>
      </c>
      <c r="H664" s="375">
        <v>2</v>
      </c>
      <c r="I664" s="379">
        <f>1.8*0.8+0.85*2.1</f>
        <v>3.2250000000000001</v>
      </c>
      <c r="J664" s="376" t="s">
        <v>1171</v>
      </c>
      <c r="K664" s="376" t="s">
        <v>1493</v>
      </c>
      <c r="L664" s="377">
        <f t="shared" si="46"/>
        <v>0</v>
      </c>
      <c r="M664" s="377">
        <f t="shared" si="47"/>
        <v>0</v>
      </c>
      <c r="N664" s="377">
        <f t="shared" si="48"/>
        <v>0</v>
      </c>
    </row>
    <row r="665" spans="1:14" s="2" customFormat="1" ht="12.75">
      <c r="A665" s="2" t="s">
        <v>1548</v>
      </c>
      <c r="B665" s="374" t="s">
        <v>1489</v>
      </c>
      <c r="C665" s="3">
        <v>401</v>
      </c>
      <c r="D665" s="381" t="s">
        <v>1490</v>
      </c>
      <c r="E665" s="378" t="s">
        <v>1491</v>
      </c>
      <c r="F665" s="374" t="s">
        <v>1170</v>
      </c>
      <c r="G665" s="374" t="s">
        <v>1492</v>
      </c>
      <c r="H665" s="375">
        <v>2</v>
      </c>
      <c r="I665" s="379">
        <f>1.8*0.8+0.85*2.1</f>
        <v>3.2250000000000001</v>
      </c>
      <c r="J665" s="376" t="s">
        <v>1171</v>
      </c>
      <c r="K665" s="376" t="s">
        <v>1494</v>
      </c>
      <c r="L665" s="377">
        <f t="shared" si="46"/>
        <v>0</v>
      </c>
      <c r="M665" s="377">
        <f t="shared" si="47"/>
        <v>0</v>
      </c>
      <c r="N665" s="377">
        <f t="shared" si="48"/>
        <v>0</v>
      </c>
    </row>
    <row r="666" spans="1:14" s="2" customFormat="1" ht="12.75">
      <c r="A666" s="2" t="s">
        <v>1548</v>
      </c>
      <c r="B666" s="374" t="s">
        <v>1489</v>
      </c>
      <c r="C666" s="3">
        <v>401</v>
      </c>
      <c r="D666" s="381" t="s">
        <v>1490</v>
      </c>
      <c r="E666" s="378" t="s">
        <v>1495</v>
      </c>
      <c r="F666" s="374" t="s">
        <v>1173</v>
      </c>
      <c r="G666" s="374" t="s">
        <v>1496</v>
      </c>
      <c r="H666" s="375">
        <v>2</v>
      </c>
      <c r="I666" s="379">
        <f>2*0.9*3</f>
        <v>5.4</v>
      </c>
      <c r="J666" s="376" t="s">
        <v>1171</v>
      </c>
      <c r="K666" s="376" t="s">
        <v>1494</v>
      </c>
      <c r="L666" s="377">
        <f t="shared" si="46"/>
        <v>0</v>
      </c>
      <c r="M666" s="377">
        <f t="shared" si="47"/>
        <v>0</v>
      </c>
      <c r="N666" s="377">
        <f t="shared" si="48"/>
        <v>0</v>
      </c>
    </row>
    <row r="667" spans="1:14" s="2" customFormat="1" ht="12.75">
      <c r="A667" s="2" t="s">
        <v>1548</v>
      </c>
      <c r="B667" s="374" t="s">
        <v>1489</v>
      </c>
      <c r="C667" s="3">
        <v>401</v>
      </c>
      <c r="D667" s="381" t="s">
        <v>1490</v>
      </c>
      <c r="E667" s="378" t="s">
        <v>1495</v>
      </c>
      <c r="F667" s="374" t="s">
        <v>1170</v>
      </c>
      <c r="G667" s="374" t="s">
        <v>1496</v>
      </c>
      <c r="H667" s="375">
        <v>2</v>
      </c>
      <c r="I667" s="379">
        <f>2*0.9*3</f>
        <v>5.4</v>
      </c>
      <c r="J667" s="376" t="s">
        <v>1171</v>
      </c>
      <c r="K667" s="376" t="s">
        <v>1494</v>
      </c>
      <c r="L667" s="377">
        <f t="shared" si="46"/>
        <v>0</v>
      </c>
      <c r="M667" s="377">
        <f t="shared" si="47"/>
        <v>0</v>
      </c>
      <c r="N667" s="377">
        <f t="shared" si="48"/>
        <v>0</v>
      </c>
    </row>
    <row r="668" spans="1:14" s="2" customFormat="1" ht="12.75">
      <c r="A668" s="2" t="s">
        <v>1548</v>
      </c>
      <c r="B668" s="374" t="s">
        <v>1489</v>
      </c>
      <c r="C668" s="3">
        <v>401</v>
      </c>
      <c r="D668" s="381" t="s">
        <v>1490</v>
      </c>
      <c r="E668" s="378" t="s">
        <v>1497</v>
      </c>
      <c r="F668" s="374" t="s">
        <v>1173</v>
      </c>
      <c r="G668" s="374" t="s">
        <v>1498</v>
      </c>
      <c r="H668" s="375">
        <v>2</v>
      </c>
      <c r="I668" s="379">
        <f>2*0.9*3</f>
        <v>5.4</v>
      </c>
      <c r="J668" s="376" t="s">
        <v>1171</v>
      </c>
      <c r="K668" s="376" t="s">
        <v>1494</v>
      </c>
      <c r="L668" s="377">
        <f t="shared" si="46"/>
        <v>0</v>
      </c>
      <c r="M668" s="377">
        <f t="shared" si="47"/>
        <v>0</v>
      </c>
      <c r="N668" s="377">
        <f t="shared" si="48"/>
        <v>0</v>
      </c>
    </row>
    <row r="669" spans="1:14" s="2" customFormat="1" ht="12.75">
      <c r="A669" s="2" t="s">
        <v>1548</v>
      </c>
      <c r="B669" s="374" t="s">
        <v>1489</v>
      </c>
      <c r="C669" s="3">
        <v>401</v>
      </c>
      <c r="D669" s="381" t="s">
        <v>1490</v>
      </c>
      <c r="E669" s="378" t="s">
        <v>1497</v>
      </c>
      <c r="F669" s="374" t="s">
        <v>1170</v>
      </c>
      <c r="G669" s="374" t="s">
        <v>1498</v>
      </c>
      <c r="H669" s="375">
        <v>2</v>
      </c>
      <c r="I669" s="379">
        <f>2*0.9*3</f>
        <v>5.4</v>
      </c>
      <c r="J669" s="376" t="s">
        <v>1171</v>
      </c>
      <c r="K669" s="376" t="s">
        <v>1494</v>
      </c>
      <c r="L669" s="377">
        <f t="shared" si="46"/>
        <v>0</v>
      </c>
      <c r="M669" s="377">
        <f t="shared" si="47"/>
        <v>0</v>
      </c>
      <c r="N669" s="377">
        <f t="shared" si="48"/>
        <v>0</v>
      </c>
    </row>
    <row r="670" spans="1:14" s="2" customFormat="1" ht="12.75">
      <c r="A670" s="2" t="s">
        <v>1549</v>
      </c>
      <c r="B670" s="374" t="s">
        <v>1499</v>
      </c>
      <c r="C670" s="3">
        <v>402</v>
      </c>
      <c r="D670" s="381" t="s">
        <v>1490</v>
      </c>
      <c r="E670" s="378" t="s">
        <v>1500</v>
      </c>
      <c r="F670" s="374" t="s">
        <v>1173</v>
      </c>
      <c r="G670" s="374" t="s">
        <v>1492</v>
      </c>
      <c r="H670" s="375">
        <v>2</v>
      </c>
      <c r="I670" s="379">
        <f>1.8*0.8+0.85*2.1</f>
        <v>3.2250000000000001</v>
      </c>
      <c r="J670" s="376" t="s">
        <v>1171</v>
      </c>
      <c r="K670" s="376" t="s">
        <v>1501</v>
      </c>
      <c r="L670" s="377">
        <f t="shared" si="46"/>
        <v>0</v>
      </c>
      <c r="M670" s="377">
        <f t="shared" si="47"/>
        <v>0</v>
      </c>
      <c r="N670" s="377">
        <f t="shared" si="48"/>
        <v>0</v>
      </c>
    </row>
    <row r="671" spans="1:14" s="2" customFormat="1" ht="12.75">
      <c r="A671" s="2" t="s">
        <v>1549</v>
      </c>
      <c r="B671" s="374" t="s">
        <v>1499</v>
      </c>
      <c r="C671" s="3">
        <v>402</v>
      </c>
      <c r="D671" s="381" t="s">
        <v>1490</v>
      </c>
      <c r="E671" s="378" t="s">
        <v>1500</v>
      </c>
      <c r="F671" s="374" t="s">
        <v>1170</v>
      </c>
      <c r="G671" s="374" t="s">
        <v>1492</v>
      </c>
      <c r="H671" s="375">
        <v>2</v>
      </c>
      <c r="I671" s="379">
        <f>1.8*0.8+0.85*2.1</f>
        <v>3.2250000000000001</v>
      </c>
      <c r="J671" s="376" t="s">
        <v>1171</v>
      </c>
      <c r="K671" s="376"/>
      <c r="L671" s="377">
        <f t="shared" si="46"/>
        <v>0</v>
      </c>
      <c r="M671" s="377">
        <f t="shared" si="47"/>
        <v>0</v>
      </c>
      <c r="N671" s="377">
        <f t="shared" si="48"/>
        <v>0</v>
      </c>
    </row>
    <row r="672" spans="1:14" s="2" customFormat="1" ht="12.75">
      <c r="A672" s="2" t="s">
        <v>1549</v>
      </c>
      <c r="B672" s="374" t="s">
        <v>1499</v>
      </c>
      <c r="C672" s="3">
        <v>402</v>
      </c>
      <c r="D672" s="381" t="s">
        <v>1490</v>
      </c>
      <c r="E672" s="378" t="s">
        <v>1502</v>
      </c>
      <c r="F672" s="374" t="s">
        <v>1173</v>
      </c>
      <c r="G672" s="374" t="s">
        <v>1496</v>
      </c>
      <c r="H672" s="375">
        <v>2</v>
      </c>
      <c r="I672" s="379">
        <f>2*0.9*3</f>
        <v>5.4</v>
      </c>
      <c r="J672" s="376" t="s">
        <v>1171</v>
      </c>
      <c r="K672" s="376"/>
      <c r="L672" s="377">
        <f t="shared" si="46"/>
        <v>0</v>
      </c>
      <c r="M672" s="377">
        <f t="shared" si="47"/>
        <v>0</v>
      </c>
      <c r="N672" s="377">
        <f t="shared" si="48"/>
        <v>0</v>
      </c>
    </row>
    <row r="673" spans="1:14" s="2" customFormat="1" ht="12.75">
      <c r="A673" s="2" t="s">
        <v>1549</v>
      </c>
      <c r="B673" s="374" t="s">
        <v>1499</v>
      </c>
      <c r="C673" s="3">
        <v>402</v>
      </c>
      <c r="D673" s="381" t="s">
        <v>1490</v>
      </c>
      <c r="E673" s="378" t="s">
        <v>1502</v>
      </c>
      <c r="F673" s="374" t="s">
        <v>1170</v>
      </c>
      <c r="G673" s="374" t="s">
        <v>1496</v>
      </c>
      <c r="H673" s="375">
        <v>2</v>
      </c>
      <c r="I673" s="379">
        <f>2*0.9*3</f>
        <v>5.4</v>
      </c>
      <c r="J673" s="376" t="s">
        <v>1171</v>
      </c>
      <c r="K673" s="376" t="s">
        <v>1503</v>
      </c>
      <c r="L673" s="377">
        <f t="shared" si="46"/>
        <v>0</v>
      </c>
      <c r="M673" s="377">
        <f t="shared" si="47"/>
        <v>0</v>
      </c>
      <c r="N673" s="377">
        <f t="shared" si="48"/>
        <v>0</v>
      </c>
    </row>
    <row r="674" spans="1:14" s="2" customFormat="1" ht="12.75">
      <c r="A674" s="2" t="s">
        <v>1549</v>
      </c>
      <c r="B674" s="374" t="s">
        <v>1499</v>
      </c>
      <c r="C674" s="3">
        <v>402</v>
      </c>
      <c r="D674" s="381" t="s">
        <v>1490</v>
      </c>
      <c r="E674" s="378" t="s">
        <v>1504</v>
      </c>
      <c r="F674" s="374" t="s">
        <v>1173</v>
      </c>
      <c r="G674" s="374" t="s">
        <v>1498</v>
      </c>
      <c r="H674" s="375">
        <v>2</v>
      </c>
      <c r="I674" s="379">
        <f>2*0.9*3</f>
        <v>5.4</v>
      </c>
      <c r="J674" s="376" t="s">
        <v>1171</v>
      </c>
      <c r="K674" s="376"/>
      <c r="L674" s="377">
        <f t="shared" si="46"/>
        <v>0</v>
      </c>
      <c r="M674" s="377">
        <f t="shared" si="47"/>
        <v>0</v>
      </c>
      <c r="N674" s="377">
        <f t="shared" si="48"/>
        <v>0</v>
      </c>
    </row>
    <row r="675" spans="1:14" s="2" customFormat="1" ht="12.75">
      <c r="A675" s="2" t="s">
        <v>1549</v>
      </c>
      <c r="B675" s="374" t="s">
        <v>1499</v>
      </c>
      <c r="C675" s="3">
        <v>402</v>
      </c>
      <c r="D675" s="381" t="s">
        <v>1490</v>
      </c>
      <c r="E675" s="378" t="s">
        <v>1504</v>
      </c>
      <c r="F675" s="374" t="s">
        <v>1170</v>
      </c>
      <c r="G675" s="374" t="s">
        <v>1498</v>
      </c>
      <c r="H675" s="375">
        <v>2</v>
      </c>
      <c r="I675" s="379">
        <f>2*0.9*3</f>
        <v>5.4</v>
      </c>
      <c r="J675" s="376" t="s">
        <v>1171</v>
      </c>
      <c r="K675" s="376" t="s">
        <v>1503</v>
      </c>
      <c r="L675" s="377">
        <f t="shared" si="46"/>
        <v>0</v>
      </c>
      <c r="M675" s="377">
        <f t="shared" si="47"/>
        <v>0</v>
      </c>
      <c r="N675" s="377">
        <f t="shared" si="48"/>
        <v>0</v>
      </c>
    </row>
    <row r="676" spans="1:14" s="2" customFormat="1" ht="12.75">
      <c r="A676" s="2" t="s">
        <v>1550</v>
      </c>
      <c r="B676" s="374" t="s">
        <v>1507</v>
      </c>
      <c r="C676" s="3">
        <v>405</v>
      </c>
      <c r="D676" s="381" t="s">
        <v>1490</v>
      </c>
      <c r="E676" s="378" t="s">
        <v>1500</v>
      </c>
      <c r="F676" s="374" t="s">
        <v>1173</v>
      </c>
      <c r="G676" s="374" t="s">
        <v>1492</v>
      </c>
      <c r="H676" s="375">
        <v>2</v>
      </c>
      <c r="I676" s="379">
        <f>1.8*0.8+0.85*2.1</f>
        <v>3.2250000000000001</v>
      </c>
      <c r="J676" s="376" t="s">
        <v>1171</v>
      </c>
      <c r="K676" s="376" t="s">
        <v>1508</v>
      </c>
      <c r="L676" s="377">
        <f t="shared" si="46"/>
        <v>0</v>
      </c>
      <c r="M676" s="377">
        <f t="shared" si="47"/>
        <v>0</v>
      </c>
      <c r="N676" s="377">
        <f t="shared" si="48"/>
        <v>0</v>
      </c>
    </row>
    <row r="677" spans="1:14" s="2" customFormat="1" ht="12.75">
      <c r="A677" s="2" t="s">
        <v>1550</v>
      </c>
      <c r="B677" s="374" t="s">
        <v>1507</v>
      </c>
      <c r="C677" s="3">
        <v>405</v>
      </c>
      <c r="D677" s="381" t="s">
        <v>1490</v>
      </c>
      <c r="E677" s="378" t="s">
        <v>1500</v>
      </c>
      <c r="F677" s="374" t="s">
        <v>1170</v>
      </c>
      <c r="G677" s="374" t="s">
        <v>1492</v>
      </c>
      <c r="H677" s="375">
        <v>2</v>
      </c>
      <c r="I677" s="379">
        <f>1.8*0.8+0.85*2.1</f>
        <v>3.2250000000000001</v>
      </c>
      <c r="J677" s="376" t="s">
        <v>1171</v>
      </c>
      <c r="K677" s="376"/>
      <c r="L677" s="377">
        <f t="shared" si="46"/>
        <v>0</v>
      </c>
      <c r="M677" s="377">
        <f t="shared" si="47"/>
        <v>0</v>
      </c>
      <c r="N677" s="377">
        <f t="shared" si="48"/>
        <v>0</v>
      </c>
    </row>
    <row r="678" spans="1:14" s="2" customFormat="1" ht="12.75">
      <c r="A678" s="2" t="s">
        <v>1550</v>
      </c>
      <c r="B678" s="374" t="s">
        <v>1507</v>
      </c>
      <c r="C678" s="3">
        <v>405</v>
      </c>
      <c r="D678" s="381" t="s">
        <v>1490</v>
      </c>
      <c r="E678" s="378" t="s">
        <v>1502</v>
      </c>
      <c r="F678" s="374" t="s">
        <v>1173</v>
      </c>
      <c r="G678" s="374" t="s">
        <v>1496</v>
      </c>
      <c r="H678" s="375">
        <v>2</v>
      </c>
      <c r="I678" s="379">
        <f>2*0.9*3</f>
        <v>5.4</v>
      </c>
      <c r="J678" s="376" t="s">
        <v>1171</v>
      </c>
      <c r="K678" s="376"/>
      <c r="L678" s="377">
        <f t="shared" si="46"/>
        <v>0</v>
      </c>
      <c r="M678" s="377">
        <f t="shared" si="47"/>
        <v>0</v>
      </c>
      <c r="N678" s="377">
        <f t="shared" si="48"/>
        <v>0</v>
      </c>
    </row>
    <row r="679" spans="1:14" s="2" customFormat="1" ht="12.75">
      <c r="A679" s="2" t="s">
        <v>1550</v>
      </c>
      <c r="B679" s="374" t="s">
        <v>1507</v>
      </c>
      <c r="C679" s="3">
        <v>405</v>
      </c>
      <c r="D679" s="381" t="s">
        <v>1490</v>
      </c>
      <c r="E679" s="378" t="s">
        <v>1502</v>
      </c>
      <c r="F679" s="374" t="s">
        <v>1170</v>
      </c>
      <c r="G679" s="374" t="s">
        <v>1496</v>
      </c>
      <c r="H679" s="375">
        <v>2</v>
      </c>
      <c r="I679" s="379">
        <f>2*0.9*3</f>
        <v>5.4</v>
      </c>
      <c r="J679" s="376" t="s">
        <v>1171</v>
      </c>
      <c r="K679" s="376" t="s">
        <v>1509</v>
      </c>
      <c r="L679" s="377">
        <f t="shared" si="46"/>
        <v>0</v>
      </c>
      <c r="M679" s="377">
        <f t="shared" si="47"/>
        <v>0</v>
      </c>
      <c r="N679" s="377">
        <f t="shared" si="48"/>
        <v>0</v>
      </c>
    </row>
    <row r="680" spans="1:14" s="2" customFormat="1" ht="12.75">
      <c r="A680" s="2" t="s">
        <v>1550</v>
      </c>
      <c r="B680" s="374" t="s">
        <v>1507</v>
      </c>
      <c r="C680" s="3">
        <v>405</v>
      </c>
      <c r="D680" s="381" t="s">
        <v>1490</v>
      </c>
      <c r="E680" s="378" t="s">
        <v>1504</v>
      </c>
      <c r="F680" s="374" t="s">
        <v>1173</v>
      </c>
      <c r="G680" s="374" t="s">
        <v>1498</v>
      </c>
      <c r="H680" s="375">
        <v>2</v>
      </c>
      <c r="I680" s="379">
        <f>2*0.9*3</f>
        <v>5.4</v>
      </c>
      <c r="J680" s="376" t="s">
        <v>1171</v>
      </c>
      <c r="K680" s="376"/>
      <c r="L680" s="377">
        <f t="shared" si="46"/>
        <v>0</v>
      </c>
      <c r="M680" s="377">
        <f t="shared" si="47"/>
        <v>0</v>
      </c>
      <c r="N680" s="377">
        <f t="shared" si="48"/>
        <v>0</v>
      </c>
    </row>
    <row r="681" spans="1:14" s="2" customFormat="1" ht="12.75">
      <c r="A681" s="2" t="s">
        <v>1550</v>
      </c>
      <c r="B681" s="374" t="s">
        <v>1507</v>
      </c>
      <c r="C681" s="3">
        <v>405</v>
      </c>
      <c r="D681" s="381" t="s">
        <v>1490</v>
      </c>
      <c r="E681" s="378" t="s">
        <v>1504</v>
      </c>
      <c r="F681" s="374" t="s">
        <v>1170</v>
      </c>
      <c r="G681" s="374" t="s">
        <v>1498</v>
      </c>
      <c r="H681" s="375">
        <v>2</v>
      </c>
      <c r="I681" s="379">
        <f>2*0.9*3</f>
        <v>5.4</v>
      </c>
      <c r="J681" s="376" t="s">
        <v>1171</v>
      </c>
      <c r="K681" s="376"/>
      <c r="L681" s="377">
        <f t="shared" si="46"/>
        <v>0</v>
      </c>
      <c r="M681" s="377">
        <f t="shared" si="47"/>
        <v>0</v>
      </c>
      <c r="N681" s="377">
        <f t="shared" si="48"/>
        <v>0</v>
      </c>
    </row>
    <row r="682" spans="1:14" s="2" customFormat="1" ht="12.75">
      <c r="A682" s="2" t="s">
        <v>1551</v>
      </c>
      <c r="B682" s="374" t="s">
        <v>1510</v>
      </c>
      <c r="C682" s="3">
        <v>406</v>
      </c>
      <c r="D682" s="381" t="s">
        <v>1490</v>
      </c>
      <c r="E682" s="378" t="s">
        <v>1500</v>
      </c>
      <c r="F682" s="374" t="s">
        <v>1173</v>
      </c>
      <c r="G682" s="374" t="s">
        <v>1492</v>
      </c>
      <c r="H682" s="375">
        <v>2</v>
      </c>
      <c r="I682" s="379">
        <f>1.8*0.8+0.85*2.1</f>
        <v>3.2250000000000001</v>
      </c>
      <c r="J682" s="376" t="s">
        <v>1171</v>
      </c>
      <c r="K682" s="376" t="s">
        <v>1511</v>
      </c>
      <c r="L682" s="377">
        <f t="shared" si="46"/>
        <v>0</v>
      </c>
      <c r="M682" s="377">
        <f t="shared" si="47"/>
        <v>0</v>
      </c>
      <c r="N682" s="377">
        <f t="shared" si="48"/>
        <v>0</v>
      </c>
    </row>
    <row r="683" spans="1:14" s="2" customFormat="1" ht="12.75">
      <c r="A683" s="2" t="s">
        <v>1551</v>
      </c>
      <c r="B683" s="374" t="s">
        <v>1510</v>
      </c>
      <c r="C683" s="3">
        <v>406</v>
      </c>
      <c r="D683" s="381" t="s">
        <v>1490</v>
      </c>
      <c r="E683" s="378" t="s">
        <v>1500</v>
      </c>
      <c r="F683" s="374" t="s">
        <v>1170</v>
      </c>
      <c r="G683" s="374" t="s">
        <v>1492</v>
      </c>
      <c r="H683" s="375">
        <v>2</v>
      </c>
      <c r="I683" s="379">
        <f>1.8*0.8</f>
        <v>1.4400000000000002</v>
      </c>
      <c r="J683" s="376" t="s">
        <v>1171</v>
      </c>
      <c r="K683" s="376"/>
      <c r="L683" s="377">
        <f t="shared" si="46"/>
        <v>0</v>
      </c>
      <c r="M683" s="377">
        <f t="shared" si="47"/>
        <v>0</v>
      </c>
      <c r="N683" s="377">
        <f t="shared" si="48"/>
        <v>0</v>
      </c>
    </row>
    <row r="684" spans="1:14" s="2" customFormat="1" ht="12.75">
      <c r="A684" s="2" t="s">
        <v>1551</v>
      </c>
      <c r="B684" s="374" t="s">
        <v>1510</v>
      </c>
      <c r="C684" s="3">
        <v>406</v>
      </c>
      <c r="D684" s="381" t="s">
        <v>1490</v>
      </c>
      <c r="E684" s="378" t="s">
        <v>1502</v>
      </c>
      <c r="F684" s="374" t="s">
        <v>1173</v>
      </c>
      <c r="G684" s="374" t="s">
        <v>1496</v>
      </c>
      <c r="H684" s="375">
        <v>2</v>
      </c>
      <c r="I684" s="379">
        <f>2*0.9*2.1</f>
        <v>3.7800000000000002</v>
      </c>
      <c r="J684" s="376" t="s">
        <v>1171</v>
      </c>
      <c r="K684" s="376"/>
      <c r="L684" s="377">
        <f t="shared" si="46"/>
        <v>0</v>
      </c>
      <c r="M684" s="377">
        <f t="shared" si="47"/>
        <v>0</v>
      </c>
      <c r="N684" s="377">
        <f t="shared" si="48"/>
        <v>0</v>
      </c>
    </row>
    <row r="685" spans="1:14" s="2" customFormat="1" ht="12.75">
      <c r="A685" s="2" t="s">
        <v>1551</v>
      </c>
      <c r="B685" s="374" t="s">
        <v>1510</v>
      </c>
      <c r="C685" s="3">
        <v>406</v>
      </c>
      <c r="D685" s="381" t="s">
        <v>1490</v>
      </c>
      <c r="E685" s="378" t="s">
        <v>1504</v>
      </c>
      <c r="F685" s="374" t="s">
        <v>1173</v>
      </c>
      <c r="G685" s="374" t="s">
        <v>1498</v>
      </c>
      <c r="H685" s="375">
        <v>2</v>
      </c>
      <c r="I685" s="379">
        <f>1*0.9*0.9+2*0.9*2.1</f>
        <v>4.59</v>
      </c>
      <c r="J685" s="376" t="s">
        <v>1171</v>
      </c>
      <c r="K685" s="376"/>
      <c r="L685" s="377">
        <f t="shared" si="46"/>
        <v>0</v>
      </c>
      <c r="M685" s="377">
        <f t="shared" si="47"/>
        <v>0</v>
      </c>
      <c r="N685" s="377">
        <f t="shared" si="48"/>
        <v>0</v>
      </c>
    </row>
    <row r="686" spans="1:14" s="2" customFormat="1" ht="12.75">
      <c r="A686" s="2" t="s">
        <v>1551</v>
      </c>
      <c r="B686" s="374" t="s">
        <v>1510</v>
      </c>
      <c r="C686" s="3">
        <v>406</v>
      </c>
      <c r="D686" s="381" t="s">
        <v>1490</v>
      </c>
      <c r="E686" s="378" t="s">
        <v>1504</v>
      </c>
      <c r="F686" s="374" t="s">
        <v>1170</v>
      </c>
      <c r="G686" s="374" t="s">
        <v>1498</v>
      </c>
      <c r="H686" s="375">
        <v>2</v>
      </c>
      <c r="I686" s="379">
        <f>1*0.9*0.9</f>
        <v>0.81</v>
      </c>
      <c r="J686" s="376" t="s">
        <v>1171</v>
      </c>
      <c r="K686" s="376"/>
      <c r="L686" s="377">
        <f t="shared" si="46"/>
        <v>0</v>
      </c>
      <c r="M686" s="377">
        <f t="shared" si="47"/>
        <v>0</v>
      </c>
      <c r="N686" s="377">
        <f t="shared" si="48"/>
        <v>0</v>
      </c>
    </row>
    <row r="687" spans="1:14" s="2" customFormat="1" ht="12.75">
      <c r="A687" s="2" t="s">
        <v>1552</v>
      </c>
      <c r="B687" s="374" t="s">
        <v>1512</v>
      </c>
      <c r="C687" s="3">
        <v>407</v>
      </c>
      <c r="D687" s="381" t="s">
        <v>1490</v>
      </c>
      <c r="E687" s="378" t="s">
        <v>1500</v>
      </c>
      <c r="F687" s="374" t="s">
        <v>1173</v>
      </c>
      <c r="G687" s="374" t="s">
        <v>1492</v>
      </c>
      <c r="H687" s="375">
        <v>2</v>
      </c>
      <c r="I687" s="379">
        <f>1.8*0.8+0.85*2.1</f>
        <v>3.2250000000000001</v>
      </c>
      <c r="J687" s="376" t="s">
        <v>1171</v>
      </c>
      <c r="K687" s="376" t="s">
        <v>1513</v>
      </c>
      <c r="L687" s="377">
        <f t="shared" si="46"/>
        <v>0</v>
      </c>
      <c r="M687" s="377">
        <f t="shared" si="47"/>
        <v>0</v>
      </c>
      <c r="N687" s="377">
        <f t="shared" si="48"/>
        <v>0</v>
      </c>
    </row>
    <row r="688" spans="1:14" s="2" customFormat="1" ht="12.75">
      <c r="A688" s="2" t="s">
        <v>1552</v>
      </c>
      <c r="B688" s="374" t="s">
        <v>1512</v>
      </c>
      <c r="C688" s="3">
        <v>407</v>
      </c>
      <c r="D688" s="381" t="s">
        <v>1490</v>
      </c>
      <c r="E688" s="378" t="s">
        <v>1500</v>
      </c>
      <c r="F688" s="374" t="s">
        <v>1170</v>
      </c>
      <c r="G688" s="374" t="s">
        <v>1492</v>
      </c>
      <c r="H688" s="375">
        <v>2</v>
      </c>
      <c r="I688" s="379">
        <f>1.8*0.8+0.85*2.1</f>
        <v>3.2250000000000001</v>
      </c>
      <c r="J688" s="376" t="s">
        <v>1171</v>
      </c>
      <c r="K688" s="376" t="s">
        <v>1514</v>
      </c>
      <c r="L688" s="377">
        <f t="shared" si="46"/>
        <v>0</v>
      </c>
      <c r="M688" s="377">
        <f t="shared" si="47"/>
        <v>0</v>
      </c>
      <c r="N688" s="377">
        <f t="shared" si="48"/>
        <v>0</v>
      </c>
    </row>
    <row r="689" spans="1:14" s="2" customFormat="1" ht="12.75">
      <c r="A689" s="2" t="s">
        <v>1552</v>
      </c>
      <c r="B689" s="374" t="s">
        <v>1512</v>
      </c>
      <c r="C689" s="3">
        <v>407</v>
      </c>
      <c r="D689" s="381" t="s">
        <v>1490</v>
      </c>
      <c r="E689" s="378" t="s">
        <v>1502</v>
      </c>
      <c r="F689" s="374" t="s">
        <v>1173</v>
      </c>
      <c r="G689" s="374" t="s">
        <v>1496</v>
      </c>
      <c r="H689" s="375">
        <v>2</v>
      </c>
      <c r="I689" s="379">
        <f>1*0.9*3+0.9*0.9+0.9*1</f>
        <v>4.41</v>
      </c>
      <c r="J689" s="376" t="s">
        <v>1171</v>
      </c>
      <c r="K689" s="376"/>
      <c r="L689" s="377">
        <f t="shared" si="46"/>
        <v>0</v>
      </c>
      <c r="M689" s="377">
        <f t="shared" si="47"/>
        <v>0</v>
      </c>
      <c r="N689" s="377">
        <f t="shared" si="48"/>
        <v>0</v>
      </c>
    </row>
    <row r="690" spans="1:14" s="2" customFormat="1" ht="12.75">
      <c r="A690" s="2" t="s">
        <v>1552</v>
      </c>
      <c r="B690" s="374" t="s">
        <v>1512</v>
      </c>
      <c r="C690" s="3">
        <v>407</v>
      </c>
      <c r="D690" s="381" t="s">
        <v>1490</v>
      </c>
      <c r="E690" s="378" t="s">
        <v>1502</v>
      </c>
      <c r="F690" s="374" t="s">
        <v>1170</v>
      </c>
      <c r="G690" s="374" t="s">
        <v>1496</v>
      </c>
      <c r="H690" s="375">
        <v>2</v>
      </c>
      <c r="I690" s="379">
        <f>1*0.9*3+0.9*0.9</f>
        <v>3.5100000000000002</v>
      </c>
      <c r="J690" s="376" t="s">
        <v>1171</v>
      </c>
      <c r="K690" s="376" t="s">
        <v>1514</v>
      </c>
      <c r="L690" s="377">
        <f t="shared" si="46"/>
        <v>0</v>
      </c>
      <c r="M690" s="377">
        <f t="shared" si="47"/>
        <v>0</v>
      </c>
      <c r="N690" s="377">
        <f t="shared" si="48"/>
        <v>0</v>
      </c>
    </row>
    <row r="691" spans="1:14" s="2" customFormat="1" ht="12.75">
      <c r="A691" s="2" t="s">
        <v>1552</v>
      </c>
      <c r="B691" s="374" t="s">
        <v>1512</v>
      </c>
      <c r="C691" s="3">
        <v>407</v>
      </c>
      <c r="D691" s="381" t="s">
        <v>1490</v>
      </c>
      <c r="E691" s="378" t="s">
        <v>1504</v>
      </c>
      <c r="F691" s="374" t="s">
        <v>1173</v>
      </c>
      <c r="G691" s="374" t="s">
        <v>1498</v>
      </c>
      <c r="H691" s="375">
        <v>2</v>
      </c>
      <c r="I691" s="379">
        <f>2*0.9*3</f>
        <v>5.4</v>
      </c>
      <c r="J691" s="376" t="s">
        <v>1171</v>
      </c>
      <c r="K691" s="376"/>
      <c r="L691" s="377">
        <f t="shared" si="46"/>
        <v>0</v>
      </c>
      <c r="M691" s="377">
        <f t="shared" si="47"/>
        <v>0</v>
      </c>
      <c r="N691" s="377">
        <f t="shared" si="48"/>
        <v>0</v>
      </c>
    </row>
    <row r="692" spans="1:14" s="2" customFormat="1" ht="12.75">
      <c r="A692" s="2" t="s">
        <v>1552</v>
      </c>
      <c r="B692" s="374" t="s">
        <v>1512</v>
      </c>
      <c r="C692" s="3">
        <v>407</v>
      </c>
      <c r="D692" s="381" t="s">
        <v>1490</v>
      </c>
      <c r="E692" s="378" t="s">
        <v>1504</v>
      </c>
      <c r="F692" s="374" t="s">
        <v>1170</v>
      </c>
      <c r="G692" s="374" t="s">
        <v>1498</v>
      </c>
      <c r="H692" s="375">
        <v>2</v>
      </c>
      <c r="I692" s="379">
        <f>2*0.9*3</f>
        <v>5.4</v>
      </c>
      <c r="J692" s="376" t="s">
        <v>1171</v>
      </c>
      <c r="K692" s="376" t="s">
        <v>1503</v>
      </c>
      <c r="L692" s="377">
        <f t="shared" si="46"/>
        <v>0</v>
      </c>
      <c r="M692" s="377">
        <f t="shared" si="47"/>
        <v>0</v>
      </c>
      <c r="N692" s="377">
        <f t="shared" si="48"/>
        <v>0</v>
      </c>
    </row>
    <row r="693" spans="1:14" s="2" customFormat="1" ht="12.75">
      <c r="A693" s="2" t="s">
        <v>1553</v>
      </c>
      <c r="B693" s="374" t="s">
        <v>1515</v>
      </c>
      <c r="C693" s="3">
        <v>408</v>
      </c>
      <c r="D693" s="381" t="s">
        <v>1490</v>
      </c>
      <c r="E693" s="378" t="s">
        <v>1500</v>
      </c>
      <c r="F693" s="374" t="s">
        <v>1173</v>
      </c>
      <c r="G693" s="374" t="s">
        <v>1492</v>
      </c>
      <c r="H693" s="375">
        <v>2</v>
      </c>
      <c r="I693" s="379">
        <f>1.8*0.8+0.85*2.1</f>
        <v>3.2250000000000001</v>
      </c>
      <c r="J693" s="376" t="s">
        <v>1171</v>
      </c>
      <c r="K693" s="376" t="s">
        <v>1516</v>
      </c>
      <c r="L693" s="377">
        <f t="shared" si="46"/>
        <v>0</v>
      </c>
      <c r="M693" s="377">
        <f t="shared" si="47"/>
        <v>0</v>
      </c>
      <c r="N693" s="377">
        <f t="shared" si="48"/>
        <v>0</v>
      </c>
    </row>
    <row r="694" spans="1:14" s="2" customFormat="1" ht="12.75">
      <c r="A694" s="2" t="s">
        <v>1553</v>
      </c>
      <c r="B694" s="374" t="s">
        <v>1515</v>
      </c>
      <c r="C694" s="3">
        <v>408</v>
      </c>
      <c r="D694" s="381" t="s">
        <v>1490</v>
      </c>
      <c r="E694" s="378" t="s">
        <v>1500</v>
      </c>
      <c r="F694" s="374" t="s">
        <v>1170</v>
      </c>
      <c r="G694" s="374" t="s">
        <v>1492</v>
      </c>
      <c r="H694" s="375">
        <v>2</v>
      </c>
      <c r="I694" s="379">
        <f>1.8*0.8</f>
        <v>1.4400000000000002</v>
      </c>
      <c r="J694" s="376" t="s">
        <v>1171</v>
      </c>
      <c r="K694" s="376" t="s">
        <v>1494</v>
      </c>
      <c r="L694" s="377">
        <f t="shared" si="46"/>
        <v>0</v>
      </c>
      <c r="M694" s="377">
        <f t="shared" si="47"/>
        <v>0</v>
      </c>
      <c r="N694" s="377">
        <f t="shared" si="48"/>
        <v>0</v>
      </c>
    </row>
    <row r="695" spans="1:14" s="2" customFormat="1" ht="12.75">
      <c r="A695" s="2" t="s">
        <v>1553</v>
      </c>
      <c r="B695" s="374" t="s">
        <v>1515</v>
      </c>
      <c r="C695" s="3">
        <v>408</v>
      </c>
      <c r="D695" s="381" t="s">
        <v>1490</v>
      </c>
      <c r="E695" s="378" t="s">
        <v>1502</v>
      </c>
      <c r="F695" s="374" t="s">
        <v>1173</v>
      </c>
      <c r="G695" s="374" t="s">
        <v>1496</v>
      </c>
      <c r="H695" s="375">
        <v>2</v>
      </c>
      <c r="I695" s="379">
        <f>2*0.9*0.9+2*0.9*2.1</f>
        <v>5.4</v>
      </c>
      <c r="J695" s="376" t="s">
        <v>1171</v>
      </c>
      <c r="K695" s="376" t="s">
        <v>1494</v>
      </c>
      <c r="L695" s="377">
        <f t="shared" si="46"/>
        <v>0</v>
      </c>
      <c r="M695" s="377">
        <f t="shared" si="47"/>
        <v>0</v>
      </c>
      <c r="N695" s="377">
        <f t="shared" si="48"/>
        <v>0</v>
      </c>
    </row>
    <row r="696" spans="1:14" s="2" customFormat="1" ht="12.75">
      <c r="A696" s="2" t="s">
        <v>1553</v>
      </c>
      <c r="B696" s="374" t="s">
        <v>1515</v>
      </c>
      <c r="C696" s="3">
        <v>408</v>
      </c>
      <c r="D696" s="381" t="s">
        <v>1490</v>
      </c>
      <c r="E696" s="378" t="s">
        <v>1502</v>
      </c>
      <c r="F696" s="374" t="s">
        <v>1170</v>
      </c>
      <c r="G696" s="374" t="s">
        <v>1496</v>
      </c>
      <c r="H696" s="375">
        <v>2</v>
      </c>
      <c r="I696" s="379">
        <f>2*0.9*0.9</f>
        <v>1.62</v>
      </c>
      <c r="J696" s="376" t="s">
        <v>1171</v>
      </c>
      <c r="K696" s="376" t="s">
        <v>1494</v>
      </c>
      <c r="L696" s="377">
        <f t="shared" si="46"/>
        <v>0</v>
      </c>
      <c r="M696" s="377">
        <f t="shared" si="47"/>
        <v>0</v>
      </c>
      <c r="N696" s="377">
        <f t="shared" si="48"/>
        <v>0</v>
      </c>
    </row>
    <row r="697" spans="1:14" s="2" customFormat="1" ht="12.75">
      <c r="A697" s="2" t="s">
        <v>1553</v>
      </c>
      <c r="B697" s="374" t="s">
        <v>1515</v>
      </c>
      <c r="C697" s="3">
        <v>408</v>
      </c>
      <c r="D697" s="381" t="s">
        <v>1490</v>
      </c>
      <c r="E697" s="378" t="s">
        <v>1504</v>
      </c>
      <c r="F697" s="374" t="s">
        <v>1173</v>
      </c>
      <c r="G697" s="374" t="s">
        <v>1498</v>
      </c>
      <c r="H697" s="375">
        <v>2</v>
      </c>
      <c r="I697" s="379">
        <f>0.9*1+0.9*2+0.9*0.9+0.9*2.1</f>
        <v>5.4</v>
      </c>
      <c r="J697" s="376" t="s">
        <v>1171</v>
      </c>
      <c r="K697" s="376" t="s">
        <v>1494</v>
      </c>
      <c r="L697" s="377">
        <f t="shared" si="46"/>
        <v>0</v>
      </c>
      <c r="M697" s="377">
        <f t="shared" si="47"/>
        <v>0</v>
      </c>
      <c r="N697" s="377">
        <f t="shared" si="48"/>
        <v>0</v>
      </c>
    </row>
    <row r="698" spans="1:14" s="2" customFormat="1" ht="12.75">
      <c r="A698" s="2" t="s">
        <v>1553</v>
      </c>
      <c r="B698" s="374" t="s">
        <v>1515</v>
      </c>
      <c r="C698" s="3">
        <v>408</v>
      </c>
      <c r="D698" s="381" t="s">
        <v>1490</v>
      </c>
      <c r="E698" s="378" t="s">
        <v>1504</v>
      </c>
      <c r="F698" s="374" t="s">
        <v>1170</v>
      </c>
      <c r="G698" s="374" t="s">
        <v>1498</v>
      </c>
      <c r="H698" s="375">
        <v>2</v>
      </c>
      <c r="I698" s="379">
        <f>0.9*2+0.9*0.9</f>
        <v>2.6100000000000003</v>
      </c>
      <c r="J698" s="376" t="s">
        <v>1171</v>
      </c>
      <c r="K698" s="376" t="s">
        <v>1494</v>
      </c>
      <c r="L698" s="377">
        <f t="shared" si="46"/>
        <v>0</v>
      </c>
      <c r="M698" s="377">
        <f t="shared" si="47"/>
        <v>0</v>
      </c>
      <c r="N698" s="377">
        <f t="shared" si="48"/>
        <v>0</v>
      </c>
    </row>
    <row r="699" spans="1:14">
      <c r="C699" s="154"/>
      <c r="D699" s="155"/>
      <c r="E699" s="156"/>
      <c r="F699" s="157"/>
      <c r="G699" s="158"/>
      <c r="H699" s="159"/>
    </row>
    <row r="700" spans="1:14">
      <c r="B700" s="460" t="s">
        <v>5</v>
      </c>
      <c r="C700" s="461"/>
      <c r="D700" s="462"/>
      <c r="E700" s="463"/>
      <c r="F700" s="464"/>
      <c r="G700" s="465"/>
      <c r="H700" s="466"/>
      <c r="I700" s="463"/>
      <c r="J700" s="463"/>
      <c r="K700" s="463"/>
      <c r="L700" s="463"/>
      <c r="M700" s="463"/>
      <c r="N700" s="459">
        <f>SUM(N13:N699)</f>
        <v>0</v>
      </c>
    </row>
    <row r="701" spans="1:14">
      <c r="C701" s="154"/>
      <c r="D701" s="155"/>
      <c r="E701" s="156"/>
      <c r="F701" s="157"/>
      <c r="G701" s="158"/>
      <c r="H701" s="159"/>
    </row>
    <row r="702" spans="1:14">
      <c r="C702" s="154"/>
      <c r="D702" s="155"/>
      <c r="E702" s="156"/>
      <c r="F702" s="157"/>
      <c r="G702" s="158"/>
      <c r="H702" s="159"/>
    </row>
    <row r="703" spans="1:14">
      <c r="C703" s="154"/>
      <c r="D703" s="155"/>
      <c r="E703" s="156"/>
      <c r="F703" s="157"/>
      <c r="G703" s="158"/>
      <c r="H703" s="159"/>
    </row>
    <row r="704" spans="1:14">
      <c r="C704" s="154"/>
      <c r="D704" s="155"/>
      <c r="E704" s="156"/>
      <c r="F704" s="157"/>
      <c r="G704" s="158"/>
      <c r="H704" s="159"/>
    </row>
    <row r="705" spans="3:8">
      <c r="C705" s="154"/>
      <c r="D705" s="155"/>
      <c r="E705" s="156"/>
      <c r="F705" s="157"/>
      <c r="G705" s="158"/>
      <c r="H705" s="159"/>
    </row>
    <row r="706" spans="3:8">
      <c r="C706" s="154"/>
      <c r="D706" s="155"/>
      <c r="E706" s="156"/>
      <c r="F706" s="157"/>
      <c r="G706" s="158"/>
      <c r="H706" s="159"/>
    </row>
    <row r="707" spans="3:8">
      <c r="C707" s="154"/>
      <c r="D707" s="155"/>
      <c r="E707" s="156"/>
      <c r="F707" s="157"/>
      <c r="G707" s="158"/>
      <c r="H707" s="159"/>
    </row>
    <row r="708" spans="3:8">
      <c r="C708" s="154"/>
      <c r="D708" s="155"/>
      <c r="E708" s="156"/>
      <c r="F708" s="157"/>
      <c r="G708" s="158"/>
      <c r="H708" s="159"/>
    </row>
    <row r="709" spans="3:8">
      <c r="C709" s="154"/>
      <c r="D709" s="155"/>
      <c r="E709" s="156"/>
      <c r="F709" s="157"/>
      <c r="G709" s="158"/>
      <c r="H709" s="159"/>
    </row>
    <row r="710" spans="3:8">
      <c r="C710" s="154"/>
      <c r="D710" s="155"/>
      <c r="E710" s="156"/>
      <c r="F710" s="157"/>
      <c r="G710" s="158"/>
      <c r="H710" s="159"/>
    </row>
    <row r="711" spans="3:8">
      <c r="C711" s="154"/>
      <c r="D711" s="155"/>
      <c r="E711" s="156"/>
      <c r="F711" s="157"/>
      <c r="G711" s="158"/>
      <c r="H711" s="159"/>
    </row>
    <row r="712" spans="3:8">
      <c r="C712" s="154"/>
      <c r="D712" s="155"/>
      <c r="E712" s="156"/>
      <c r="F712" s="157"/>
      <c r="G712" s="158"/>
      <c r="H712" s="159"/>
    </row>
    <row r="713" spans="3:8">
      <c r="C713" s="154"/>
      <c r="D713" s="155"/>
      <c r="E713" s="156"/>
      <c r="F713" s="157"/>
      <c r="G713" s="158"/>
      <c r="H713" s="159"/>
    </row>
    <row r="714" spans="3:8">
      <c r="C714" s="154"/>
      <c r="D714" s="155"/>
      <c r="E714" s="156"/>
      <c r="F714" s="157"/>
      <c r="G714" s="158"/>
      <c r="H714" s="159"/>
    </row>
    <row r="715" spans="3:8">
      <c r="C715" s="154"/>
      <c r="D715" s="155"/>
      <c r="E715" s="156"/>
      <c r="F715" s="157"/>
      <c r="G715" s="158"/>
      <c r="H715" s="159"/>
    </row>
    <row r="716" spans="3:8">
      <c r="C716" s="154"/>
      <c r="D716" s="155"/>
      <c r="E716" s="156"/>
      <c r="F716" s="157"/>
      <c r="G716" s="158"/>
      <c r="H716" s="159"/>
    </row>
    <row r="717" spans="3:8">
      <c r="C717" s="154"/>
      <c r="D717" s="155"/>
      <c r="E717" s="156"/>
      <c r="F717" s="157"/>
      <c r="G717" s="158"/>
      <c r="H717" s="159"/>
    </row>
    <row r="718" spans="3:8">
      <c r="C718" s="154"/>
      <c r="D718" s="155"/>
      <c r="E718" s="156"/>
      <c r="F718" s="157"/>
      <c r="G718" s="158"/>
      <c r="H718" s="159"/>
    </row>
    <row r="719" spans="3:8">
      <c r="C719" s="154"/>
      <c r="D719" s="155"/>
      <c r="E719" s="156"/>
      <c r="F719" s="157"/>
      <c r="G719" s="158"/>
      <c r="H719" s="159"/>
    </row>
    <row r="720" spans="3:8">
      <c r="C720" s="154"/>
      <c r="D720" s="155"/>
      <c r="E720" s="156"/>
      <c r="F720" s="157"/>
      <c r="G720" s="158"/>
      <c r="H720" s="159"/>
    </row>
    <row r="721" spans="3:8">
      <c r="C721" s="154"/>
      <c r="D721" s="155"/>
      <c r="E721" s="156"/>
      <c r="F721" s="157"/>
      <c r="G721" s="158"/>
      <c r="H721" s="159"/>
    </row>
    <row r="722" spans="3:8">
      <c r="C722" s="154"/>
      <c r="D722" s="155"/>
      <c r="E722" s="156"/>
      <c r="F722" s="157"/>
      <c r="G722" s="158"/>
      <c r="H722" s="159"/>
    </row>
    <row r="723" spans="3:8">
      <c r="C723" s="154"/>
      <c r="D723" s="155"/>
      <c r="E723" s="156"/>
      <c r="F723" s="157"/>
      <c r="G723" s="158"/>
      <c r="H723" s="159"/>
    </row>
    <row r="724" spans="3:8">
      <c r="C724" s="154"/>
      <c r="D724" s="155"/>
      <c r="E724" s="156"/>
      <c r="F724" s="157"/>
      <c r="G724" s="158"/>
      <c r="H724" s="159"/>
    </row>
    <row r="725" spans="3:8">
      <c r="C725" s="154"/>
      <c r="D725" s="155"/>
      <c r="E725" s="156"/>
      <c r="F725" s="157"/>
      <c r="G725" s="158"/>
      <c r="H725" s="159"/>
    </row>
    <row r="726" spans="3:8">
      <c r="C726" s="154"/>
      <c r="D726" s="155"/>
      <c r="E726" s="156"/>
      <c r="F726" s="157"/>
      <c r="G726" s="158"/>
      <c r="H726" s="159"/>
    </row>
    <row r="727" spans="3:8">
      <c r="C727" s="154"/>
      <c r="D727" s="155"/>
      <c r="E727" s="156"/>
      <c r="F727" s="157"/>
      <c r="G727" s="158"/>
      <c r="H727" s="159"/>
    </row>
    <row r="728" spans="3:8">
      <c r="C728" s="154"/>
      <c r="D728" s="155"/>
      <c r="E728" s="156"/>
      <c r="F728" s="157"/>
      <c r="G728" s="158"/>
      <c r="H728" s="159"/>
    </row>
    <row r="729" spans="3:8">
      <c r="C729" s="154"/>
      <c r="D729" s="155"/>
      <c r="E729" s="156"/>
      <c r="F729" s="157"/>
      <c r="G729" s="158"/>
      <c r="H729" s="159"/>
    </row>
    <row r="730" spans="3:8">
      <c r="C730" s="154"/>
      <c r="D730" s="155"/>
      <c r="E730" s="156"/>
      <c r="F730" s="157"/>
      <c r="G730" s="158"/>
      <c r="H730" s="159"/>
    </row>
    <row r="731" spans="3:8">
      <c r="C731" s="154"/>
      <c r="D731" s="155"/>
      <c r="E731" s="156"/>
      <c r="F731" s="157"/>
      <c r="G731" s="158"/>
      <c r="H731" s="159"/>
    </row>
    <row r="732" spans="3:8">
      <c r="C732" s="154"/>
      <c r="D732" s="155"/>
      <c r="E732" s="156"/>
      <c r="F732" s="157"/>
      <c r="G732" s="158"/>
      <c r="H732" s="159"/>
    </row>
    <row r="733" spans="3:8">
      <c r="C733" s="154"/>
      <c r="D733" s="155"/>
      <c r="E733" s="156"/>
      <c r="F733" s="157"/>
      <c r="G733" s="158"/>
      <c r="H733" s="159"/>
    </row>
    <row r="734" spans="3:8">
      <c r="C734" s="154"/>
      <c r="D734" s="155"/>
      <c r="E734" s="156"/>
      <c r="F734" s="157"/>
      <c r="G734" s="158"/>
      <c r="H734" s="159"/>
    </row>
    <row r="735" spans="3:8">
      <c r="C735" s="154"/>
      <c r="D735" s="155"/>
      <c r="E735" s="156"/>
      <c r="F735" s="157"/>
      <c r="G735" s="158"/>
      <c r="H735" s="159"/>
    </row>
    <row r="736" spans="3:8">
      <c r="C736" s="154"/>
      <c r="D736" s="155"/>
      <c r="E736" s="156"/>
      <c r="F736" s="157"/>
      <c r="G736" s="158"/>
      <c r="H736" s="159"/>
    </row>
    <row r="737" spans="3:8">
      <c r="C737" s="154"/>
      <c r="D737" s="155"/>
      <c r="E737" s="156"/>
      <c r="F737" s="157"/>
      <c r="G737" s="158"/>
      <c r="H737" s="159"/>
    </row>
    <row r="738" spans="3:8">
      <c r="C738" s="154"/>
      <c r="D738" s="155"/>
      <c r="E738" s="156"/>
      <c r="F738" s="157"/>
      <c r="G738" s="158"/>
      <c r="H738" s="159"/>
    </row>
    <row r="739" spans="3:8">
      <c r="C739" s="154"/>
      <c r="D739" s="155"/>
      <c r="E739" s="156"/>
      <c r="F739" s="157"/>
      <c r="G739" s="158"/>
      <c r="H739" s="159"/>
    </row>
    <row r="740" spans="3:8">
      <c r="C740" s="154"/>
      <c r="D740" s="155"/>
      <c r="E740" s="156"/>
      <c r="F740" s="157"/>
      <c r="G740" s="158"/>
      <c r="H740" s="159"/>
    </row>
    <row r="741" spans="3:8">
      <c r="C741" s="154"/>
      <c r="D741" s="155"/>
      <c r="E741" s="156"/>
      <c r="F741" s="157"/>
      <c r="G741" s="158"/>
      <c r="H741" s="159"/>
    </row>
    <row r="742" spans="3:8">
      <c r="C742" s="154"/>
      <c r="D742" s="155"/>
      <c r="E742" s="156"/>
      <c r="F742" s="157"/>
      <c r="G742" s="158"/>
      <c r="H742" s="159"/>
    </row>
    <row r="743" spans="3:8">
      <c r="C743" s="154"/>
      <c r="D743" s="155"/>
      <c r="E743" s="156"/>
      <c r="F743" s="157"/>
      <c r="G743" s="158"/>
      <c r="H743" s="159"/>
    </row>
    <row r="744" spans="3:8">
      <c r="C744" s="154"/>
      <c r="D744" s="155"/>
      <c r="E744" s="156"/>
      <c r="F744" s="157"/>
      <c r="G744" s="158"/>
      <c r="H744" s="159"/>
    </row>
    <row r="745" spans="3:8">
      <c r="C745" s="154"/>
      <c r="D745" s="155"/>
      <c r="E745" s="156"/>
      <c r="F745" s="157"/>
      <c r="G745" s="158"/>
      <c r="H745" s="159"/>
    </row>
    <row r="746" spans="3:8">
      <c r="C746" s="154"/>
      <c r="D746" s="155"/>
      <c r="E746" s="156"/>
      <c r="F746" s="157"/>
      <c r="G746" s="158"/>
      <c r="H746" s="159"/>
    </row>
    <row r="747" spans="3:8">
      <c r="C747" s="154"/>
      <c r="D747" s="155"/>
      <c r="E747" s="156"/>
      <c r="F747" s="157"/>
      <c r="G747" s="158"/>
      <c r="H747" s="159"/>
    </row>
    <row r="748" spans="3:8">
      <c r="C748" s="154"/>
      <c r="D748" s="155"/>
      <c r="E748" s="156"/>
      <c r="F748" s="157"/>
      <c r="G748" s="158"/>
      <c r="H748" s="159"/>
    </row>
    <row r="749" spans="3:8">
      <c r="C749" s="154"/>
      <c r="D749" s="155"/>
      <c r="E749" s="156"/>
      <c r="F749" s="157"/>
      <c r="G749" s="158"/>
      <c r="H749" s="159"/>
    </row>
    <row r="750" spans="3:8">
      <c r="C750" s="154"/>
      <c r="D750" s="155"/>
      <c r="E750" s="156"/>
      <c r="F750" s="157"/>
      <c r="G750" s="158"/>
      <c r="H750" s="159"/>
    </row>
    <row r="751" spans="3:8">
      <c r="C751" s="154"/>
      <c r="D751" s="155"/>
      <c r="E751" s="156"/>
      <c r="F751" s="157"/>
      <c r="G751" s="158"/>
      <c r="H751" s="159"/>
    </row>
    <row r="752" spans="3:8">
      <c r="C752" s="154"/>
      <c r="D752" s="155"/>
      <c r="E752" s="156"/>
      <c r="F752" s="157"/>
      <c r="G752" s="158"/>
      <c r="H752" s="159"/>
    </row>
    <row r="753" spans="3:8">
      <c r="C753" s="154"/>
      <c r="D753" s="155"/>
      <c r="E753" s="156"/>
      <c r="F753" s="157"/>
      <c r="G753" s="158"/>
      <c r="H753" s="159"/>
    </row>
    <row r="754" spans="3:8">
      <c r="C754" s="154"/>
      <c r="D754" s="155"/>
      <c r="E754" s="156"/>
      <c r="F754" s="157"/>
      <c r="G754" s="158"/>
      <c r="H754" s="159"/>
    </row>
    <row r="755" spans="3:8">
      <c r="C755" s="154"/>
      <c r="D755" s="155"/>
      <c r="E755" s="156"/>
      <c r="F755" s="157"/>
      <c r="G755" s="158"/>
      <c r="H755" s="159"/>
    </row>
    <row r="756" spans="3:8">
      <c r="C756" s="154"/>
      <c r="D756" s="155"/>
      <c r="E756" s="156"/>
      <c r="F756" s="157"/>
      <c r="G756" s="158"/>
      <c r="H756" s="159"/>
    </row>
    <row r="757" spans="3:8">
      <c r="C757" s="154"/>
      <c r="D757" s="155"/>
      <c r="E757" s="156"/>
      <c r="F757" s="157"/>
      <c r="G757" s="158"/>
      <c r="H757" s="159"/>
    </row>
    <row r="758" spans="3:8">
      <c r="C758" s="154"/>
      <c r="D758" s="155"/>
      <c r="E758" s="156"/>
      <c r="F758" s="157"/>
      <c r="G758" s="158"/>
      <c r="H758" s="159"/>
    </row>
    <row r="759" spans="3:8">
      <c r="C759" s="154"/>
      <c r="D759" s="155"/>
      <c r="E759" s="156"/>
      <c r="F759" s="157"/>
      <c r="G759" s="158"/>
      <c r="H759" s="159"/>
    </row>
    <row r="760" spans="3:8">
      <c r="C760" s="154"/>
      <c r="D760" s="155"/>
      <c r="E760" s="156"/>
      <c r="F760" s="157"/>
      <c r="G760" s="158"/>
      <c r="H760" s="159"/>
    </row>
    <row r="761" spans="3:8">
      <c r="C761" s="154"/>
      <c r="D761" s="155"/>
      <c r="E761" s="156"/>
      <c r="F761" s="157"/>
      <c r="G761" s="158"/>
      <c r="H761" s="159"/>
    </row>
    <row r="762" spans="3:8">
      <c r="C762" s="154"/>
      <c r="D762" s="155"/>
      <c r="E762" s="156"/>
      <c r="F762" s="157"/>
      <c r="G762" s="158"/>
      <c r="H762" s="159"/>
    </row>
    <row r="763" spans="3:8">
      <c r="C763" s="154"/>
      <c r="D763" s="155"/>
      <c r="E763" s="156"/>
      <c r="F763" s="157"/>
      <c r="G763" s="158"/>
      <c r="H763" s="159"/>
    </row>
    <row r="764" spans="3:8">
      <c r="C764" s="154"/>
      <c r="D764" s="155"/>
      <c r="E764" s="156"/>
      <c r="F764" s="157"/>
      <c r="G764" s="158"/>
      <c r="H764" s="159"/>
    </row>
    <row r="765" spans="3:8">
      <c r="C765" s="154"/>
      <c r="D765" s="155"/>
      <c r="E765" s="156"/>
      <c r="F765" s="157"/>
      <c r="G765" s="158"/>
      <c r="H765" s="159"/>
    </row>
    <row r="766" spans="3:8">
      <c r="C766" s="154"/>
      <c r="D766" s="155"/>
      <c r="E766" s="156"/>
      <c r="F766" s="157"/>
      <c r="G766" s="158"/>
      <c r="H766" s="159"/>
    </row>
    <row r="767" spans="3:8">
      <c r="C767" s="154"/>
      <c r="D767" s="155"/>
      <c r="E767" s="156"/>
      <c r="F767" s="157"/>
      <c r="G767" s="158"/>
      <c r="H767" s="159"/>
    </row>
    <row r="768" spans="3:8">
      <c r="C768" s="154"/>
      <c r="D768" s="155"/>
      <c r="E768" s="156"/>
      <c r="F768" s="157"/>
      <c r="G768" s="158"/>
      <c r="H768" s="159"/>
    </row>
    <row r="769" spans="3:8">
      <c r="C769" s="154"/>
      <c r="D769" s="155"/>
      <c r="E769" s="156"/>
      <c r="F769" s="157"/>
      <c r="G769" s="158"/>
      <c r="H769" s="159"/>
    </row>
    <row r="770" spans="3:8">
      <c r="C770" s="154"/>
      <c r="D770" s="155"/>
      <c r="E770" s="156"/>
      <c r="F770" s="157"/>
      <c r="G770" s="158"/>
      <c r="H770" s="159"/>
    </row>
    <row r="771" spans="3:8">
      <c r="C771" s="154"/>
      <c r="D771" s="155"/>
      <c r="E771" s="156"/>
      <c r="F771" s="157"/>
      <c r="G771" s="158"/>
      <c r="H771" s="159"/>
    </row>
    <row r="772" spans="3:8">
      <c r="C772" s="154"/>
      <c r="D772" s="155"/>
      <c r="E772" s="156"/>
      <c r="F772" s="157"/>
      <c r="G772" s="158"/>
      <c r="H772" s="159"/>
    </row>
    <row r="773" spans="3:8">
      <c r="C773" s="154"/>
      <c r="D773" s="155"/>
      <c r="E773" s="156"/>
      <c r="F773" s="157"/>
      <c r="G773" s="158"/>
      <c r="H773" s="159"/>
    </row>
    <row r="774" spans="3:8">
      <c r="C774" s="154"/>
      <c r="D774" s="155"/>
      <c r="E774" s="156"/>
      <c r="F774" s="157"/>
      <c r="G774" s="158"/>
      <c r="H774" s="159"/>
    </row>
    <row r="775" spans="3:8">
      <c r="C775" s="154"/>
      <c r="D775" s="155"/>
      <c r="E775" s="156"/>
      <c r="F775" s="157"/>
      <c r="G775" s="158"/>
      <c r="H775" s="159"/>
    </row>
    <row r="776" spans="3:8">
      <c r="C776" s="154"/>
      <c r="D776" s="155"/>
      <c r="E776" s="156"/>
      <c r="F776" s="157"/>
      <c r="G776" s="158"/>
      <c r="H776" s="159"/>
    </row>
    <row r="777" spans="3:8">
      <c r="C777" s="154"/>
      <c r="D777" s="155"/>
      <c r="E777" s="156"/>
      <c r="F777" s="157"/>
      <c r="G777" s="158"/>
      <c r="H777" s="159"/>
    </row>
    <row r="778" spans="3:8">
      <c r="C778" s="154"/>
      <c r="D778" s="155"/>
      <c r="E778" s="156"/>
      <c r="F778" s="157"/>
      <c r="G778" s="158"/>
      <c r="H778" s="159"/>
    </row>
    <row r="779" spans="3:8">
      <c r="C779" s="154"/>
      <c r="D779" s="155"/>
      <c r="E779" s="156"/>
      <c r="F779" s="157"/>
      <c r="G779" s="158"/>
      <c r="H779" s="159"/>
    </row>
    <row r="780" spans="3:8">
      <c r="C780" s="154"/>
      <c r="D780" s="155"/>
      <c r="E780" s="156"/>
      <c r="F780" s="157"/>
      <c r="G780" s="158"/>
      <c r="H780" s="159"/>
    </row>
    <row r="781" spans="3:8">
      <c r="C781" s="154"/>
      <c r="D781" s="155"/>
      <c r="E781" s="156"/>
      <c r="F781" s="157"/>
      <c r="G781" s="158"/>
      <c r="H781" s="159"/>
    </row>
    <row r="782" spans="3:8">
      <c r="C782" s="154"/>
      <c r="D782" s="155"/>
      <c r="E782" s="156"/>
      <c r="F782" s="157"/>
      <c r="G782" s="158"/>
      <c r="H782" s="159"/>
    </row>
    <row r="783" spans="3:8">
      <c r="C783" s="154"/>
      <c r="D783" s="155"/>
      <c r="E783" s="156"/>
      <c r="F783" s="157"/>
      <c r="G783" s="158"/>
      <c r="H783" s="159"/>
    </row>
    <row r="784" spans="3:8">
      <c r="C784" s="154"/>
      <c r="D784" s="155"/>
      <c r="E784" s="156"/>
      <c r="F784" s="157"/>
      <c r="G784" s="158"/>
      <c r="H784" s="159"/>
    </row>
    <row r="785" spans="3:8">
      <c r="C785" s="154"/>
      <c r="D785" s="155"/>
      <c r="E785" s="156"/>
      <c r="F785" s="157"/>
      <c r="G785" s="158"/>
      <c r="H785" s="159"/>
    </row>
    <row r="786" spans="3:8">
      <c r="C786" s="154"/>
      <c r="D786" s="155"/>
      <c r="E786" s="156"/>
      <c r="F786" s="157"/>
      <c r="G786" s="158"/>
      <c r="H786" s="159"/>
    </row>
    <row r="787" spans="3:8">
      <c r="C787" s="154"/>
      <c r="D787" s="155"/>
      <c r="E787" s="156"/>
      <c r="F787" s="157"/>
      <c r="G787" s="158"/>
      <c r="H787" s="159"/>
    </row>
    <row r="788" spans="3:8">
      <c r="C788" s="154"/>
      <c r="D788" s="155"/>
      <c r="E788" s="156"/>
      <c r="F788" s="157"/>
      <c r="G788" s="158"/>
      <c r="H788" s="159"/>
    </row>
    <row r="789" spans="3:8">
      <c r="C789" s="154"/>
      <c r="D789" s="155"/>
      <c r="E789" s="156"/>
      <c r="F789" s="157"/>
      <c r="G789" s="158"/>
      <c r="H789" s="159"/>
    </row>
    <row r="790" spans="3:8">
      <c r="C790" s="154"/>
      <c r="D790" s="155"/>
      <c r="E790" s="156"/>
      <c r="F790" s="157"/>
      <c r="G790" s="158"/>
      <c r="H790" s="159"/>
    </row>
    <row r="791" spans="3:8">
      <c r="C791" s="154"/>
      <c r="D791" s="155"/>
      <c r="E791" s="156"/>
      <c r="F791" s="157"/>
      <c r="G791" s="158"/>
      <c r="H791" s="159"/>
    </row>
    <row r="792" spans="3:8">
      <c r="C792" s="154"/>
      <c r="D792" s="155"/>
      <c r="E792" s="156"/>
      <c r="F792" s="157"/>
      <c r="G792" s="158"/>
      <c r="H792" s="159"/>
    </row>
    <row r="793" spans="3:8">
      <c r="C793" s="154"/>
      <c r="D793" s="155"/>
      <c r="E793" s="156"/>
      <c r="F793" s="157"/>
      <c r="G793" s="158"/>
      <c r="H793" s="159"/>
    </row>
    <row r="794" spans="3:8">
      <c r="C794" s="154"/>
      <c r="D794" s="155"/>
      <c r="E794" s="156"/>
      <c r="F794" s="157"/>
      <c r="G794" s="158"/>
      <c r="H794" s="159"/>
    </row>
    <row r="795" spans="3:8">
      <c r="C795" s="154"/>
      <c r="D795" s="155"/>
      <c r="E795" s="156"/>
      <c r="F795" s="157"/>
      <c r="G795" s="158"/>
      <c r="H795" s="159"/>
    </row>
    <row r="796" spans="3:8">
      <c r="C796" s="154"/>
      <c r="D796" s="155"/>
      <c r="E796" s="156"/>
      <c r="F796" s="157"/>
      <c r="G796" s="158"/>
      <c r="H796" s="159"/>
    </row>
    <row r="797" spans="3:8">
      <c r="C797" s="154"/>
      <c r="D797" s="155"/>
      <c r="E797" s="156"/>
      <c r="F797" s="157"/>
      <c r="G797" s="158"/>
      <c r="H797" s="159"/>
    </row>
    <row r="798" spans="3:8">
      <c r="C798" s="154"/>
      <c r="D798" s="155"/>
      <c r="E798" s="156"/>
      <c r="F798" s="157"/>
      <c r="G798" s="158"/>
      <c r="H798" s="159"/>
    </row>
    <row r="799" spans="3:8">
      <c r="C799" s="154"/>
      <c r="D799" s="155"/>
      <c r="E799" s="156"/>
      <c r="F799" s="157"/>
      <c r="G799" s="158"/>
      <c r="H799" s="159"/>
    </row>
    <row r="800" spans="3:8">
      <c r="C800" s="154"/>
      <c r="D800" s="155"/>
      <c r="E800" s="156"/>
      <c r="F800" s="157"/>
      <c r="G800" s="158"/>
      <c r="H800" s="159"/>
    </row>
    <row r="801" spans="3:8">
      <c r="C801" s="154"/>
      <c r="D801" s="155"/>
      <c r="E801" s="156"/>
      <c r="F801" s="157"/>
      <c r="G801" s="158"/>
      <c r="H801" s="159"/>
    </row>
    <row r="802" spans="3:8">
      <c r="C802" s="154"/>
      <c r="D802" s="155"/>
      <c r="E802" s="156"/>
      <c r="F802" s="157"/>
      <c r="G802" s="158"/>
      <c r="H802" s="159"/>
    </row>
    <row r="803" spans="3:8">
      <c r="C803" s="154"/>
      <c r="D803" s="155"/>
      <c r="E803" s="156"/>
      <c r="F803" s="157"/>
      <c r="G803" s="158"/>
      <c r="H803" s="159"/>
    </row>
    <row r="804" spans="3:8">
      <c r="C804" s="154"/>
      <c r="D804" s="155"/>
      <c r="E804" s="156"/>
      <c r="F804" s="157"/>
      <c r="G804" s="158"/>
      <c r="H804" s="159"/>
    </row>
    <row r="805" spans="3:8">
      <c r="C805" s="154"/>
      <c r="D805" s="155"/>
      <c r="E805" s="156"/>
      <c r="F805" s="157"/>
      <c r="G805" s="158"/>
      <c r="H805" s="159"/>
    </row>
    <row r="806" spans="3:8">
      <c r="C806" s="154"/>
      <c r="D806" s="155"/>
      <c r="E806" s="156"/>
      <c r="F806" s="157"/>
      <c r="G806" s="158"/>
      <c r="H806" s="159"/>
    </row>
    <row r="807" spans="3:8">
      <c r="C807" s="154"/>
      <c r="D807" s="155"/>
      <c r="E807" s="156"/>
      <c r="F807" s="157"/>
      <c r="G807" s="158"/>
      <c r="H807" s="159"/>
    </row>
    <row r="808" spans="3:8">
      <c r="C808" s="154"/>
      <c r="D808" s="155"/>
      <c r="E808" s="156"/>
      <c r="F808" s="157"/>
      <c r="G808" s="158"/>
      <c r="H808" s="159"/>
    </row>
    <row r="809" spans="3:8">
      <c r="C809" s="154"/>
      <c r="D809" s="155"/>
      <c r="E809" s="156"/>
      <c r="F809" s="157"/>
      <c r="G809" s="158"/>
      <c r="H809" s="159"/>
    </row>
    <row r="810" spans="3:8">
      <c r="C810" s="154"/>
      <c r="D810" s="155"/>
      <c r="E810" s="156"/>
      <c r="F810" s="157"/>
      <c r="G810" s="158"/>
      <c r="H810" s="159"/>
    </row>
    <row r="811" spans="3:8">
      <c r="C811" s="154"/>
      <c r="D811" s="155"/>
      <c r="E811" s="156"/>
      <c r="F811" s="157"/>
      <c r="G811" s="158"/>
      <c r="H811" s="159"/>
    </row>
    <row r="812" spans="3:8">
      <c r="C812" s="154"/>
      <c r="D812" s="155"/>
      <c r="E812" s="156"/>
      <c r="F812" s="157"/>
      <c r="G812" s="158"/>
      <c r="H812" s="159"/>
    </row>
    <row r="813" spans="3:8">
      <c r="C813" s="154"/>
      <c r="D813" s="155"/>
      <c r="E813" s="156"/>
      <c r="F813" s="157"/>
      <c r="G813" s="158"/>
      <c r="H813" s="159"/>
    </row>
    <row r="814" spans="3:8">
      <c r="C814" s="154"/>
      <c r="D814" s="155"/>
      <c r="E814" s="156"/>
      <c r="F814" s="157"/>
      <c r="G814" s="158"/>
      <c r="H814" s="159"/>
    </row>
    <row r="815" spans="3:8">
      <c r="C815" s="154"/>
      <c r="D815" s="155"/>
      <c r="E815" s="156"/>
      <c r="F815" s="157"/>
      <c r="G815" s="158"/>
      <c r="H815" s="159"/>
    </row>
    <row r="816" spans="3:8">
      <c r="C816" s="154"/>
      <c r="D816" s="155"/>
      <c r="E816" s="156"/>
      <c r="F816" s="157"/>
      <c r="G816" s="158"/>
      <c r="H816" s="159"/>
    </row>
    <row r="817" spans="3:8">
      <c r="C817" s="154"/>
      <c r="D817" s="155"/>
      <c r="E817" s="156"/>
      <c r="F817" s="157"/>
      <c r="G817" s="158"/>
      <c r="H817" s="159"/>
    </row>
    <row r="818" spans="3:8">
      <c r="C818" s="154"/>
      <c r="D818" s="155"/>
      <c r="E818" s="156"/>
      <c r="F818" s="157"/>
      <c r="G818" s="158"/>
      <c r="H818" s="159"/>
    </row>
    <row r="819" spans="3:8">
      <c r="C819" s="154"/>
      <c r="D819" s="155"/>
      <c r="E819" s="156"/>
      <c r="F819" s="157"/>
      <c r="G819" s="158"/>
      <c r="H819" s="159"/>
    </row>
    <row r="820" spans="3:8">
      <c r="C820" s="154"/>
      <c r="D820" s="155"/>
      <c r="E820" s="156"/>
      <c r="F820" s="157"/>
      <c r="G820" s="158"/>
      <c r="H820" s="159"/>
    </row>
    <row r="821" spans="3:8">
      <c r="C821" s="154"/>
      <c r="D821" s="155"/>
      <c r="E821" s="156"/>
      <c r="F821" s="157"/>
      <c r="G821" s="158"/>
      <c r="H821" s="159"/>
    </row>
    <row r="822" spans="3:8">
      <c r="C822" s="154"/>
      <c r="D822" s="155"/>
      <c r="E822" s="156"/>
      <c r="F822" s="157"/>
      <c r="G822" s="158"/>
      <c r="H822" s="159"/>
    </row>
    <row r="823" spans="3:8">
      <c r="C823" s="154"/>
      <c r="D823" s="155"/>
      <c r="E823" s="156"/>
      <c r="F823" s="157"/>
      <c r="G823" s="158"/>
      <c r="H823" s="159"/>
    </row>
    <row r="824" spans="3:8">
      <c r="C824" s="154"/>
      <c r="D824" s="155"/>
      <c r="E824" s="156"/>
      <c r="F824" s="157"/>
      <c r="G824" s="158"/>
      <c r="H824" s="159"/>
    </row>
    <row r="825" spans="3:8">
      <c r="C825" s="154"/>
      <c r="D825" s="155"/>
      <c r="E825" s="156"/>
      <c r="F825" s="157"/>
      <c r="G825" s="158"/>
      <c r="H825" s="159"/>
    </row>
    <row r="826" spans="3:8">
      <c r="C826" s="154"/>
      <c r="D826" s="155"/>
      <c r="E826" s="156"/>
      <c r="F826" s="157"/>
      <c r="G826" s="158"/>
      <c r="H826" s="159"/>
    </row>
    <row r="827" spans="3:8">
      <c r="C827" s="154"/>
      <c r="D827" s="155"/>
      <c r="E827" s="156"/>
      <c r="F827" s="157"/>
      <c r="G827" s="158"/>
      <c r="H827" s="159"/>
    </row>
    <row r="828" spans="3:8">
      <c r="C828" s="154"/>
      <c r="D828" s="155"/>
      <c r="E828" s="156"/>
      <c r="F828" s="157"/>
      <c r="G828" s="158"/>
      <c r="H828" s="159"/>
    </row>
    <row r="829" spans="3:8">
      <c r="C829" s="154"/>
      <c r="D829" s="155"/>
      <c r="E829" s="156"/>
      <c r="F829" s="157"/>
      <c r="G829" s="158"/>
      <c r="H829" s="159"/>
    </row>
    <row r="830" spans="3:8">
      <c r="C830" s="154"/>
      <c r="D830" s="155"/>
      <c r="E830" s="156"/>
      <c r="F830" s="157"/>
      <c r="G830" s="158"/>
      <c r="H830" s="159"/>
    </row>
    <row r="831" spans="3:8">
      <c r="C831" s="154"/>
      <c r="D831" s="155"/>
      <c r="E831" s="156"/>
      <c r="F831" s="157"/>
      <c r="G831" s="158"/>
      <c r="H831" s="159"/>
    </row>
    <row r="832" spans="3:8">
      <c r="C832" s="154"/>
      <c r="D832" s="155"/>
      <c r="E832" s="156"/>
      <c r="F832" s="157"/>
      <c r="G832" s="158"/>
      <c r="H832" s="159"/>
    </row>
    <row r="833" spans="2:14">
      <c r="C833" s="154"/>
      <c r="D833" s="155"/>
      <c r="E833" s="156"/>
      <c r="F833" s="157"/>
      <c r="G833" s="158"/>
      <c r="H833" s="159"/>
    </row>
    <row r="834" spans="2:14">
      <c r="C834" s="154"/>
      <c r="D834" s="155"/>
      <c r="E834" s="156"/>
      <c r="F834" s="157"/>
      <c r="G834" s="158"/>
      <c r="H834" s="159"/>
    </row>
    <row r="835" spans="2:14">
      <c r="C835" s="154"/>
      <c r="D835" s="155"/>
      <c r="E835" s="156"/>
      <c r="F835" s="157"/>
      <c r="G835" s="158"/>
      <c r="H835" s="159"/>
    </row>
    <row r="836" spans="2:14">
      <c r="C836" s="154"/>
      <c r="D836" s="155"/>
      <c r="E836" s="156"/>
      <c r="F836" s="157"/>
      <c r="G836" s="158"/>
      <c r="H836" s="159"/>
    </row>
    <row r="837" spans="2:14">
      <c r="C837" s="154"/>
      <c r="D837" s="155"/>
      <c r="E837" s="156"/>
      <c r="F837" s="157"/>
      <c r="G837" s="158"/>
      <c r="H837" s="159"/>
    </row>
    <row r="838" spans="2:14">
      <c r="B838" s="160"/>
      <c r="C838" s="154"/>
      <c r="D838" s="155"/>
      <c r="E838" s="156"/>
      <c r="F838" s="157"/>
      <c r="G838" s="158"/>
      <c r="H838" s="159"/>
      <c r="I838" s="50"/>
      <c r="J838" s="50"/>
      <c r="K838" s="50"/>
      <c r="L838" s="50"/>
      <c r="M838" s="50"/>
      <c r="N838" s="50"/>
    </row>
  </sheetData>
  <autoFilter ref="A16:S698" xr:uid="{5B3ADC2F-CA44-428F-9021-11E461F4D7EB}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01"/>
  <sheetViews>
    <sheetView showGridLines="0" zoomScaleNormal="100" workbookViewId="0">
      <pane xSplit="1" ySplit="12" topLeftCell="B13" activePane="bottomRight" state="frozen"/>
      <selection activeCell="F32" sqref="F32"/>
      <selection pane="topRight" activeCell="F32" sqref="F32"/>
      <selection pane="bottomLeft" activeCell="F32" sqref="F32"/>
      <selection pane="bottomRight" activeCell="A13" sqref="A13"/>
    </sheetView>
  </sheetViews>
  <sheetFormatPr defaultColWidth="9.140625" defaultRowHeight="13.5"/>
  <cols>
    <col min="1" max="1" width="0.7109375" style="7" customWidth="1"/>
    <col min="2" max="2" width="12" style="7" customWidth="1"/>
    <col min="3" max="3" width="16.28515625" style="7" customWidth="1"/>
    <col min="4" max="4" width="26.85546875" style="7" bestFit="1" customWidth="1"/>
    <col min="5" max="6" width="14.85546875" style="7" customWidth="1"/>
    <col min="7" max="10" width="14.85546875" style="133" customWidth="1"/>
    <col min="11" max="13" width="14.85546875" style="7" customWidth="1"/>
    <col min="14" max="14" width="16.140625" style="7" bestFit="1" customWidth="1"/>
    <col min="15" max="16384" width="9.140625" style="7"/>
  </cols>
  <sheetData>
    <row r="1" spans="1:13" ht="14.25">
      <c r="B1" s="467" t="s">
        <v>2</v>
      </c>
    </row>
    <row r="2" spans="1:13" ht="14.25">
      <c r="B2" s="67"/>
    </row>
    <row r="3" spans="1:13" ht="17.25">
      <c r="B3" s="369" t="s">
        <v>3</v>
      </c>
      <c r="C3" s="369"/>
      <c r="D3" s="371" t="str">
        <f>'1-Inschrijfstaat'!B3</f>
        <v>GVB Infra B.V.</v>
      </c>
    </row>
    <row r="4" spans="1:13" ht="17.25">
      <c r="B4" s="369" t="s">
        <v>1098</v>
      </c>
      <c r="C4" s="369"/>
      <c r="D4" s="350" t="str">
        <f ca="1">MID(CELL("bestandsnaam",$D$11),SEARCH("]",CELL("bestandsnaam",$D$11),1)+1,256)</f>
        <v>10-Glas kosten totaal</v>
      </c>
    </row>
    <row r="5" spans="1:13" ht="17.25">
      <c r="B5" s="369" t="s">
        <v>4</v>
      </c>
      <c r="C5" s="369"/>
      <c r="D5" s="371" t="str">
        <f>'1-Inschrijfstaat'!B5</f>
        <v>Diverse</v>
      </c>
    </row>
    <row r="6" spans="1:13" ht="17.25">
      <c r="B6" s="370" t="s">
        <v>9</v>
      </c>
      <c r="C6" s="369"/>
      <c r="D6" s="371" t="str">
        <f>'1-Inschrijfstaat'!B6</f>
        <v>2021-03</v>
      </c>
    </row>
    <row r="7" spans="1:13" ht="17.25">
      <c r="B7" s="369" t="s">
        <v>6</v>
      </c>
      <c r="C7" s="369"/>
      <c r="D7" s="371" t="str">
        <f>'1-Inschrijfstaat'!B7</f>
        <v>Naam dienstverlener</v>
      </c>
    </row>
    <row r="8" spans="1:13" ht="15.75">
      <c r="B8" s="369" t="s">
        <v>7</v>
      </c>
      <c r="C8" s="369"/>
      <c r="D8" s="15" t="str">
        <f>'1-Inschrijfstaat'!B8</f>
        <v>1 juni 2021</v>
      </c>
    </row>
    <row r="9" spans="1:13" ht="15.75">
      <c r="B9" s="359" t="s">
        <v>0</v>
      </c>
      <c r="C9" s="359"/>
      <c r="D9" s="53" t="str">
        <f>'1-Inschrijfstaat'!B9</f>
        <v>2 Technische schoonmaak</v>
      </c>
    </row>
    <row r="10" spans="1:13" ht="15.75">
      <c r="B10" s="100"/>
      <c r="C10" s="100"/>
      <c r="E10" s="103"/>
    </row>
    <row r="11" spans="1:13">
      <c r="F11" s="133"/>
    </row>
    <row r="12" spans="1:13" s="135" customFormat="1" ht="76.5">
      <c r="B12" s="470" t="s">
        <v>290</v>
      </c>
      <c r="C12" s="470" t="s">
        <v>291</v>
      </c>
      <c r="D12" s="470" t="s">
        <v>13</v>
      </c>
      <c r="E12" s="470" t="s">
        <v>1322</v>
      </c>
      <c r="F12" s="470" t="s">
        <v>1313</v>
      </c>
      <c r="G12" s="470" t="s">
        <v>1314</v>
      </c>
      <c r="H12" s="470" t="s">
        <v>1997</v>
      </c>
      <c r="I12" s="471" t="s">
        <v>1998</v>
      </c>
      <c r="J12" s="471" t="s">
        <v>1999</v>
      </c>
      <c r="K12" s="471" t="s">
        <v>1364</v>
      </c>
      <c r="L12" s="471" t="s">
        <v>1365</v>
      </c>
      <c r="M12" s="471" t="s">
        <v>2000</v>
      </c>
    </row>
    <row r="13" spans="1:13">
      <c r="A13" s="7" t="str">
        <f t="shared" ref="A13:A31" si="0">CONCATENATE(B13,52)</f>
        <v>10252</v>
      </c>
      <c r="B13" s="27">
        <v>102</v>
      </c>
      <c r="C13" s="136" t="s">
        <v>850</v>
      </c>
      <c r="D13" s="136" t="s">
        <v>180</v>
      </c>
      <c r="E13" s="137">
        <f ca="1">SUMIF('9-Glasstaat'!$C:$C,$B13,'9-Glasstaat'!$I:$I)</f>
        <v>238.67000000000002</v>
      </c>
      <c r="F13" s="138">
        <f ca="1">SUMIF('9-Glasstaat'!$C:$C,$B13,'9-Glasstaat'!$M:$M)</f>
        <v>0</v>
      </c>
      <c r="G13" s="138">
        <f ca="1">SUMIF('9-Glasstaat'!$C:$C,$B13,'9-Glasstaat'!$N:$N)</f>
        <v>0</v>
      </c>
      <c r="H13" s="468">
        <v>0</v>
      </c>
      <c r="I13" s="606"/>
      <c r="J13" s="138">
        <f t="shared" ref="J13:J31" si="1">H13*I13</f>
        <v>0</v>
      </c>
      <c r="K13" s="469">
        <v>0</v>
      </c>
      <c r="L13" s="138">
        <f t="shared" ref="L13:L31" si="2">K13*I13</f>
        <v>0</v>
      </c>
      <c r="M13" s="138">
        <f ca="1">L13+J13+G13</f>
        <v>0</v>
      </c>
    </row>
    <row r="14" spans="1:13">
      <c r="A14" s="7" t="str">
        <f t="shared" si="0"/>
        <v>10352</v>
      </c>
      <c r="B14" s="27">
        <v>103</v>
      </c>
      <c r="C14" s="136" t="s">
        <v>718</v>
      </c>
      <c r="D14" s="136" t="s">
        <v>180</v>
      </c>
      <c r="E14" s="137">
        <f ca="1">SUMIF('9-Glasstaat'!$C:$C,$B14,'9-Glasstaat'!$I:$I)</f>
        <v>739.3599999999999</v>
      </c>
      <c r="F14" s="138">
        <f ca="1">SUMIF('9-Glasstaat'!$C:$C,$B14,'9-Glasstaat'!$M:$M)</f>
        <v>0</v>
      </c>
      <c r="G14" s="138">
        <f ca="1">SUMIF('9-Glasstaat'!$C:$C,$B14,'9-Glasstaat'!$N:$N)</f>
        <v>0</v>
      </c>
      <c r="H14" s="468">
        <v>0</v>
      </c>
      <c r="I14" s="606"/>
      <c r="J14" s="138">
        <f t="shared" si="1"/>
        <v>0</v>
      </c>
      <c r="K14" s="469">
        <v>0</v>
      </c>
      <c r="L14" s="138">
        <f t="shared" si="2"/>
        <v>0</v>
      </c>
      <c r="M14" s="138">
        <f t="shared" ref="M14:M31" ca="1" si="3">L14+J14+G14</f>
        <v>0</v>
      </c>
    </row>
    <row r="15" spans="1:13">
      <c r="A15" s="7" t="str">
        <f t="shared" si="0"/>
        <v>10452</v>
      </c>
      <c r="B15" s="27">
        <v>104</v>
      </c>
      <c r="C15" s="136" t="s">
        <v>165</v>
      </c>
      <c r="D15" s="136" t="s">
        <v>180</v>
      </c>
      <c r="E15" s="137">
        <f ca="1">SUMIF('9-Glasstaat'!$C:$C,$B15,'9-Glasstaat'!$I:$I)</f>
        <v>1204.2</v>
      </c>
      <c r="F15" s="138">
        <f ca="1">SUMIF('9-Glasstaat'!$C:$C,$B15,'9-Glasstaat'!$M:$M)</f>
        <v>0</v>
      </c>
      <c r="G15" s="138">
        <f ca="1">SUMIF('9-Glasstaat'!$C:$C,$B15,'9-Glasstaat'!$N:$N)</f>
        <v>0</v>
      </c>
      <c r="H15" s="468">
        <v>0</v>
      </c>
      <c r="I15" s="606"/>
      <c r="J15" s="138">
        <f t="shared" si="1"/>
        <v>0</v>
      </c>
      <c r="K15" s="469">
        <v>0</v>
      </c>
      <c r="L15" s="138">
        <f t="shared" si="2"/>
        <v>0</v>
      </c>
      <c r="M15" s="138">
        <f t="shared" ca="1" si="3"/>
        <v>0</v>
      </c>
    </row>
    <row r="16" spans="1:13">
      <c r="A16" s="7" t="str">
        <f t="shared" si="0"/>
        <v>10552</v>
      </c>
      <c r="B16" s="27">
        <v>105</v>
      </c>
      <c r="C16" s="136" t="s">
        <v>851</v>
      </c>
      <c r="D16" s="136" t="s">
        <v>180</v>
      </c>
      <c r="E16" s="137">
        <f ca="1">SUMIF('9-Glasstaat'!$C:$C,$B16,'9-Glasstaat'!$I:$I)</f>
        <v>669.76999999999987</v>
      </c>
      <c r="F16" s="138">
        <f ca="1">SUMIF('9-Glasstaat'!$C:$C,$B16,'9-Glasstaat'!$M:$M)</f>
        <v>0</v>
      </c>
      <c r="G16" s="138">
        <f ca="1">SUMIF('9-Glasstaat'!$C:$C,$B16,'9-Glasstaat'!$N:$N)</f>
        <v>0</v>
      </c>
      <c r="H16" s="468">
        <v>0</v>
      </c>
      <c r="I16" s="606"/>
      <c r="J16" s="138">
        <f t="shared" si="1"/>
        <v>0</v>
      </c>
      <c r="K16" s="469">
        <v>0</v>
      </c>
      <c r="L16" s="138">
        <f t="shared" si="2"/>
        <v>0</v>
      </c>
      <c r="M16" s="138">
        <f t="shared" ca="1" si="3"/>
        <v>0</v>
      </c>
    </row>
    <row r="17" spans="1:13">
      <c r="A17" s="7" t="str">
        <f t="shared" si="0"/>
        <v>10752</v>
      </c>
      <c r="B17" s="27">
        <v>107</v>
      </c>
      <c r="C17" s="136" t="s">
        <v>289</v>
      </c>
      <c r="D17" s="136" t="s">
        <v>22</v>
      </c>
      <c r="E17" s="137">
        <f ca="1">SUMIF('9-Glasstaat'!$C:$C,$B17,'9-Glasstaat'!$I:$I)</f>
        <v>593.56000000000006</v>
      </c>
      <c r="F17" s="138">
        <f ca="1">SUMIF('9-Glasstaat'!$C:$C,$B17,'9-Glasstaat'!$M:$M)</f>
        <v>0</v>
      </c>
      <c r="G17" s="138">
        <f ca="1">SUMIF('9-Glasstaat'!$C:$C,$B17,'9-Glasstaat'!$N:$N)</f>
        <v>0</v>
      </c>
      <c r="H17" s="468">
        <v>0</v>
      </c>
      <c r="I17" s="606"/>
      <c r="J17" s="138">
        <f t="shared" si="1"/>
        <v>0</v>
      </c>
      <c r="K17" s="469">
        <v>0</v>
      </c>
      <c r="L17" s="138">
        <f t="shared" si="2"/>
        <v>0</v>
      </c>
      <c r="M17" s="138">
        <f t="shared" ca="1" si="3"/>
        <v>0</v>
      </c>
    </row>
    <row r="18" spans="1:13">
      <c r="A18" s="7" t="str">
        <f t="shared" si="0"/>
        <v>10852</v>
      </c>
      <c r="B18" s="27">
        <v>108</v>
      </c>
      <c r="C18" s="136" t="s">
        <v>1228</v>
      </c>
      <c r="D18" s="136" t="s">
        <v>22</v>
      </c>
      <c r="E18" s="137">
        <f ca="1">SUMIF('9-Glasstaat'!$C:$C,$B18,'9-Glasstaat'!$I:$I)</f>
        <v>619.90000000000032</v>
      </c>
      <c r="F18" s="138">
        <f ca="1">SUMIF('9-Glasstaat'!$C:$C,$B18,'9-Glasstaat'!$M:$M)</f>
        <v>0</v>
      </c>
      <c r="G18" s="138">
        <f ca="1">SUMIF('9-Glasstaat'!$C:$C,$B18,'9-Glasstaat'!$N:$N)</f>
        <v>0</v>
      </c>
      <c r="H18" s="468">
        <v>0</v>
      </c>
      <c r="I18" s="606"/>
      <c r="J18" s="138">
        <f t="shared" si="1"/>
        <v>0</v>
      </c>
      <c r="K18" s="469">
        <v>0</v>
      </c>
      <c r="L18" s="138">
        <f t="shared" si="2"/>
        <v>0</v>
      </c>
      <c r="M18" s="138">
        <f t="shared" ca="1" si="3"/>
        <v>0</v>
      </c>
    </row>
    <row r="19" spans="1:13">
      <c r="A19" s="7" t="str">
        <f t="shared" si="0"/>
        <v>10952</v>
      </c>
      <c r="B19" s="27">
        <v>109</v>
      </c>
      <c r="C19" s="28" t="s">
        <v>853</v>
      </c>
      <c r="D19" s="136" t="s">
        <v>22</v>
      </c>
      <c r="E19" s="137">
        <f ca="1">SUMIF('9-Glasstaat'!$C:$C,$B19,'9-Glasstaat'!$I:$I)</f>
        <v>1.7</v>
      </c>
      <c r="F19" s="138">
        <f ca="1">SUMIF('9-Glasstaat'!$C:$C,$B19,'9-Glasstaat'!$M:$M)</f>
        <v>0</v>
      </c>
      <c r="G19" s="138">
        <f ca="1">SUMIF('9-Glasstaat'!$C:$C,$B19,'9-Glasstaat'!$N:$N)</f>
        <v>0</v>
      </c>
      <c r="H19" s="468">
        <v>0</v>
      </c>
      <c r="I19" s="606"/>
      <c r="J19" s="138">
        <f t="shared" si="1"/>
        <v>0</v>
      </c>
      <c r="K19" s="469">
        <v>0</v>
      </c>
      <c r="L19" s="138">
        <f t="shared" si="2"/>
        <v>0</v>
      </c>
      <c r="M19" s="138">
        <f t="shared" ca="1" si="3"/>
        <v>0</v>
      </c>
    </row>
    <row r="20" spans="1:13">
      <c r="A20" s="7" t="str">
        <f t="shared" si="0"/>
        <v>11052</v>
      </c>
      <c r="B20" s="27">
        <v>110</v>
      </c>
      <c r="C20" s="136" t="s">
        <v>103</v>
      </c>
      <c r="D20" s="136" t="s">
        <v>22</v>
      </c>
      <c r="E20" s="137">
        <f ca="1">SUMIF('9-Glasstaat'!$C:$C,$B20,'9-Glasstaat'!$I:$I)</f>
        <v>717.41000000000008</v>
      </c>
      <c r="F20" s="138">
        <f ca="1">SUMIF('9-Glasstaat'!$C:$C,$B20,'9-Glasstaat'!$M:$M)</f>
        <v>0</v>
      </c>
      <c r="G20" s="138">
        <f ca="1">SUMIF('9-Glasstaat'!$C:$C,$B20,'9-Glasstaat'!$N:$N)</f>
        <v>0</v>
      </c>
      <c r="H20" s="468">
        <v>0</v>
      </c>
      <c r="I20" s="606"/>
      <c r="J20" s="138">
        <f t="shared" si="1"/>
        <v>0</v>
      </c>
      <c r="K20" s="469">
        <v>0</v>
      </c>
      <c r="L20" s="138">
        <f t="shared" si="2"/>
        <v>0</v>
      </c>
      <c r="M20" s="138">
        <f t="shared" ca="1" si="3"/>
        <v>0</v>
      </c>
    </row>
    <row r="21" spans="1:13">
      <c r="A21" s="7" t="str">
        <f t="shared" si="0"/>
        <v>11152</v>
      </c>
      <c r="B21" s="27">
        <v>111</v>
      </c>
      <c r="C21" s="136" t="s">
        <v>854</v>
      </c>
      <c r="D21" s="136" t="s">
        <v>22</v>
      </c>
      <c r="E21" s="137">
        <f ca="1">SUMIF('9-Glasstaat'!$C:$C,$B21,'9-Glasstaat'!$I:$I)</f>
        <v>543.90000000000009</v>
      </c>
      <c r="F21" s="138">
        <f ca="1">SUMIF('9-Glasstaat'!$C:$C,$B21,'9-Glasstaat'!$M:$M)</f>
        <v>0</v>
      </c>
      <c r="G21" s="138">
        <f ca="1">SUMIF('9-Glasstaat'!$C:$C,$B21,'9-Glasstaat'!$N:$N)</f>
        <v>0</v>
      </c>
      <c r="H21" s="468">
        <v>0</v>
      </c>
      <c r="I21" s="606"/>
      <c r="J21" s="138">
        <f t="shared" si="1"/>
        <v>0</v>
      </c>
      <c r="K21" s="469">
        <v>0</v>
      </c>
      <c r="L21" s="138">
        <f t="shared" si="2"/>
        <v>0</v>
      </c>
      <c r="M21" s="138">
        <f t="shared" ca="1" si="3"/>
        <v>0</v>
      </c>
    </row>
    <row r="22" spans="1:13">
      <c r="A22" s="7" t="str">
        <f t="shared" si="0"/>
        <v>11252</v>
      </c>
      <c r="B22" s="27">
        <v>112</v>
      </c>
      <c r="C22" s="136" t="s">
        <v>140</v>
      </c>
      <c r="D22" s="136" t="s">
        <v>22</v>
      </c>
      <c r="E22" s="137">
        <f ca="1">SUMIF('9-Glasstaat'!$C:$C,$B22,'9-Glasstaat'!$I:$I)</f>
        <v>861.04500000000019</v>
      </c>
      <c r="F22" s="138">
        <f ca="1">SUMIF('9-Glasstaat'!$C:$C,$B22,'9-Glasstaat'!$M:$M)</f>
        <v>0</v>
      </c>
      <c r="G22" s="138">
        <f ca="1">SUMIF('9-Glasstaat'!$C:$C,$B22,'9-Glasstaat'!$N:$N)</f>
        <v>0</v>
      </c>
      <c r="H22" s="468">
        <v>0</v>
      </c>
      <c r="I22" s="606"/>
      <c r="J22" s="138">
        <f t="shared" si="1"/>
        <v>0</v>
      </c>
      <c r="K22" s="469">
        <v>0</v>
      </c>
      <c r="L22" s="138">
        <f t="shared" si="2"/>
        <v>0</v>
      </c>
      <c r="M22" s="138">
        <f t="shared" ca="1" si="3"/>
        <v>0</v>
      </c>
    </row>
    <row r="23" spans="1:13">
      <c r="A23" s="7" t="str">
        <f t="shared" si="0"/>
        <v>11352</v>
      </c>
      <c r="B23" s="27">
        <v>113</v>
      </c>
      <c r="C23" s="136" t="s">
        <v>855</v>
      </c>
      <c r="D23" s="136" t="s">
        <v>22</v>
      </c>
      <c r="E23" s="137">
        <f ca="1">SUMIF('9-Glasstaat'!$C:$C,$B23,'9-Glasstaat'!$I:$I)</f>
        <v>889.56000000000006</v>
      </c>
      <c r="F23" s="138">
        <f ca="1">SUMIF('9-Glasstaat'!$C:$C,$B23,'9-Glasstaat'!$M:$M)</f>
        <v>0</v>
      </c>
      <c r="G23" s="138">
        <f ca="1">SUMIF('9-Glasstaat'!$C:$C,$B23,'9-Glasstaat'!$N:$N)</f>
        <v>0</v>
      </c>
      <c r="H23" s="468">
        <v>0</v>
      </c>
      <c r="I23" s="606"/>
      <c r="J23" s="138">
        <f t="shared" si="1"/>
        <v>0</v>
      </c>
      <c r="K23" s="469">
        <v>0</v>
      </c>
      <c r="L23" s="138">
        <f t="shared" si="2"/>
        <v>0</v>
      </c>
      <c r="M23" s="138">
        <f t="shared" ca="1" si="3"/>
        <v>0</v>
      </c>
    </row>
    <row r="24" spans="1:13">
      <c r="A24" s="7" t="str">
        <f t="shared" si="0"/>
        <v>11452</v>
      </c>
      <c r="B24" s="27">
        <v>114</v>
      </c>
      <c r="C24" s="136" t="s">
        <v>21</v>
      </c>
      <c r="D24" s="136" t="s">
        <v>22</v>
      </c>
      <c r="E24" s="137">
        <f ca="1">SUMIF('9-Glasstaat'!$C:$C,$B24,'9-Glasstaat'!$I:$I)</f>
        <v>1348.8900000000003</v>
      </c>
      <c r="F24" s="138">
        <f ca="1">SUMIF('9-Glasstaat'!$C:$C,$B24,'9-Glasstaat'!$M:$M)</f>
        <v>0</v>
      </c>
      <c r="G24" s="138">
        <f ca="1">SUMIF('9-Glasstaat'!$C:$C,$B24,'9-Glasstaat'!$N:$N)</f>
        <v>0</v>
      </c>
      <c r="H24" s="468">
        <v>0</v>
      </c>
      <c r="I24" s="606"/>
      <c r="J24" s="138">
        <f t="shared" si="1"/>
        <v>0</v>
      </c>
      <c r="K24" s="469">
        <v>0</v>
      </c>
      <c r="L24" s="138">
        <f t="shared" si="2"/>
        <v>0</v>
      </c>
      <c r="M24" s="138">
        <f t="shared" ca="1" si="3"/>
        <v>0</v>
      </c>
    </row>
    <row r="25" spans="1:13">
      <c r="A25" s="7" t="str">
        <f t="shared" si="0"/>
        <v>11552</v>
      </c>
      <c r="B25" s="27">
        <v>115</v>
      </c>
      <c r="C25" s="136" t="s">
        <v>73</v>
      </c>
      <c r="D25" s="136" t="s">
        <v>74</v>
      </c>
      <c r="E25" s="137">
        <f ca="1">SUMIF('9-Glasstaat'!$C:$C,$B25,'9-Glasstaat'!$I:$I)</f>
        <v>547.57500000000016</v>
      </c>
      <c r="F25" s="138">
        <f ca="1">SUMIF('9-Glasstaat'!$C:$C,$B25,'9-Glasstaat'!$M:$M)</f>
        <v>0</v>
      </c>
      <c r="G25" s="138">
        <f ca="1">SUMIF('9-Glasstaat'!$C:$C,$B25,'9-Glasstaat'!$N:$N)</f>
        <v>0</v>
      </c>
      <c r="H25" s="468">
        <v>0</v>
      </c>
      <c r="I25" s="606"/>
      <c r="J25" s="138">
        <f t="shared" si="1"/>
        <v>0</v>
      </c>
      <c r="K25" s="469">
        <v>0</v>
      </c>
      <c r="L25" s="138">
        <f t="shared" si="2"/>
        <v>0</v>
      </c>
      <c r="M25" s="138">
        <f t="shared" ca="1" si="3"/>
        <v>0</v>
      </c>
    </row>
    <row r="26" spans="1:13">
      <c r="A26" s="7" t="str">
        <f t="shared" si="0"/>
        <v>11652</v>
      </c>
      <c r="B26" s="27">
        <v>116</v>
      </c>
      <c r="C26" s="136" t="s">
        <v>238</v>
      </c>
      <c r="D26" s="136" t="s">
        <v>22</v>
      </c>
      <c r="E26" s="137">
        <f ca="1">SUMIF('9-Glasstaat'!$C:$C,$B26,'9-Glasstaat'!$I:$I)</f>
        <v>257.92</v>
      </c>
      <c r="F26" s="138">
        <f ca="1">SUMIF('9-Glasstaat'!$C:$C,$B26,'9-Glasstaat'!$M:$M)</f>
        <v>0</v>
      </c>
      <c r="G26" s="138">
        <f ca="1">SUMIF('9-Glasstaat'!$C:$C,$B26,'9-Glasstaat'!$N:$N)</f>
        <v>0</v>
      </c>
      <c r="H26" s="468">
        <v>0</v>
      </c>
      <c r="I26" s="606"/>
      <c r="J26" s="138">
        <f t="shared" si="1"/>
        <v>0</v>
      </c>
      <c r="K26" s="469">
        <v>0</v>
      </c>
      <c r="L26" s="138">
        <f t="shared" si="2"/>
        <v>0</v>
      </c>
      <c r="M26" s="138">
        <f t="shared" ca="1" si="3"/>
        <v>0</v>
      </c>
    </row>
    <row r="27" spans="1:13">
      <c r="A27" s="7" t="str">
        <f t="shared" si="0"/>
        <v>11752</v>
      </c>
      <c r="B27" s="27">
        <v>117</v>
      </c>
      <c r="C27" s="136" t="s">
        <v>297</v>
      </c>
      <c r="D27" s="136" t="s">
        <v>22</v>
      </c>
      <c r="E27" s="137">
        <f ca="1">SUMIF('9-Glasstaat'!$C:$C,$B27,'9-Glasstaat'!$I:$I)</f>
        <v>650.2199999999998</v>
      </c>
      <c r="F27" s="138">
        <f ca="1">SUMIF('9-Glasstaat'!$C:$C,$B27,'9-Glasstaat'!$M:$M)</f>
        <v>0</v>
      </c>
      <c r="G27" s="138">
        <f ca="1">SUMIF('9-Glasstaat'!$C:$C,$B27,'9-Glasstaat'!$N:$N)</f>
        <v>0</v>
      </c>
      <c r="H27" s="468">
        <v>0</v>
      </c>
      <c r="I27" s="606"/>
      <c r="J27" s="138">
        <f t="shared" si="1"/>
        <v>0</v>
      </c>
      <c r="K27" s="469">
        <v>0</v>
      </c>
      <c r="L27" s="138">
        <f t="shared" si="2"/>
        <v>0</v>
      </c>
      <c r="M27" s="138">
        <f t="shared" ca="1" si="3"/>
        <v>0</v>
      </c>
    </row>
    <row r="28" spans="1:13">
      <c r="A28" s="7" t="str">
        <f t="shared" si="0"/>
        <v>11852</v>
      </c>
      <c r="B28" s="27">
        <v>118</v>
      </c>
      <c r="C28" s="136" t="s">
        <v>198</v>
      </c>
      <c r="D28" s="136" t="s">
        <v>22</v>
      </c>
      <c r="E28" s="137">
        <f ca="1">SUMIF('9-Glasstaat'!$C:$C,$B28,'9-Glasstaat'!$I:$I)</f>
        <v>316.49500000000006</v>
      </c>
      <c r="F28" s="138">
        <f ca="1">SUMIF('9-Glasstaat'!$C:$C,$B28,'9-Glasstaat'!$M:$M)</f>
        <v>0</v>
      </c>
      <c r="G28" s="138">
        <f ca="1">SUMIF('9-Glasstaat'!$C:$C,$B28,'9-Glasstaat'!$N:$N)</f>
        <v>0</v>
      </c>
      <c r="H28" s="468">
        <v>0</v>
      </c>
      <c r="I28" s="606"/>
      <c r="J28" s="138">
        <f t="shared" si="1"/>
        <v>0</v>
      </c>
      <c r="K28" s="469">
        <v>0</v>
      </c>
      <c r="L28" s="138">
        <f t="shared" si="2"/>
        <v>0</v>
      </c>
      <c r="M28" s="138">
        <f t="shared" ca="1" si="3"/>
        <v>0</v>
      </c>
    </row>
    <row r="29" spans="1:13">
      <c r="A29" s="7" t="str">
        <f t="shared" si="0"/>
        <v>11952</v>
      </c>
      <c r="B29" s="27">
        <v>119</v>
      </c>
      <c r="C29" s="136" t="s">
        <v>311</v>
      </c>
      <c r="D29" s="136" t="s">
        <v>22</v>
      </c>
      <c r="E29" s="137">
        <f ca="1">SUMIF('9-Glasstaat'!$C:$C,$B29,'9-Glasstaat'!$I:$I)</f>
        <v>5439.0249999999996</v>
      </c>
      <c r="F29" s="138">
        <f ca="1">SUMIF('9-Glasstaat'!$C:$C,$B29,'9-Glasstaat'!$M:$M)</f>
        <v>0</v>
      </c>
      <c r="G29" s="138">
        <f ca="1">SUMIF('9-Glasstaat'!$C:$C,$B29,'9-Glasstaat'!$N:$N)</f>
        <v>0</v>
      </c>
      <c r="H29" s="468">
        <v>0</v>
      </c>
      <c r="I29" s="606"/>
      <c r="J29" s="138">
        <f t="shared" si="1"/>
        <v>0</v>
      </c>
      <c r="K29" s="469">
        <v>0</v>
      </c>
      <c r="L29" s="138">
        <f t="shared" si="2"/>
        <v>0</v>
      </c>
      <c r="M29" s="138">
        <f t="shared" ca="1" si="3"/>
        <v>0</v>
      </c>
    </row>
    <row r="30" spans="1:13">
      <c r="A30" s="7" t="str">
        <f t="shared" si="0"/>
        <v>12052</v>
      </c>
      <c r="B30" s="27">
        <v>120</v>
      </c>
      <c r="C30" s="136" t="s">
        <v>301</v>
      </c>
      <c r="D30" s="136" t="s">
        <v>22</v>
      </c>
      <c r="E30" s="137">
        <f ca="1">SUMIF('9-Glasstaat'!$C:$C,$B30,'9-Glasstaat'!$I:$I)</f>
        <v>311.02000000000004</v>
      </c>
      <c r="F30" s="138">
        <f ca="1">SUMIF('9-Glasstaat'!$C:$C,$B30,'9-Glasstaat'!$M:$M)</f>
        <v>0</v>
      </c>
      <c r="G30" s="138">
        <f ca="1">SUMIF('9-Glasstaat'!$C:$C,$B30,'9-Glasstaat'!$N:$N)</f>
        <v>0</v>
      </c>
      <c r="H30" s="468">
        <v>0</v>
      </c>
      <c r="I30" s="606"/>
      <c r="J30" s="138">
        <f t="shared" si="1"/>
        <v>0</v>
      </c>
      <c r="K30" s="469">
        <v>0</v>
      </c>
      <c r="L30" s="138">
        <f t="shared" si="2"/>
        <v>0</v>
      </c>
      <c r="M30" s="138">
        <f t="shared" ca="1" si="3"/>
        <v>0</v>
      </c>
    </row>
    <row r="31" spans="1:13">
      <c r="A31" s="7" t="str">
        <f t="shared" si="0"/>
        <v>12152</v>
      </c>
      <c r="B31" s="27">
        <v>121</v>
      </c>
      <c r="C31" s="136" t="s">
        <v>181</v>
      </c>
      <c r="D31" s="136" t="s">
        <v>22</v>
      </c>
      <c r="E31" s="137">
        <f ca="1">SUMIF('9-Glasstaat'!$C:$C,$B31,'9-Glasstaat'!$I:$I)</f>
        <v>352.62000000000006</v>
      </c>
      <c r="F31" s="138">
        <f ca="1">SUMIF('9-Glasstaat'!$C:$C,$B31,'9-Glasstaat'!$M:$M)</f>
        <v>0</v>
      </c>
      <c r="G31" s="138">
        <f ca="1">SUMIF('9-Glasstaat'!$C:$C,$B31,'9-Glasstaat'!$N:$N)</f>
        <v>0</v>
      </c>
      <c r="H31" s="468">
        <v>0</v>
      </c>
      <c r="I31" s="606"/>
      <c r="J31" s="138">
        <f t="shared" si="1"/>
        <v>0</v>
      </c>
      <c r="K31" s="469">
        <v>0</v>
      </c>
      <c r="L31" s="138">
        <f t="shared" si="2"/>
        <v>0</v>
      </c>
      <c r="M31" s="138">
        <f t="shared" ca="1" si="3"/>
        <v>0</v>
      </c>
    </row>
    <row r="32" spans="1:13">
      <c r="A32" s="7" t="str">
        <f>CONCATENATE(B32,52)</f>
        <v>20152</v>
      </c>
      <c r="B32" s="139">
        <v>201</v>
      </c>
      <c r="C32" s="140" t="s">
        <v>1554</v>
      </c>
      <c r="D32" s="140" t="s">
        <v>1420</v>
      </c>
      <c r="E32" s="137">
        <f ca="1">SUMIF('9-Glasstaat'!$C:$C,$B32,'9-Glasstaat'!$I:$I)</f>
        <v>424.8</v>
      </c>
      <c r="F32" s="138">
        <f ca="1">SUMIF('9-Glasstaat'!$C:$C,$B32,'9-Glasstaat'!$M:$M)</f>
        <v>0</v>
      </c>
      <c r="G32" s="138">
        <f ca="1">SUMIF('9-Glasstaat'!$C:$C,$B32,'9-Glasstaat'!$N:$N)</f>
        <v>0</v>
      </c>
      <c r="H32" s="468">
        <v>0</v>
      </c>
      <c r="I32" s="606"/>
      <c r="J32" s="138">
        <f t="shared" ref="J32:J73" si="4">H32*I32</f>
        <v>0</v>
      </c>
      <c r="K32" s="469">
        <v>0</v>
      </c>
      <c r="L32" s="138">
        <f t="shared" ref="L32:L73" si="5">K32*I32</f>
        <v>0</v>
      </c>
      <c r="M32" s="138">
        <f t="shared" ref="M32:M73" ca="1" si="6">L32+J32+G32</f>
        <v>0</v>
      </c>
    </row>
    <row r="33" spans="1:13">
      <c r="A33" s="7" t="str">
        <f t="shared" ref="A33:A73" si="7">CONCATENATE(B33,52)</f>
        <v>20252</v>
      </c>
      <c r="B33" s="139">
        <v>202</v>
      </c>
      <c r="C33" s="140" t="s">
        <v>1421</v>
      </c>
      <c r="D33" s="140" t="s">
        <v>1420</v>
      </c>
      <c r="E33" s="137">
        <f ca="1">SUMIF('9-Glasstaat'!$C:$C,$B33,'9-Glasstaat'!$I:$I)</f>
        <v>350.4</v>
      </c>
      <c r="F33" s="138">
        <f ca="1">SUMIF('9-Glasstaat'!$C:$C,$B33,'9-Glasstaat'!$M:$M)</f>
        <v>0</v>
      </c>
      <c r="G33" s="138">
        <f ca="1">SUMIF('9-Glasstaat'!$C:$C,$B33,'9-Glasstaat'!$N:$N)</f>
        <v>0</v>
      </c>
      <c r="H33" s="468">
        <v>0</v>
      </c>
      <c r="I33" s="606"/>
      <c r="J33" s="138">
        <f t="shared" ref="J33:J46" si="8">H33*I33</f>
        <v>0</v>
      </c>
      <c r="K33" s="469">
        <v>0</v>
      </c>
      <c r="L33" s="138">
        <f t="shared" ref="L33:L46" si="9">K33*I33</f>
        <v>0</v>
      </c>
      <c r="M33" s="138">
        <f t="shared" ref="M33:M46" ca="1" si="10">L33+J33+G33</f>
        <v>0</v>
      </c>
    </row>
    <row r="34" spans="1:13">
      <c r="A34" s="7" t="str">
        <f t="shared" si="7"/>
        <v>20352</v>
      </c>
      <c r="B34" s="139">
        <v>203</v>
      </c>
      <c r="C34" s="140" t="s">
        <v>1422</v>
      </c>
      <c r="D34" s="140" t="s">
        <v>1420</v>
      </c>
      <c r="E34" s="137">
        <f ca="1">SUMIF('9-Glasstaat'!$C:$C,$B34,'9-Glasstaat'!$I:$I)</f>
        <v>128</v>
      </c>
      <c r="F34" s="138">
        <f ca="1">SUMIF('9-Glasstaat'!$C:$C,$B34,'9-Glasstaat'!$M:$M)</f>
        <v>0</v>
      </c>
      <c r="G34" s="138">
        <f ca="1">SUMIF('9-Glasstaat'!$C:$C,$B34,'9-Glasstaat'!$N:$N)</f>
        <v>0</v>
      </c>
      <c r="H34" s="468">
        <v>0</v>
      </c>
      <c r="I34" s="606"/>
      <c r="J34" s="138">
        <f t="shared" si="8"/>
        <v>0</v>
      </c>
      <c r="K34" s="469">
        <v>0</v>
      </c>
      <c r="L34" s="138">
        <f t="shared" si="9"/>
        <v>0</v>
      </c>
      <c r="M34" s="138">
        <f t="shared" ca="1" si="10"/>
        <v>0</v>
      </c>
    </row>
    <row r="35" spans="1:13">
      <c r="A35" s="7" t="str">
        <f t="shared" si="7"/>
        <v>20452</v>
      </c>
      <c r="B35" s="139">
        <v>204</v>
      </c>
      <c r="C35" s="140" t="s">
        <v>1423</v>
      </c>
      <c r="D35" s="140" t="s">
        <v>1420</v>
      </c>
      <c r="E35" s="137">
        <f ca="1">SUMIF('9-Glasstaat'!$C:$C,$B35,'9-Glasstaat'!$I:$I)</f>
        <v>128</v>
      </c>
      <c r="F35" s="138">
        <f ca="1">SUMIF('9-Glasstaat'!$C:$C,$B35,'9-Glasstaat'!$M:$M)</f>
        <v>0</v>
      </c>
      <c r="G35" s="138">
        <f ca="1">SUMIF('9-Glasstaat'!$C:$C,$B35,'9-Glasstaat'!$N:$N)</f>
        <v>0</v>
      </c>
      <c r="H35" s="468">
        <v>0</v>
      </c>
      <c r="I35" s="606"/>
      <c r="J35" s="138">
        <f t="shared" si="8"/>
        <v>0</v>
      </c>
      <c r="K35" s="469">
        <v>0</v>
      </c>
      <c r="L35" s="138">
        <f t="shared" si="9"/>
        <v>0</v>
      </c>
      <c r="M35" s="138">
        <f t="shared" ca="1" si="10"/>
        <v>0</v>
      </c>
    </row>
    <row r="36" spans="1:13">
      <c r="A36" s="7" t="str">
        <f t="shared" si="7"/>
        <v>20552</v>
      </c>
      <c r="B36" s="139">
        <v>205</v>
      </c>
      <c r="C36" s="140" t="s">
        <v>1424</v>
      </c>
      <c r="D36" s="140" t="s">
        <v>1420</v>
      </c>
      <c r="E36" s="137">
        <f ca="1">SUMIF('9-Glasstaat'!$C:$C,$B36,'9-Glasstaat'!$I:$I)</f>
        <v>220</v>
      </c>
      <c r="F36" s="138">
        <f ca="1">SUMIF('9-Glasstaat'!$C:$C,$B36,'9-Glasstaat'!$M:$M)</f>
        <v>0</v>
      </c>
      <c r="G36" s="138">
        <f ca="1">SUMIF('9-Glasstaat'!$C:$C,$B36,'9-Glasstaat'!$N:$N)</f>
        <v>0</v>
      </c>
      <c r="H36" s="468">
        <v>0</v>
      </c>
      <c r="I36" s="606"/>
      <c r="J36" s="138">
        <f t="shared" si="8"/>
        <v>0</v>
      </c>
      <c r="K36" s="469">
        <v>0</v>
      </c>
      <c r="L36" s="138">
        <f t="shared" si="9"/>
        <v>0</v>
      </c>
      <c r="M36" s="138">
        <f t="shared" ca="1" si="10"/>
        <v>0</v>
      </c>
    </row>
    <row r="37" spans="1:13">
      <c r="A37" s="7" t="str">
        <f t="shared" si="7"/>
        <v>20652</v>
      </c>
      <c r="B37" s="139">
        <v>206</v>
      </c>
      <c r="C37" s="140" t="s">
        <v>1425</v>
      </c>
      <c r="D37" s="140" t="s">
        <v>1420</v>
      </c>
      <c r="E37" s="137">
        <f ca="1">SUMIF('9-Glasstaat'!$C:$C,$B37,'9-Glasstaat'!$I:$I)</f>
        <v>128</v>
      </c>
      <c r="F37" s="138">
        <f ca="1">SUMIF('9-Glasstaat'!$C:$C,$B37,'9-Glasstaat'!$M:$M)</f>
        <v>0</v>
      </c>
      <c r="G37" s="138">
        <f ca="1">SUMIF('9-Glasstaat'!$C:$C,$B37,'9-Glasstaat'!$N:$N)</f>
        <v>0</v>
      </c>
      <c r="H37" s="468">
        <v>0</v>
      </c>
      <c r="I37" s="606"/>
      <c r="J37" s="138">
        <f t="shared" si="8"/>
        <v>0</v>
      </c>
      <c r="K37" s="469">
        <v>0</v>
      </c>
      <c r="L37" s="138">
        <f t="shared" si="9"/>
        <v>0</v>
      </c>
      <c r="M37" s="138">
        <f t="shared" ca="1" si="10"/>
        <v>0</v>
      </c>
    </row>
    <row r="38" spans="1:13">
      <c r="A38" s="7" t="str">
        <f t="shared" si="7"/>
        <v>20752</v>
      </c>
      <c r="B38" s="139">
        <v>207</v>
      </c>
      <c r="C38" s="140" t="s">
        <v>1426</v>
      </c>
      <c r="D38" s="140" t="s">
        <v>1420</v>
      </c>
      <c r="E38" s="137">
        <f ca="1">SUMIF('9-Glasstaat'!$C:$C,$B38,'9-Glasstaat'!$I:$I)</f>
        <v>128</v>
      </c>
      <c r="F38" s="138">
        <f ca="1">SUMIF('9-Glasstaat'!$C:$C,$B38,'9-Glasstaat'!$M:$M)</f>
        <v>0</v>
      </c>
      <c r="G38" s="138">
        <f ca="1">SUMIF('9-Glasstaat'!$C:$C,$B38,'9-Glasstaat'!$N:$N)</f>
        <v>0</v>
      </c>
      <c r="H38" s="468">
        <v>0</v>
      </c>
      <c r="I38" s="606"/>
      <c r="J38" s="138">
        <f t="shared" si="8"/>
        <v>0</v>
      </c>
      <c r="K38" s="469">
        <v>0</v>
      </c>
      <c r="L38" s="138">
        <f t="shared" si="9"/>
        <v>0</v>
      </c>
      <c r="M38" s="138">
        <f t="shared" ca="1" si="10"/>
        <v>0</v>
      </c>
    </row>
    <row r="39" spans="1:13">
      <c r="A39" s="7" t="str">
        <f t="shared" si="7"/>
        <v>20852</v>
      </c>
      <c r="B39" s="139">
        <v>208</v>
      </c>
      <c r="C39" s="140" t="s">
        <v>1689</v>
      </c>
      <c r="D39" s="140" t="s">
        <v>1420</v>
      </c>
      <c r="E39" s="137">
        <f ca="1">SUMIF('9-Glasstaat'!$C:$C,$B39,'9-Glasstaat'!$I:$I)</f>
        <v>0</v>
      </c>
      <c r="F39" s="138">
        <f ca="1">SUMIF('9-Glasstaat'!$C:$C,$B39,'9-Glasstaat'!$M:$M)</f>
        <v>0</v>
      </c>
      <c r="G39" s="138">
        <f ca="1">SUMIF('9-Glasstaat'!$C:$C,$B39,'9-Glasstaat'!$N:$N)</f>
        <v>0</v>
      </c>
      <c r="H39" s="468">
        <v>0</v>
      </c>
      <c r="I39" s="606"/>
      <c r="J39" s="138">
        <f t="shared" si="8"/>
        <v>0</v>
      </c>
      <c r="K39" s="469">
        <v>0</v>
      </c>
      <c r="L39" s="138">
        <f t="shared" si="9"/>
        <v>0</v>
      </c>
      <c r="M39" s="138">
        <f t="shared" ca="1" si="10"/>
        <v>0</v>
      </c>
    </row>
    <row r="40" spans="1:13">
      <c r="B40" s="141">
        <v>209</v>
      </c>
      <c r="C40" s="142" t="s">
        <v>1690</v>
      </c>
      <c r="D40" s="142" t="s">
        <v>1420</v>
      </c>
      <c r="E40" s="137">
        <f ca="1">SUMIF('9-Glasstaat'!$C:$C,$B40,'9-Glasstaat'!$I:$I)</f>
        <v>239</v>
      </c>
      <c r="F40" s="138">
        <f ca="1">SUMIF('9-Glasstaat'!$C:$C,$B40,'9-Glasstaat'!$M:$M)</f>
        <v>0</v>
      </c>
      <c r="G40" s="138">
        <f ca="1">SUMIF('9-Glasstaat'!$C:$C,$B40,'9-Glasstaat'!$N:$N)</f>
        <v>0</v>
      </c>
      <c r="H40" s="468">
        <v>0</v>
      </c>
      <c r="I40" s="606"/>
      <c r="J40" s="138">
        <f t="shared" si="8"/>
        <v>0</v>
      </c>
      <c r="K40" s="469">
        <v>0</v>
      </c>
      <c r="L40" s="138">
        <f t="shared" si="9"/>
        <v>0</v>
      </c>
      <c r="M40" s="138">
        <f t="shared" ca="1" si="10"/>
        <v>0</v>
      </c>
    </row>
    <row r="41" spans="1:13">
      <c r="B41" s="141">
        <v>210</v>
      </c>
      <c r="C41" s="142" t="s">
        <v>1691</v>
      </c>
      <c r="D41" s="142" t="s">
        <v>1420</v>
      </c>
      <c r="E41" s="137">
        <f ca="1">SUMIF('9-Glasstaat'!$C:$C,$B41,'9-Glasstaat'!$I:$I)</f>
        <v>220</v>
      </c>
      <c r="F41" s="138">
        <f ca="1">SUMIF('9-Glasstaat'!$C:$C,$B41,'9-Glasstaat'!$M:$M)</f>
        <v>0</v>
      </c>
      <c r="G41" s="138">
        <f ca="1">SUMIF('9-Glasstaat'!$C:$C,$B41,'9-Glasstaat'!$N:$N)</f>
        <v>0</v>
      </c>
      <c r="H41" s="468">
        <v>0</v>
      </c>
      <c r="I41" s="606"/>
      <c r="J41" s="138">
        <f t="shared" si="8"/>
        <v>0</v>
      </c>
      <c r="K41" s="469">
        <v>0</v>
      </c>
      <c r="L41" s="138">
        <f t="shared" si="9"/>
        <v>0</v>
      </c>
      <c r="M41" s="138">
        <f t="shared" ca="1" si="10"/>
        <v>0</v>
      </c>
    </row>
    <row r="42" spans="1:13">
      <c r="B42" s="141">
        <v>211</v>
      </c>
      <c r="C42" s="142" t="s">
        <v>1692</v>
      </c>
      <c r="D42" s="142" t="s">
        <v>1420</v>
      </c>
      <c r="E42" s="137">
        <f ca="1">SUMIF('9-Glasstaat'!$C:$C,$B42,'9-Glasstaat'!$I:$I)</f>
        <v>128</v>
      </c>
      <c r="F42" s="138">
        <f ca="1">SUMIF('9-Glasstaat'!$C:$C,$B42,'9-Glasstaat'!$M:$M)</f>
        <v>0</v>
      </c>
      <c r="G42" s="138">
        <f ca="1">SUMIF('9-Glasstaat'!$C:$C,$B42,'9-Glasstaat'!$N:$N)</f>
        <v>0</v>
      </c>
      <c r="H42" s="468">
        <v>0</v>
      </c>
      <c r="I42" s="606"/>
      <c r="J42" s="138">
        <f t="shared" si="8"/>
        <v>0</v>
      </c>
      <c r="K42" s="469">
        <v>0</v>
      </c>
      <c r="L42" s="138">
        <f t="shared" si="9"/>
        <v>0</v>
      </c>
      <c r="M42" s="138">
        <f t="shared" ca="1" si="10"/>
        <v>0</v>
      </c>
    </row>
    <row r="43" spans="1:13">
      <c r="B43" s="141">
        <v>212</v>
      </c>
      <c r="C43" s="142" t="s">
        <v>1693</v>
      </c>
      <c r="D43" s="142" t="s">
        <v>1420</v>
      </c>
      <c r="E43" s="137">
        <f ca="1">SUMIF('9-Glasstaat'!$C:$C,$B43,'9-Glasstaat'!$I:$I)</f>
        <v>148</v>
      </c>
      <c r="F43" s="138">
        <f ca="1">SUMIF('9-Glasstaat'!$C:$C,$B43,'9-Glasstaat'!$M:$M)</f>
        <v>0</v>
      </c>
      <c r="G43" s="138">
        <f ca="1">SUMIF('9-Glasstaat'!$C:$C,$B43,'9-Glasstaat'!$N:$N)</f>
        <v>0</v>
      </c>
      <c r="H43" s="468">
        <v>0</v>
      </c>
      <c r="I43" s="606"/>
      <c r="J43" s="138">
        <f t="shared" si="8"/>
        <v>0</v>
      </c>
      <c r="K43" s="469">
        <v>0</v>
      </c>
      <c r="L43" s="138">
        <f t="shared" si="9"/>
        <v>0</v>
      </c>
      <c r="M43" s="138">
        <f t="shared" ca="1" si="10"/>
        <v>0</v>
      </c>
    </row>
    <row r="44" spans="1:13">
      <c r="B44" s="141">
        <v>213</v>
      </c>
      <c r="C44" s="142" t="s">
        <v>1694</v>
      </c>
      <c r="D44" s="142" t="s">
        <v>1420</v>
      </c>
      <c r="E44" s="137">
        <f ca="1">SUMIF('9-Glasstaat'!$C:$C,$B44,'9-Glasstaat'!$I:$I)</f>
        <v>0</v>
      </c>
      <c r="F44" s="138">
        <f ca="1">SUMIF('9-Glasstaat'!$C:$C,$B44,'9-Glasstaat'!$M:$M)</f>
        <v>0</v>
      </c>
      <c r="G44" s="138">
        <f ca="1">SUMIF('9-Glasstaat'!$C:$C,$B44,'9-Glasstaat'!$N:$N)</f>
        <v>0</v>
      </c>
      <c r="H44" s="468">
        <v>0</v>
      </c>
      <c r="I44" s="606"/>
      <c r="J44" s="138">
        <f t="shared" si="8"/>
        <v>0</v>
      </c>
      <c r="K44" s="469">
        <v>0</v>
      </c>
      <c r="L44" s="138">
        <f t="shared" si="9"/>
        <v>0</v>
      </c>
      <c r="M44" s="138">
        <f t="shared" ca="1" si="10"/>
        <v>0</v>
      </c>
    </row>
    <row r="45" spans="1:13">
      <c r="B45" s="141">
        <v>214</v>
      </c>
      <c r="C45" s="142" t="s">
        <v>1695</v>
      </c>
      <c r="D45" s="142" t="s">
        <v>1420</v>
      </c>
      <c r="E45" s="137">
        <f ca="1">SUMIF('9-Glasstaat'!$C:$C,$B45,'9-Glasstaat'!$I:$I)</f>
        <v>0</v>
      </c>
      <c r="F45" s="138">
        <f ca="1">SUMIF('9-Glasstaat'!$C:$C,$B45,'9-Glasstaat'!$M:$M)</f>
        <v>0</v>
      </c>
      <c r="G45" s="138">
        <f ca="1">SUMIF('9-Glasstaat'!$C:$C,$B45,'9-Glasstaat'!$N:$N)</f>
        <v>0</v>
      </c>
      <c r="H45" s="468">
        <v>0</v>
      </c>
      <c r="I45" s="606"/>
      <c r="J45" s="138">
        <f t="shared" si="8"/>
        <v>0</v>
      </c>
      <c r="K45" s="469">
        <v>0</v>
      </c>
      <c r="L45" s="138">
        <f t="shared" si="9"/>
        <v>0</v>
      </c>
      <c r="M45" s="138">
        <f t="shared" ca="1" si="10"/>
        <v>0</v>
      </c>
    </row>
    <row r="46" spans="1:13">
      <c r="B46" s="141">
        <v>215</v>
      </c>
      <c r="C46" s="142" t="s">
        <v>1696</v>
      </c>
      <c r="D46" s="142" t="s">
        <v>1420</v>
      </c>
      <c r="E46" s="137">
        <f ca="1">SUMIF('9-Glasstaat'!$C:$C,$B46,'9-Glasstaat'!$I:$I)</f>
        <v>0</v>
      </c>
      <c r="F46" s="138">
        <f ca="1">SUMIF('9-Glasstaat'!$C:$C,$B46,'9-Glasstaat'!$M:$M)</f>
        <v>0</v>
      </c>
      <c r="G46" s="138">
        <f ca="1">SUMIF('9-Glasstaat'!$C:$C,$B46,'9-Glasstaat'!$N:$N)</f>
        <v>0</v>
      </c>
      <c r="H46" s="468">
        <v>0</v>
      </c>
      <c r="I46" s="606"/>
      <c r="J46" s="138">
        <f t="shared" si="8"/>
        <v>0</v>
      </c>
      <c r="K46" s="469">
        <v>0</v>
      </c>
      <c r="L46" s="138">
        <f t="shared" si="9"/>
        <v>0</v>
      </c>
      <c r="M46" s="138">
        <f t="shared" ca="1" si="10"/>
        <v>0</v>
      </c>
    </row>
    <row r="47" spans="1:13">
      <c r="A47" s="7" t="str">
        <f t="shared" si="7"/>
        <v>30152</v>
      </c>
      <c r="B47" s="139">
        <v>301</v>
      </c>
      <c r="C47" s="140" t="s">
        <v>1427</v>
      </c>
      <c r="D47" s="140" t="s">
        <v>1411</v>
      </c>
      <c r="E47" s="137">
        <f ca="1">SUMIF('9-Glasstaat'!$C:$C,$B47,'9-Glasstaat'!$I:$I)</f>
        <v>324.2</v>
      </c>
      <c r="F47" s="138">
        <f ca="1">SUMIF('9-Glasstaat'!$C:$C,$B47,'9-Glasstaat'!$M:$M)</f>
        <v>0</v>
      </c>
      <c r="G47" s="138">
        <f ca="1">SUMIF('9-Glasstaat'!$C:$C,$B47,'9-Glasstaat'!$N:$N)</f>
        <v>0</v>
      </c>
      <c r="H47" s="468">
        <v>0</v>
      </c>
      <c r="I47" s="606"/>
      <c r="J47" s="138">
        <f t="shared" si="4"/>
        <v>0</v>
      </c>
      <c r="K47" s="469">
        <v>0</v>
      </c>
      <c r="L47" s="138">
        <f t="shared" si="5"/>
        <v>0</v>
      </c>
      <c r="M47" s="138">
        <f t="shared" ca="1" si="6"/>
        <v>0</v>
      </c>
    </row>
    <row r="48" spans="1:13">
      <c r="A48" s="7" t="str">
        <f t="shared" si="7"/>
        <v>30252</v>
      </c>
      <c r="B48" s="139">
        <v>302</v>
      </c>
      <c r="C48" s="140" t="s">
        <v>1432</v>
      </c>
      <c r="D48" s="140" t="s">
        <v>1411</v>
      </c>
      <c r="E48" s="137">
        <f ca="1">SUMIF('9-Glasstaat'!$C:$C,$B48,'9-Glasstaat'!$I:$I)</f>
        <v>938.66999999999985</v>
      </c>
      <c r="F48" s="138">
        <f ca="1">SUMIF('9-Glasstaat'!$C:$C,$B48,'9-Glasstaat'!$M:$M)</f>
        <v>0</v>
      </c>
      <c r="G48" s="138">
        <f ca="1">SUMIF('9-Glasstaat'!$C:$C,$B48,'9-Glasstaat'!$N:$N)</f>
        <v>0</v>
      </c>
      <c r="H48" s="468">
        <v>0</v>
      </c>
      <c r="I48" s="606"/>
      <c r="J48" s="138">
        <f t="shared" si="4"/>
        <v>0</v>
      </c>
      <c r="K48" s="469">
        <v>0</v>
      </c>
      <c r="L48" s="138">
        <f t="shared" si="5"/>
        <v>0</v>
      </c>
      <c r="M48" s="138">
        <f t="shared" ca="1" si="6"/>
        <v>0</v>
      </c>
    </row>
    <row r="49" spans="1:13">
      <c r="A49" s="7" t="str">
        <f t="shared" si="7"/>
        <v>30352</v>
      </c>
      <c r="B49" s="139">
        <v>303</v>
      </c>
      <c r="C49" s="140" t="s">
        <v>1555</v>
      </c>
      <c r="D49" s="140" t="s">
        <v>1411</v>
      </c>
      <c r="E49" s="137">
        <f ca="1">SUMIF('9-Glasstaat'!$C:$C,$B49,'9-Glasstaat'!$I:$I)</f>
        <v>2159.3050000000003</v>
      </c>
      <c r="F49" s="138">
        <f ca="1">SUMIF('9-Glasstaat'!$C:$C,$B49,'9-Glasstaat'!$M:$M)</f>
        <v>0</v>
      </c>
      <c r="G49" s="138">
        <f ca="1">SUMIF('9-Glasstaat'!$C:$C,$B49,'9-Glasstaat'!$N:$N)</f>
        <v>0</v>
      </c>
      <c r="H49" s="468">
        <v>0</v>
      </c>
      <c r="I49" s="606"/>
      <c r="J49" s="138">
        <f t="shared" si="4"/>
        <v>0</v>
      </c>
      <c r="K49" s="469">
        <v>0</v>
      </c>
      <c r="L49" s="138">
        <f t="shared" si="5"/>
        <v>0</v>
      </c>
      <c r="M49" s="138">
        <f t="shared" ca="1" si="6"/>
        <v>0</v>
      </c>
    </row>
    <row r="50" spans="1:13">
      <c r="A50" s="7" t="str">
        <f t="shared" si="7"/>
        <v>30452</v>
      </c>
      <c r="B50" s="139">
        <v>304</v>
      </c>
      <c r="C50" s="140" t="s">
        <v>1414</v>
      </c>
      <c r="D50" s="140" t="s">
        <v>1411</v>
      </c>
      <c r="E50" s="137">
        <f ca="1">SUMIF('9-Glasstaat'!$C:$C,$B50,'9-Glasstaat'!$I:$I)</f>
        <v>1266.4000000000001</v>
      </c>
      <c r="F50" s="138">
        <f ca="1">SUMIF('9-Glasstaat'!$C:$C,$B50,'9-Glasstaat'!$M:$M)</f>
        <v>0</v>
      </c>
      <c r="G50" s="138">
        <f ca="1">SUMIF('9-Glasstaat'!$C:$C,$B50,'9-Glasstaat'!$N:$N)</f>
        <v>0</v>
      </c>
      <c r="H50" s="468">
        <v>0</v>
      </c>
      <c r="I50" s="606"/>
      <c r="J50" s="138">
        <f t="shared" si="4"/>
        <v>0</v>
      </c>
      <c r="K50" s="469">
        <v>0</v>
      </c>
      <c r="L50" s="138">
        <f t="shared" si="5"/>
        <v>0</v>
      </c>
      <c r="M50" s="138">
        <f t="shared" ca="1" si="6"/>
        <v>0</v>
      </c>
    </row>
    <row r="51" spans="1:13">
      <c r="A51" s="7" t="str">
        <f t="shared" si="7"/>
        <v>30552</v>
      </c>
      <c r="B51" s="139">
        <v>305</v>
      </c>
      <c r="C51" s="140" t="s">
        <v>1417</v>
      </c>
      <c r="D51" s="140" t="s">
        <v>1411</v>
      </c>
      <c r="E51" s="137">
        <f ca="1">SUMIF('9-Glasstaat'!$C:$C,$B51,'9-Glasstaat'!$I:$I)</f>
        <v>762.84</v>
      </c>
      <c r="F51" s="138">
        <f ca="1">SUMIF('9-Glasstaat'!$C:$C,$B51,'9-Glasstaat'!$M:$M)</f>
        <v>0</v>
      </c>
      <c r="G51" s="138">
        <f ca="1">SUMIF('9-Glasstaat'!$C:$C,$B51,'9-Glasstaat'!$N:$N)</f>
        <v>0</v>
      </c>
      <c r="H51" s="468">
        <v>0</v>
      </c>
      <c r="I51" s="606"/>
      <c r="J51" s="138">
        <f t="shared" si="4"/>
        <v>0</v>
      </c>
      <c r="K51" s="469">
        <v>0</v>
      </c>
      <c r="L51" s="138">
        <f t="shared" si="5"/>
        <v>0</v>
      </c>
      <c r="M51" s="138">
        <f t="shared" ca="1" si="6"/>
        <v>0</v>
      </c>
    </row>
    <row r="52" spans="1:13">
      <c r="A52" s="7" t="str">
        <f t="shared" si="7"/>
        <v>30652</v>
      </c>
      <c r="B52" s="139">
        <v>306</v>
      </c>
      <c r="C52" s="140" t="s">
        <v>1418</v>
      </c>
      <c r="D52" s="140" t="s">
        <v>1411</v>
      </c>
      <c r="E52" s="137">
        <f ca="1">SUMIF('9-Glasstaat'!$C:$C,$B52,'9-Glasstaat'!$I:$I)</f>
        <v>596.79999999999995</v>
      </c>
      <c r="F52" s="138">
        <f ca="1">SUMIF('9-Glasstaat'!$C:$C,$B52,'9-Glasstaat'!$M:$M)</f>
        <v>0</v>
      </c>
      <c r="G52" s="138">
        <f ca="1">SUMIF('9-Glasstaat'!$C:$C,$B52,'9-Glasstaat'!$N:$N)</f>
        <v>0</v>
      </c>
      <c r="H52" s="468">
        <v>0</v>
      </c>
      <c r="I52" s="606"/>
      <c r="J52" s="138">
        <f t="shared" si="4"/>
        <v>0</v>
      </c>
      <c r="K52" s="469">
        <v>0</v>
      </c>
      <c r="L52" s="138">
        <f t="shared" si="5"/>
        <v>0</v>
      </c>
      <c r="M52" s="138">
        <f t="shared" ca="1" si="6"/>
        <v>0</v>
      </c>
    </row>
    <row r="53" spans="1:13">
      <c r="A53" s="7" t="str">
        <f t="shared" si="7"/>
        <v>30752</v>
      </c>
      <c r="B53" s="139">
        <v>307</v>
      </c>
      <c r="C53" s="140" t="s">
        <v>1412</v>
      </c>
      <c r="D53" s="140" t="s">
        <v>1411</v>
      </c>
      <c r="E53" s="137">
        <f ca="1">SUMIF('9-Glasstaat'!$C:$C,$B53,'9-Glasstaat'!$I:$I)</f>
        <v>2309.0409999999997</v>
      </c>
      <c r="F53" s="138">
        <f ca="1">SUMIF('9-Glasstaat'!$C:$C,$B53,'9-Glasstaat'!$M:$M)</f>
        <v>0</v>
      </c>
      <c r="G53" s="138">
        <f ca="1">SUMIF('9-Glasstaat'!$C:$C,$B53,'9-Glasstaat'!$N:$N)</f>
        <v>0</v>
      </c>
      <c r="H53" s="468">
        <v>0</v>
      </c>
      <c r="I53" s="606"/>
      <c r="J53" s="138">
        <f t="shared" si="4"/>
        <v>0</v>
      </c>
      <c r="K53" s="469">
        <v>0</v>
      </c>
      <c r="L53" s="138">
        <f t="shared" si="5"/>
        <v>0</v>
      </c>
      <c r="M53" s="138">
        <f t="shared" ca="1" si="6"/>
        <v>0</v>
      </c>
    </row>
    <row r="54" spans="1:13">
      <c r="A54" s="7" t="str">
        <f t="shared" si="7"/>
        <v>30852</v>
      </c>
      <c r="B54" s="139">
        <v>308</v>
      </c>
      <c r="C54" s="140" t="s">
        <v>1419</v>
      </c>
      <c r="D54" s="140" t="s">
        <v>1411</v>
      </c>
      <c r="E54" s="137">
        <f ca="1">SUMIF('9-Glasstaat'!$C:$C,$B54,'9-Glasstaat'!$I:$I)</f>
        <v>608.79999999999995</v>
      </c>
      <c r="F54" s="138">
        <f ca="1">SUMIF('9-Glasstaat'!$C:$C,$B54,'9-Glasstaat'!$M:$M)</f>
        <v>0</v>
      </c>
      <c r="G54" s="138">
        <f ca="1">SUMIF('9-Glasstaat'!$C:$C,$B54,'9-Glasstaat'!$N:$N)</f>
        <v>0</v>
      </c>
      <c r="H54" s="468">
        <v>0</v>
      </c>
      <c r="I54" s="606"/>
      <c r="J54" s="138">
        <f t="shared" si="4"/>
        <v>0</v>
      </c>
      <c r="K54" s="469">
        <v>0</v>
      </c>
      <c r="L54" s="138">
        <f t="shared" si="5"/>
        <v>0</v>
      </c>
      <c r="M54" s="138">
        <f t="shared" ca="1" si="6"/>
        <v>0</v>
      </c>
    </row>
    <row r="55" spans="1:13">
      <c r="A55" s="7" t="str">
        <f t="shared" si="7"/>
        <v>30952</v>
      </c>
      <c r="B55" s="139">
        <v>309</v>
      </c>
      <c r="C55" s="140" t="s">
        <v>1415</v>
      </c>
      <c r="D55" s="140" t="s">
        <v>1411</v>
      </c>
      <c r="E55" s="137">
        <f ca="1">SUMIF('9-Glasstaat'!$C:$C,$B55,'9-Glasstaat'!$I:$I)</f>
        <v>619.79999999999995</v>
      </c>
      <c r="F55" s="138">
        <f ca="1">SUMIF('9-Glasstaat'!$C:$C,$B55,'9-Glasstaat'!$M:$M)</f>
        <v>0</v>
      </c>
      <c r="G55" s="138">
        <f ca="1">SUMIF('9-Glasstaat'!$C:$C,$B55,'9-Glasstaat'!$N:$N)</f>
        <v>0</v>
      </c>
      <c r="H55" s="468">
        <v>0</v>
      </c>
      <c r="I55" s="606"/>
      <c r="J55" s="138">
        <f t="shared" si="4"/>
        <v>0</v>
      </c>
      <c r="K55" s="469">
        <v>0</v>
      </c>
      <c r="L55" s="138">
        <f t="shared" si="5"/>
        <v>0</v>
      </c>
      <c r="M55" s="138">
        <f t="shared" ca="1" si="6"/>
        <v>0</v>
      </c>
    </row>
    <row r="56" spans="1:13">
      <c r="A56" s="7" t="str">
        <f t="shared" si="7"/>
        <v>31052</v>
      </c>
      <c r="B56" s="139">
        <v>310</v>
      </c>
      <c r="C56" s="140" t="s">
        <v>1416</v>
      </c>
      <c r="D56" s="140" t="s">
        <v>1411</v>
      </c>
      <c r="E56" s="137">
        <f ca="1">SUMIF('9-Glasstaat'!$C:$C,$B56,'9-Glasstaat'!$I:$I)</f>
        <v>599</v>
      </c>
      <c r="F56" s="138">
        <f ca="1">SUMIF('9-Glasstaat'!$C:$C,$B56,'9-Glasstaat'!$M:$M)</f>
        <v>0</v>
      </c>
      <c r="G56" s="138">
        <f ca="1">SUMIF('9-Glasstaat'!$C:$C,$B56,'9-Glasstaat'!$N:$N)</f>
        <v>0</v>
      </c>
      <c r="H56" s="468">
        <v>0</v>
      </c>
      <c r="I56" s="606"/>
      <c r="J56" s="138">
        <f t="shared" si="4"/>
        <v>0</v>
      </c>
      <c r="K56" s="469">
        <v>0</v>
      </c>
      <c r="L56" s="138">
        <f t="shared" si="5"/>
        <v>0</v>
      </c>
      <c r="M56" s="138">
        <f t="shared" ca="1" si="6"/>
        <v>0</v>
      </c>
    </row>
    <row r="57" spans="1:13">
      <c r="A57" s="7" t="str">
        <f t="shared" si="7"/>
        <v>31152</v>
      </c>
      <c r="B57" s="139">
        <v>311</v>
      </c>
      <c r="C57" s="140" t="s">
        <v>1413</v>
      </c>
      <c r="D57" s="140" t="s">
        <v>1411</v>
      </c>
      <c r="E57" s="137">
        <f ca="1">SUMIF('9-Glasstaat'!$C:$C,$B57,'9-Glasstaat'!$I:$I)</f>
        <v>3015.8199999999997</v>
      </c>
      <c r="F57" s="138">
        <f ca="1">SUMIF('9-Glasstaat'!$C:$C,$B57,'9-Glasstaat'!$M:$M)</f>
        <v>0</v>
      </c>
      <c r="G57" s="138">
        <f ca="1">SUMIF('9-Glasstaat'!$C:$C,$B57,'9-Glasstaat'!$N:$N)</f>
        <v>0</v>
      </c>
      <c r="H57" s="468">
        <v>0</v>
      </c>
      <c r="I57" s="606"/>
      <c r="J57" s="138">
        <f t="shared" si="4"/>
        <v>0</v>
      </c>
      <c r="K57" s="469">
        <v>0</v>
      </c>
      <c r="L57" s="138">
        <f t="shared" si="5"/>
        <v>0</v>
      </c>
      <c r="M57" s="138">
        <f t="shared" ca="1" si="6"/>
        <v>0</v>
      </c>
    </row>
    <row r="58" spans="1:13">
      <c r="A58" s="7" t="str">
        <f t="shared" si="7"/>
        <v>31252</v>
      </c>
      <c r="B58" s="139">
        <v>312</v>
      </c>
      <c r="C58" s="140" t="s">
        <v>1429</v>
      </c>
      <c r="D58" s="140" t="s">
        <v>1411</v>
      </c>
      <c r="E58" s="137">
        <f ca="1">SUMIF('9-Glasstaat'!$C:$C,$B58,'9-Glasstaat'!$I:$I)</f>
        <v>773.38500000000033</v>
      </c>
      <c r="F58" s="138">
        <f ca="1">SUMIF('9-Glasstaat'!$C:$C,$B58,'9-Glasstaat'!$M:$M)</f>
        <v>0</v>
      </c>
      <c r="G58" s="138">
        <f ca="1">SUMIF('9-Glasstaat'!$C:$C,$B58,'9-Glasstaat'!$N:$N)</f>
        <v>0</v>
      </c>
      <c r="H58" s="468">
        <v>0</v>
      </c>
      <c r="I58" s="606"/>
      <c r="J58" s="138">
        <f t="shared" si="4"/>
        <v>0</v>
      </c>
      <c r="K58" s="469">
        <v>0</v>
      </c>
      <c r="L58" s="138">
        <f t="shared" si="5"/>
        <v>0</v>
      </c>
      <c r="M58" s="138">
        <f t="shared" ca="1" si="6"/>
        <v>0</v>
      </c>
    </row>
    <row r="59" spans="1:13">
      <c r="A59" s="7" t="str">
        <f t="shared" si="7"/>
        <v>40152</v>
      </c>
      <c r="B59" s="139">
        <v>401</v>
      </c>
      <c r="C59" s="140" t="s">
        <v>1556</v>
      </c>
      <c r="D59" s="140" t="s">
        <v>1557</v>
      </c>
      <c r="E59" s="137">
        <f ca="1">SUMIF('9-Glasstaat'!$C:$C,$B59,'9-Glasstaat'!$I:$I)</f>
        <v>28.049999999999997</v>
      </c>
      <c r="F59" s="138">
        <f ca="1">SUMIF('9-Glasstaat'!$C:$C,$B59,'9-Glasstaat'!$M:$M)</f>
        <v>0</v>
      </c>
      <c r="G59" s="138">
        <f ca="1">SUMIF('9-Glasstaat'!$C:$C,$B59,'9-Glasstaat'!$N:$N)</f>
        <v>0</v>
      </c>
      <c r="H59" s="468">
        <v>0</v>
      </c>
      <c r="I59" s="606"/>
      <c r="J59" s="138">
        <f t="shared" si="4"/>
        <v>0</v>
      </c>
      <c r="K59" s="469">
        <v>0</v>
      </c>
      <c r="L59" s="138">
        <f t="shared" si="5"/>
        <v>0</v>
      </c>
      <c r="M59" s="138">
        <f t="shared" ca="1" si="6"/>
        <v>0</v>
      </c>
    </row>
    <row r="60" spans="1:13">
      <c r="A60" s="7" t="str">
        <f t="shared" si="7"/>
        <v>40252</v>
      </c>
      <c r="B60" s="139">
        <v>402</v>
      </c>
      <c r="C60" s="140" t="s">
        <v>1499</v>
      </c>
      <c r="D60" s="140" t="s">
        <v>1557</v>
      </c>
      <c r="E60" s="137">
        <f ca="1">SUMIF('9-Glasstaat'!$C:$C,$B60,'9-Glasstaat'!$I:$I)</f>
        <v>28.049999999999997</v>
      </c>
      <c r="F60" s="138">
        <f ca="1">SUMIF('9-Glasstaat'!$C:$C,$B60,'9-Glasstaat'!$M:$M)</f>
        <v>0</v>
      </c>
      <c r="G60" s="138">
        <f ca="1">SUMIF('9-Glasstaat'!$C:$C,$B60,'9-Glasstaat'!$N:$N)</f>
        <v>0</v>
      </c>
      <c r="H60" s="468">
        <v>0</v>
      </c>
      <c r="I60" s="606"/>
      <c r="J60" s="138">
        <f t="shared" si="4"/>
        <v>0</v>
      </c>
      <c r="K60" s="469">
        <v>0</v>
      </c>
      <c r="L60" s="138">
        <f t="shared" si="5"/>
        <v>0</v>
      </c>
      <c r="M60" s="138">
        <f t="shared" ca="1" si="6"/>
        <v>0</v>
      </c>
    </row>
    <row r="61" spans="1:13">
      <c r="A61" s="7" t="str">
        <f t="shared" si="7"/>
        <v>40352</v>
      </c>
      <c r="B61" s="139">
        <v>403</v>
      </c>
      <c r="C61" s="140" t="s">
        <v>1505</v>
      </c>
      <c r="D61" s="140" t="s">
        <v>1557</v>
      </c>
      <c r="E61" s="137">
        <f ca="1">SUMIF('9-Glasstaat'!$C:$C,$B61,'9-Glasstaat'!$I:$I)</f>
        <v>0</v>
      </c>
      <c r="F61" s="138">
        <f ca="1">SUMIF('9-Glasstaat'!$C:$C,$B61,'9-Glasstaat'!$M:$M)</f>
        <v>0</v>
      </c>
      <c r="G61" s="138">
        <f ca="1">SUMIF('9-Glasstaat'!$C:$C,$B61,'9-Glasstaat'!$N:$N)</f>
        <v>0</v>
      </c>
      <c r="H61" s="468">
        <v>0</v>
      </c>
      <c r="I61" s="606"/>
      <c r="J61" s="138">
        <f t="shared" si="4"/>
        <v>0</v>
      </c>
      <c r="K61" s="469">
        <v>0</v>
      </c>
      <c r="L61" s="138">
        <f t="shared" si="5"/>
        <v>0</v>
      </c>
      <c r="M61" s="138">
        <f t="shared" ca="1" si="6"/>
        <v>0</v>
      </c>
    </row>
    <row r="62" spans="1:13">
      <c r="A62" s="7" t="str">
        <f t="shared" si="7"/>
        <v>40452</v>
      </c>
      <c r="B62" s="139">
        <v>404</v>
      </c>
      <c r="C62" s="140" t="s">
        <v>1506</v>
      </c>
      <c r="D62" s="140" t="s">
        <v>1557</v>
      </c>
      <c r="E62" s="137">
        <f ca="1">SUMIF('9-Glasstaat'!$C:$C,$B62,'9-Glasstaat'!$I:$I)</f>
        <v>0</v>
      </c>
      <c r="F62" s="138">
        <f ca="1">SUMIF('9-Glasstaat'!$C:$C,$B62,'9-Glasstaat'!$M:$M)</f>
        <v>0</v>
      </c>
      <c r="G62" s="138">
        <f ca="1">SUMIF('9-Glasstaat'!$C:$C,$B62,'9-Glasstaat'!$N:$N)</f>
        <v>0</v>
      </c>
      <c r="H62" s="468">
        <v>0</v>
      </c>
      <c r="I62" s="606"/>
      <c r="J62" s="138">
        <f t="shared" si="4"/>
        <v>0</v>
      </c>
      <c r="K62" s="469">
        <v>0</v>
      </c>
      <c r="L62" s="138">
        <f t="shared" si="5"/>
        <v>0</v>
      </c>
      <c r="M62" s="138">
        <f t="shared" ca="1" si="6"/>
        <v>0</v>
      </c>
    </row>
    <row r="63" spans="1:13">
      <c r="A63" s="7" t="str">
        <f t="shared" si="7"/>
        <v>40552</v>
      </c>
      <c r="B63" s="139">
        <v>405</v>
      </c>
      <c r="C63" s="140" t="s">
        <v>1507</v>
      </c>
      <c r="D63" s="140" t="s">
        <v>1557</v>
      </c>
      <c r="E63" s="137">
        <f ca="1">SUMIF('9-Glasstaat'!$C:$C,$B63,'9-Glasstaat'!$I:$I)</f>
        <v>28.049999999999997</v>
      </c>
      <c r="F63" s="138">
        <f ca="1">SUMIF('9-Glasstaat'!$C:$C,$B63,'9-Glasstaat'!$M:$M)</f>
        <v>0</v>
      </c>
      <c r="G63" s="138">
        <f ca="1">SUMIF('9-Glasstaat'!$C:$C,$B63,'9-Glasstaat'!$N:$N)</f>
        <v>0</v>
      </c>
      <c r="H63" s="468">
        <v>0</v>
      </c>
      <c r="I63" s="606"/>
      <c r="J63" s="138">
        <f t="shared" si="4"/>
        <v>0</v>
      </c>
      <c r="K63" s="469">
        <v>0</v>
      </c>
      <c r="L63" s="138">
        <f t="shared" si="5"/>
        <v>0</v>
      </c>
      <c r="M63" s="138">
        <f t="shared" ca="1" si="6"/>
        <v>0</v>
      </c>
    </row>
    <row r="64" spans="1:13">
      <c r="A64" s="7" t="str">
        <f t="shared" si="7"/>
        <v>40652</v>
      </c>
      <c r="B64" s="139">
        <v>406</v>
      </c>
      <c r="C64" s="140" t="s">
        <v>1510</v>
      </c>
      <c r="D64" s="140" t="s">
        <v>1557</v>
      </c>
      <c r="E64" s="137">
        <f ca="1">SUMIF('9-Glasstaat'!$C:$C,$B64,'9-Glasstaat'!$I:$I)</f>
        <v>13.845000000000001</v>
      </c>
      <c r="F64" s="138">
        <f ca="1">SUMIF('9-Glasstaat'!$C:$C,$B64,'9-Glasstaat'!$M:$M)</f>
        <v>0</v>
      </c>
      <c r="G64" s="138">
        <f ca="1">SUMIF('9-Glasstaat'!$C:$C,$B64,'9-Glasstaat'!$N:$N)</f>
        <v>0</v>
      </c>
      <c r="H64" s="468">
        <v>0</v>
      </c>
      <c r="I64" s="606"/>
      <c r="J64" s="138">
        <f t="shared" si="4"/>
        <v>0</v>
      </c>
      <c r="K64" s="469">
        <v>0</v>
      </c>
      <c r="L64" s="138">
        <f t="shared" si="5"/>
        <v>0</v>
      </c>
      <c r="M64" s="138">
        <f t="shared" ca="1" si="6"/>
        <v>0</v>
      </c>
    </row>
    <row r="65" spans="1:13">
      <c r="A65" s="7" t="str">
        <f t="shared" si="7"/>
        <v>40752</v>
      </c>
      <c r="B65" s="139">
        <v>407</v>
      </c>
      <c r="C65" s="140" t="s">
        <v>1512</v>
      </c>
      <c r="D65" s="140" t="s">
        <v>1557</v>
      </c>
      <c r="E65" s="137">
        <f ca="1">SUMIF('9-Glasstaat'!$C:$C,$B65,'9-Glasstaat'!$I:$I)</f>
        <v>25.17</v>
      </c>
      <c r="F65" s="138">
        <f ca="1">SUMIF('9-Glasstaat'!$C:$C,$B65,'9-Glasstaat'!$M:$M)</f>
        <v>0</v>
      </c>
      <c r="G65" s="138">
        <f ca="1">SUMIF('9-Glasstaat'!$C:$C,$B65,'9-Glasstaat'!$N:$N)</f>
        <v>0</v>
      </c>
      <c r="H65" s="468">
        <v>0</v>
      </c>
      <c r="I65" s="606"/>
      <c r="J65" s="138">
        <f t="shared" si="4"/>
        <v>0</v>
      </c>
      <c r="K65" s="469">
        <v>0</v>
      </c>
      <c r="L65" s="138">
        <f t="shared" si="5"/>
        <v>0</v>
      </c>
      <c r="M65" s="138">
        <f t="shared" ca="1" si="6"/>
        <v>0</v>
      </c>
    </row>
    <row r="66" spans="1:13">
      <c r="A66" s="7" t="str">
        <f t="shared" si="7"/>
        <v>40852</v>
      </c>
      <c r="B66" s="139">
        <v>408</v>
      </c>
      <c r="C66" s="140" t="s">
        <v>1515</v>
      </c>
      <c r="D66" s="140" t="s">
        <v>1557</v>
      </c>
      <c r="E66" s="137">
        <f ca="1">SUMIF('9-Glasstaat'!$C:$C,$B66,'9-Glasstaat'!$I:$I)</f>
        <v>19.695</v>
      </c>
      <c r="F66" s="138">
        <f ca="1">SUMIF('9-Glasstaat'!$C:$C,$B66,'9-Glasstaat'!$M:$M)</f>
        <v>0</v>
      </c>
      <c r="G66" s="138">
        <f ca="1">SUMIF('9-Glasstaat'!$C:$C,$B66,'9-Glasstaat'!$N:$N)</f>
        <v>0</v>
      </c>
      <c r="H66" s="468">
        <v>0</v>
      </c>
      <c r="I66" s="606"/>
      <c r="J66" s="138">
        <f t="shared" si="4"/>
        <v>0</v>
      </c>
      <c r="K66" s="469">
        <v>0</v>
      </c>
      <c r="L66" s="138">
        <f t="shared" si="5"/>
        <v>0</v>
      </c>
      <c r="M66" s="138">
        <f t="shared" ca="1" si="6"/>
        <v>0</v>
      </c>
    </row>
    <row r="67" spans="1:13">
      <c r="A67" s="7" t="str">
        <f t="shared" si="7"/>
        <v>40952</v>
      </c>
      <c r="B67" s="139">
        <v>409</v>
      </c>
      <c r="C67" s="140" t="s">
        <v>1558</v>
      </c>
      <c r="D67" s="140" t="s">
        <v>1557</v>
      </c>
      <c r="E67" s="137">
        <f ca="1">SUMIF('9-Glasstaat'!$C:$C,$B67,'9-Glasstaat'!$I:$I)</f>
        <v>0</v>
      </c>
      <c r="F67" s="138">
        <f ca="1">SUMIF('9-Glasstaat'!$C:$C,$B67,'9-Glasstaat'!$M:$M)</f>
        <v>0</v>
      </c>
      <c r="G67" s="138">
        <f ca="1">SUMIF('9-Glasstaat'!$C:$C,$B67,'9-Glasstaat'!$N:$N)</f>
        <v>0</v>
      </c>
      <c r="H67" s="468">
        <v>0</v>
      </c>
      <c r="I67" s="606"/>
      <c r="J67" s="138">
        <f t="shared" si="4"/>
        <v>0</v>
      </c>
      <c r="K67" s="469">
        <v>0</v>
      </c>
      <c r="L67" s="138">
        <f t="shared" si="5"/>
        <v>0</v>
      </c>
      <c r="M67" s="138">
        <f t="shared" ca="1" si="6"/>
        <v>0</v>
      </c>
    </row>
    <row r="68" spans="1:13">
      <c r="A68" s="7" t="str">
        <f t="shared" si="7"/>
        <v>41052</v>
      </c>
      <c r="B68" s="139">
        <v>410</v>
      </c>
      <c r="C68" s="140" t="s">
        <v>1517</v>
      </c>
      <c r="D68" s="140" t="s">
        <v>1557</v>
      </c>
      <c r="E68" s="137">
        <f ca="1">SUMIF('9-Glasstaat'!$C:$C,$B68,'9-Glasstaat'!$I:$I)</f>
        <v>0</v>
      </c>
      <c r="F68" s="138">
        <f ca="1">SUMIF('9-Glasstaat'!$C:$C,$B68,'9-Glasstaat'!$M:$M)</f>
        <v>0</v>
      </c>
      <c r="G68" s="138">
        <f ca="1">SUMIF('9-Glasstaat'!$C:$C,$B68,'9-Glasstaat'!$N:$N)</f>
        <v>0</v>
      </c>
      <c r="H68" s="468">
        <v>0</v>
      </c>
      <c r="I68" s="606"/>
      <c r="J68" s="138">
        <f t="shared" si="4"/>
        <v>0</v>
      </c>
      <c r="K68" s="469">
        <v>0</v>
      </c>
      <c r="L68" s="138">
        <f t="shared" si="5"/>
        <v>0</v>
      </c>
      <c r="M68" s="138">
        <f t="shared" ca="1" si="6"/>
        <v>0</v>
      </c>
    </row>
    <row r="69" spans="1:13">
      <c r="A69" s="7" t="str">
        <f t="shared" si="7"/>
        <v>41152</v>
      </c>
      <c r="B69" s="139">
        <v>411</v>
      </c>
      <c r="C69" s="140" t="s">
        <v>1518</v>
      </c>
      <c r="D69" s="140" t="s">
        <v>1557</v>
      </c>
      <c r="E69" s="137">
        <f ca="1">SUMIF('9-Glasstaat'!$C:$C,$B69,'9-Glasstaat'!$I:$I)</f>
        <v>0</v>
      </c>
      <c r="F69" s="138">
        <f ca="1">SUMIF('9-Glasstaat'!$C:$C,$B69,'9-Glasstaat'!$M:$M)</f>
        <v>0</v>
      </c>
      <c r="G69" s="138">
        <f ca="1">SUMIF('9-Glasstaat'!$C:$C,$B69,'9-Glasstaat'!$N:$N)</f>
        <v>0</v>
      </c>
      <c r="H69" s="468">
        <v>0</v>
      </c>
      <c r="I69" s="606"/>
      <c r="J69" s="138">
        <f t="shared" si="4"/>
        <v>0</v>
      </c>
      <c r="K69" s="469">
        <v>0</v>
      </c>
      <c r="L69" s="138">
        <f t="shared" si="5"/>
        <v>0</v>
      </c>
      <c r="M69" s="138">
        <f t="shared" ca="1" si="6"/>
        <v>0</v>
      </c>
    </row>
    <row r="70" spans="1:13">
      <c r="A70" s="7" t="str">
        <f t="shared" si="7"/>
        <v>41252</v>
      </c>
      <c r="B70" s="139">
        <v>412</v>
      </c>
      <c r="C70" s="140" t="s">
        <v>1519</v>
      </c>
      <c r="D70" s="140" t="s">
        <v>1557</v>
      </c>
      <c r="E70" s="137">
        <f ca="1">SUMIF('9-Glasstaat'!$C:$C,$B70,'9-Glasstaat'!$I:$I)</f>
        <v>0</v>
      </c>
      <c r="F70" s="138">
        <f ca="1">SUMIF('9-Glasstaat'!$C:$C,$B70,'9-Glasstaat'!$M:$M)</f>
        <v>0</v>
      </c>
      <c r="G70" s="138">
        <f ca="1">SUMIF('9-Glasstaat'!$C:$C,$B70,'9-Glasstaat'!$N:$N)</f>
        <v>0</v>
      </c>
      <c r="H70" s="468">
        <v>0</v>
      </c>
      <c r="I70" s="606"/>
      <c r="J70" s="138">
        <f t="shared" si="4"/>
        <v>0</v>
      </c>
      <c r="K70" s="469">
        <v>0</v>
      </c>
      <c r="L70" s="138">
        <f t="shared" si="5"/>
        <v>0</v>
      </c>
      <c r="M70" s="138">
        <f t="shared" ca="1" si="6"/>
        <v>0</v>
      </c>
    </row>
    <row r="71" spans="1:13">
      <c r="A71" s="7" t="str">
        <f t="shared" si="7"/>
        <v>41352</v>
      </c>
      <c r="B71" s="139">
        <v>413</v>
      </c>
      <c r="C71" s="140" t="s">
        <v>1520</v>
      </c>
      <c r="D71" s="140" t="s">
        <v>1557</v>
      </c>
      <c r="E71" s="137">
        <f ca="1">SUMIF('9-Glasstaat'!$C:$C,$B71,'9-Glasstaat'!$I:$I)</f>
        <v>0</v>
      </c>
      <c r="F71" s="138">
        <f ca="1">SUMIF('9-Glasstaat'!$C:$C,$B71,'9-Glasstaat'!$M:$M)</f>
        <v>0</v>
      </c>
      <c r="G71" s="138">
        <f ca="1">SUMIF('9-Glasstaat'!$C:$C,$B71,'9-Glasstaat'!$N:$N)</f>
        <v>0</v>
      </c>
      <c r="H71" s="468">
        <v>0</v>
      </c>
      <c r="I71" s="606"/>
      <c r="J71" s="138">
        <f t="shared" si="4"/>
        <v>0</v>
      </c>
      <c r="K71" s="469">
        <v>0</v>
      </c>
      <c r="L71" s="138">
        <f t="shared" si="5"/>
        <v>0</v>
      </c>
      <c r="M71" s="138">
        <f t="shared" ca="1" si="6"/>
        <v>0</v>
      </c>
    </row>
    <row r="72" spans="1:13">
      <c r="A72" s="7" t="str">
        <f t="shared" si="7"/>
        <v>41452</v>
      </c>
      <c r="B72" s="139">
        <v>414</v>
      </c>
      <c r="C72" s="140" t="s">
        <v>1521</v>
      </c>
      <c r="D72" s="140" t="s">
        <v>1557</v>
      </c>
      <c r="E72" s="137">
        <f ca="1">SUMIF('9-Glasstaat'!$C:$C,$B72,'9-Glasstaat'!$I:$I)</f>
        <v>0</v>
      </c>
      <c r="F72" s="138">
        <f ca="1">SUMIF('9-Glasstaat'!$C:$C,$B72,'9-Glasstaat'!$M:$M)</f>
        <v>0</v>
      </c>
      <c r="G72" s="138">
        <f ca="1">SUMIF('9-Glasstaat'!$C:$C,$B72,'9-Glasstaat'!$N:$N)</f>
        <v>0</v>
      </c>
      <c r="H72" s="468">
        <v>0</v>
      </c>
      <c r="I72" s="606"/>
      <c r="J72" s="138">
        <f t="shared" si="4"/>
        <v>0</v>
      </c>
      <c r="K72" s="469">
        <v>0</v>
      </c>
      <c r="L72" s="138">
        <f t="shared" si="5"/>
        <v>0</v>
      </c>
      <c r="M72" s="138">
        <f t="shared" ca="1" si="6"/>
        <v>0</v>
      </c>
    </row>
    <row r="73" spans="1:13">
      <c r="A73" s="7" t="str">
        <f t="shared" si="7"/>
        <v>41552</v>
      </c>
      <c r="B73" s="139">
        <v>415</v>
      </c>
      <c r="C73" s="140" t="s">
        <v>1522</v>
      </c>
      <c r="D73" s="140" t="s">
        <v>1557</v>
      </c>
      <c r="E73" s="137">
        <f ca="1">SUMIF('9-Glasstaat'!$C:$C,$B73,'9-Glasstaat'!$I:$I)</f>
        <v>0</v>
      </c>
      <c r="F73" s="138">
        <f ca="1">SUMIF('9-Glasstaat'!$C:$C,$B73,'9-Glasstaat'!$M:$M)</f>
        <v>0</v>
      </c>
      <c r="G73" s="138">
        <f ca="1">SUMIF('9-Glasstaat'!$C:$C,$B73,'9-Glasstaat'!$N:$N)</f>
        <v>0</v>
      </c>
      <c r="H73" s="468">
        <v>0</v>
      </c>
      <c r="I73" s="606"/>
      <c r="J73" s="138">
        <f t="shared" si="4"/>
        <v>0</v>
      </c>
      <c r="K73" s="469">
        <v>0</v>
      </c>
      <c r="L73" s="138">
        <f t="shared" si="5"/>
        <v>0</v>
      </c>
      <c r="M73" s="138">
        <f t="shared" ca="1" si="6"/>
        <v>0</v>
      </c>
    </row>
    <row r="74" spans="1:13">
      <c r="B74" s="472" t="s">
        <v>1089</v>
      </c>
      <c r="C74" s="473"/>
      <c r="D74" s="473"/>
      <c r="E74" s="474"/>
      <c r="F74" s="475"/>
      <c r="G74" s="475">
        <f ca="1">SUM(G13:G73)</f>
        <v>0</v>
      </c>
      <c r="H74" s="475"/>
      <c r="I74" s="475"/>
      <c r="J74" s="473"/>
      <c r="K74" s="473"/>
      <c r="L74" s="476"/>
      <c r="M74" s="477">
        <f ca="1">SUM(M13:M73)</f>
        <v>0</v>
      </c>
    </row>
    <row r="75" spans="1:13">
      <c r="F75" s="133"/>
      <c r="I75" s="7"/>
      <c r="J75" s="7"/>
    </row>
    <row r="76" spans="1:13">
      <c r="F76" s="133"/>
      <c r="H76" s="7"/>
      <c r="I76" s="7"/>
      <c r="J76" s="7"/>
    </row>
    <row r="77" spans="1:13">
      <c r="F77" s="133"/>
      <c r="H77" s="143"/>
      <c r="I77" s="7"/>
      <c r="J77" s="7"/>
    </row>
    <row r="78" spans="1:13">
      <c r="F78" s="133"/>
      <c r="H78" s="7"/>
      <c r="I78" s="7"/>
      <c r="J78" s="7"/>
    </row>
    <row r="79" spans="1:13">
      <c r="F79" s="133"/>
      <c r="H79" s="7"/>
      <c r="I79" s="7"/>
      <c r="J79" s="7"/>
    </row>
    <row r="80" spans="1:13">
      <c r="F80" s="133"/>
      <c r="H80" s="7"/>
      <c r="I80" s="7"/>
      <c r="J80" s="7"/>
    </row>
    <row r="81" spans="6:10">
      <c r="F81" s="133"/>
      <c r="H81" s="7"/>
      <c r="I81" s="7"/>
      <c r="J81" s="7"/>
    </row>
    <row r="82" spans="6:10">
      <c r="F82" s="133"/>
      <c r="H82" s="7"/>
      <c r="I82" s="7"/>
      <c r="J82" s="7"/>
    </row>
    <row r="83" spans="6:10">
      <c r="F83" s="133"/>
      <c r="H83" s="7"/>
      <c r="I83" s="7"/>
      <c r="J83" s="7"/>
    </row>
    <row r="84" spans="6:10">
      <c r="F84" s="133"/>
      <c r="H84" s="7"/>
      <c r="I84" s="7"/>
      <c r="J84" s="7"/>
    </row>
    <row r="85" spans="6:10">
      <c r="F85" s="133"/>
      <c r="H85" s="7"/>
      <c r="I85" s="7"/>
      <c r="J85" s="7"/>
    </row>
    <row r="86" spans="6:10">
      <c r="F86" s="133"/>
      <c r="H86" s="7"/>
      <c r="I86" s="7"/>
      <c r="J86" s="7"/>
    </row>
    <row r="87" spans="6:10">
      <c r="F87" s="133"/>
      <c r="H87" s="7"/>
      <c r="I87" s="7"/>
      <c r="J87" s="7"/>
    </row>
    <row r="88" spans="6:10">
      <c r="F88" s="133"/>
      <c r="H88" s="7"/>
      <c r="I88" s="7"/>
      <c r="J88" s="7"/>
    </row>
    <row r="89" spans="6:10">
      <c r="F89" s="133"/>
      <c r="H89" s="7"/>
      <c r="I89" s="7"/>
      <c r="J89" s="7"/>
    </row>
    <row r="90" spans="6:10">
      <c r="F90" s="133"/>
      <c r="H90" s="7"/>
      <c r="I90" s="7"/>
      <c r="J90" s="7"/>
    </row>
    <row r="91" spans="6:10">
      <c r="F91" s="133"/>
      <c r="H91" s="7"/>
      <c r="I91" s="7"/>
      <c r="J91" s="7"/>
    </row>
    <row r="92" spans="6:10">
      <c r="F92" s="133"/>
      <c r="H92" s="7"/>
      <c r="I92" s="7"/>
      <c r="J92" s="7"/>
    </row>
    <row r="93" spans="6:10">
      <c r="F93" s="133"/>
      <c r="H93" s="7"/>
      <c r="I93" s="7"/>
      <c r="J93" s="7"/>
    </row>
    <row r="94" spans="6:10">
      <c r="F94" s="133"/>
      <c r="H94" s="7"/>
      <c r="I94" s="7"/>
      <c r="J94" s="7"/>
    </row>
    <row r="95" spans="6:10">
      <c r="F95" s="133"/>
      <c r="H95" s="7"/>
      <c r="I95" s="7"/>
      <c r="J95" s="7"/>
    </row>
    <row r="96" spans="6:10">
      <c r="F96" s="133"/>
      <c r="H96" s="7"/>
      <c r="I96" s="7"/>
      <c r="J96" s="7"/>
    </row>
    <row r="97" spans="6:10">
      <c r="F97" s="133"/>
      <c r="H97" s="7"/>
      <c r="I97" s="7"/>
      <c r="J97" s="7"/>
    </row>
    <row r="98" spans="6:10">
      <c r="F98" s="133"/>
      <c r="H98" s="7"/>
      <c r="I98" s="7"/>
      <c r="J98" s="7"/>
    </row>
    <row r="99" spans="6:10">
      <c r="F99" s="133"/>
      <c r="H99" s="7"/>
      <c r="I99" s="7"/>
      <c r="J99" s="7"/>
    </row>
    <row r="100" spans="6:10">
      <c r="F100" s="133"/>
      <c r="H100" s="7"/>
      <c r="I100" s="7"/>
      <c r="J100" s="7"/>
    </row>
    <row r="101" spans="6:10">
      <c r="F101" s="133"/>
      <c r="H101" s="7"/>
      <c r="I101" s="7"/>
      <c r="J101" s="7"/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14999847407452621"/>
  </sheetPr>
  <dimension ref="A1:S44"/>
  <sheetViews>
    <sheetView showGridLines="0" zoomScaleNormal="100" workbookViewId="0">
      <pane ySplit="10" topLeftCell="A11" activePane="bottomLeft" state="frozen"/>
      <selection activeCell="F32" sqref="F32"/>
      <selection pane="bottomLeft" activeCell="O14" sqref="O14:O38"/>
    </sheetView>
  </sheetViews>
  <sheetFormatPr defaultColWidth="9.140625" defaultRowHeight="13.5"/>
  <cols>
    <col min="1" max="1" width="35.7109375" style="32" bestFit="1" customWidth="1"/>
    <col min="2" max="2" width="25.42578125" style="32" customWidth="1"/>
    <col min="3" max="3" width="13.28515625" style="32" bestFit="1" customWidth="1"/>
    <col min="4" max="4" width="11.28515625" style="32" bestFit="1" customWidth="1"/>
    <col min="5" max="5" width="13.28515625" style="32" bestFit="1" customWidth="1"/>
    <col min="6" max="6" width="9.7109375" style="32" customWidth="1"/>
    <col min="7" max="7" width="11.28515625" style="32" bestFit="1" customWidth="1"/>
    <col min="8" max="8" width="12" style="32" bestFit="1" customWidth="1"/>
    <col min="9" max="9" width="10.28515625" style="32" bestFit="1" customWidth="1"/>
    <col min="10" max="10" width="11.5703125" style="32" customWidth="1"/>
    <col min="11" max="11" width="9.7109375" style="32" customWidth="1"/>
    <col min="12" max="12" width="1.7109375" style="32" customWidth="1"/>
    <col min="13" max="13" width="16.140625" style="32" customWidth="1"/>
    <col min="14" max="14" width="1.5703125" style="32" customWidth="1"/>
    <col min="15" max="15" width="9.7109375" style="32" customWidth="1"/>
    <col min="16" max="16" width="19.140625" style="32" customWidth="1"/>
    <col min="17" max="18" width="9.140625" style="32"/>
    <col min="19" max="19" width="11.85546875" style="32" bestFit="1" customWidth="1"/>
    <col min="20" max="16384" width="9.140625" style="32"/>
  </cols>
  <sheetData>
    <row r="1" spans="1:19">
      <c r="A1" s="480" t="s">
        <v>2</v>
      </c>
      <c r="B1" s="118"/>
    </row>
    <row r="2" spans="1:19">
      <c r="A2" s="119"/>
      <c r="B2" s="118"/>
    </row>
    <row r="3" spans="1:19" ht="17.25">
      <c r="A3" s="369" t="s">
        <v>3</v>
      </c>
      <c r="B3" s="371" t="str">
        <f>'13a- Afroepprijs'!B3</f>
        <v>GVB Infra B.V.</v>
      </c>
    </row>
    <row r="4" spans="1:19" ht="17.25">
      <c r="A4" s="369" t="s">
        <v>1098</v>
      </c>
      <c r="B4" s="371" t="str">
        <f ca="1">MID(CELL("bestandsnaam",$C$9),SEARCH("]",CELL("bestandsnaam",$C$9),1)+1,256)</f>
        <v>11-Machinekosten</v>
      </c>
    </row>
    <row r="5" spans="1:19" ht="17.25">
      <c r="A5" s="359" t="str">
        <f>'2-Kosten per locatie'!A5</f>
        <v>Gebouw/plaats</v>
      </c>
      <c r="B5" s="494" t="str">
        <f>'2-Kosten per locatie'!C5</f>
        <v>Diverse</v>
      </c>
    </row>
    <row r="6" spans="1:19" ht="17.25">
      <c r="A6" s="359" t="str">
        <f>'2-Kosten per locatie'!A6</f>
        <v>Besteknummer</v>
      </c>
      <c r="B6" s="494" t="str">
        <f>'1-Inschrijfstaat'!B6</f>
        <v>2021-03</v>
      </c>
    </row>
    <row r="7" spans="1:19" ht="17.25">
      <c r="A7" s="359" t="str">
        <f>'2-Kosten per locatie'!A7</f>
        <v>Naam leverancier</v>
      </c>
      <c r="B7" s="494" t="str">
        <f>'1-Inschrijfstaat'!B7:D7</f>
        <v>Naam dienstverlener</v>
      </c>
    </row>
    <row r="8" spans="1:19" ht="15.75">
      <c r="A8" s="359" t="str">
        <f>'2-Kosten per locatie'!A8</f>
        <v>Prijspeil</v>
      </c>
      <c r="B8" s="15" t="str">
        <f>'1-Inschrijfstaat'!B8</f>
        <v>1 juni 2021</v>
      </c>
    </row>
    <row r="9" spans="1:19" ht="15.75">
      <c r="A9" s="359" t="str">
        <f>'2-Kosten per locatie'!A9</f>
        <v>Perceel</v>
      </c>
      <c r="B9" s="68" t="str">
        <f>'1-Inschrijfstaat'!B9</f>
        <v>2 Technische schoonmaak</v>
      </c>
    </row>
    <row r="10" spans="1:19" ht="15.75">
      <c r="A10" s="51"/>
      <c r="B10" s="54"/>
    </row>
    <row r="11" spans="1:19" ht="6.75" customHeight="1"/>
    <row r="12" spans="1:19" s="46" customFormat="1" ht="156.75" customHeight="1">
      <c r="A12" s="478" t="s">
        <v>1101</v>
      </c>
      <c r="B12" s="478" t="s">
        <v>1102</v>
      </c>
      <c r="C12" s="479" t="s">
        <v>1103</v>
      </c>
      <c r="D12" s="479" t="s">
        <v>1104</v>
      </c>
      <c r="E12" s="479" t="s">
        <v>1105</v>
      </c>
      <c r="F12" s="479" t="s">
        <v>1106</v>
      </c>
      <c r="G12" s="479" t="s">
        <v>1107</v>
      </c>
      <c r="H12" s="479" t="s">
        <v>1108</v>
      </c>
      <c r="I12" s="479" t="s">
        <v>1401</v>
      </c>
      <c r="J12" s="479" t="s">
        <v>1109</v>
      </c>
      <c r="K12" s="479" t="s">
        <v>1110</v>
      </c>
      <c r="M12" s="478" t="s">
        <v>1111</v>
      </c>
      <c r="O12" s="479" t="s">
        <v>1112</v>
      </c>
      <c r="P12" s="478" t="s">
        <v>1113</v>
      </c>
    </row>
    <row r="13" spans="1:19">
      <c r="C13" s="120"/>
      <c r="D13" s="120"/>
      <c r="E13" s="121"/>
      <c r="F13" s="120"/>
      <c r="G13" s="120"/>
      <c r="I13" s="493">
        <v>0</v>
      </c>
      <c r="J13" s="493">
        <v>0</v>
      </c>
      <c r="K13" s="493">
        <v>0</v>
      </c>
      <c r="M13" s="122"/>
      <c r="O13" s="121"/>
    </row>
    <row r="14" spans="1:19">
      <c r="A14" s="481"/>
      <c r="B14" s="482"/>
      <c r="C14" s="483"/>
      <c r="D14" s="483"/>
      <c r="E14" s="123">
        <f>C14-D14</f>
        <v>0</v>
      </c>
      <c r="F14" s="489"/>
      <c r="G14" s="483"/>
      <c r="H14" s="124">
        <f>IF(F14=0,0,(E14-G14)/F14)</f>
        <v>0</v>
      </c>
      <c r="I14" s="125">
        <f>C14*$I$13</f>
        <v>0</v>
      </c>
      <c r="J14" s="124">
        <f>C14*$J$13</f>
        <v>0</v>
      </c>
      <c r="K14" s="126">
        <f>$K$13*C14</f>
        <v>0</v>
      </c>
      <c r="M14" s="127">
        <f>SUM(H14:K14)</f>
        <v>0</v>
      </c>
      <c r="O14" s="491"/>
      <c r="P14" s="124">
        <f>M14*O14</f>
        <v>0</v>
      </c>
      <c r="S14" s="548"/>
    </row>
    <row r="15" spans="1:19">
      <c r="A15" s="481"/>
      <c r="B15" s="482"/>
      <c r="C15" s="483"/>
      <c r="D15" s="483"/>
      <c r="E15" s="123">
        <f>C15-D15</f>
        <v>0</v>
      </c>
      <c r="F15" s="489"/>
      <c r="G15" s="483"/>
      <c r="H15" s="124">
        <f>IF(F15=0,0,(E15-G15)/F15)</f>
        <v>0</v>
      </c>
      <c r="I15" s="125">
        <f>C15*$I$13</f>
        <v>0</v>
      </c>
      <c r="J15" s="124">
        <f>C15*$J$13</f>
        <v>0</v>
      </c>
      <c r="K15" s="126">
        <f>$K$13*C15</f>
        <v>0</v>
      </c>
      <c r="M15" s="127">
        <f>SUM(H15:K15)</f>
        <v>0</v>
      </c>
      <c r="O15" s="491"/>
      <c r="P15" s="124">
        <f>M15*O15</f>
        <v>0</v>
      </c>
      <c r="S15" s="548"/>
    </row>
    <row r="16" spans="1:19">
      <c r="A16" s="481"/>
      <c r="B16" s="482"/>
      <c r="C16" s="483"/>
      <c r="D16" s="483"/>
      <c r="E16" s="123">
        <f t="shared" ref="E16:E40" si="0">C16-D16</f>
        <v>0</v>
      </c>
      <c r="F16" s="489"/>
      <c r="G16" s="483"/>
      <c r="H16" s="124">
        <f t="shared" ref="H16:H40" si="1">IF(F16=0,0,(E16-G16)/F16)</f>
        <v>0</v>
      </c>
      <c r="I16" s="125">
        <f t="shared" ref="I16:I40" si="2">C16*$I$13</f>
        <v>0</v>
      </c>
      <c r="J16" s="124">
        <f t="shared" ref="J16:J40" si="3">C16*$J$13</f>
        <v>0</v>
      </c>
      <c r="K16" s="126">
        <f t="shared" ref="K16:K40" si="4">$K$13*C16</f>
        <v>0</v>
      </c>
      <c r="M16" s="127">
        <f t="shared" ref="M16:M40" si="5">SUM(H16:K16)</f>
        <v>0</v>
      </c>
      <c r="O16" s="491"/>
      <c r="P16" s="124">
        <f t="shared" ref="P16:P40" si="6">M16*O16</f>
        <v>0</v>
      </c>
      <c r="S16" s="548"/>
    </row>
    <row r="17" spans="1:19">
      <c r="A17" s="481"/>
      <c r="B17" s="482"/>
      <c r="C17" s="482"/>
      <c r="D17" s="482"/>
      <c r="E17" s="123">
        <f t="shared" si="0"/>
        <v>0</v>
      </c>
      <c r="F17" s="489"/>
      <c r="G17" s="483"/>
      <c r="H17" s="124">
        <f t="shared" si="1"/>
        <v>0</v>
      </c>
      <c r="I17" s="125">
        <f t="shared" si="2"/>
        <v>0</v>
      </c>
      <c r="J17" s="124">
        <f t="shared" si="3"/>
        <v>0</v>
      </c>
      <c r="K17" s="126">
        <f t="shared" si="4"/>
        <v>0</v>
      </c>
      <c r="M17" s="127">
        <f t="shared" si="5"/>
        <v>0</v>
      </c>
      <c r="O17" s="491"/>
      <c r="P17" s="124">
        <f t="shared" si="6"/>
        <v>0</v>
      </c>
      <c r="S17" s="548"/>
    </row>
    <row r="18" spans="1:19">
      <c r="A18" s="484"/>
      <c r="B18" s="485"/>
      <c r="C18" s="486"/>
      <c r="D18" s="487"/>
      <c r="E18" s="123">
        <f t="shared" si="0"/>
        <v>0</v>
      </c>
      <c r="F18" s="490"/>
      <c r="G18" s="483"/>
      <c r="H18" s="124">
        <f t="shared" si="1"/>
        <v>0</v>
      </c>
      <c r="I18" s="125">
        <f t="shared" si="2"/>
        <v>0</v>
      </c>
      <c r="J18" s="124">
        <f t="shared" si="3"/>
        <v>0</v>
      </c>
      <c r="K18" s="126">
        <f t="shared" si="4"/>
        <v>0</v>
      </c>
      <c r="M18" s="127">
        <f t="shared" si="5"/>
        <v>0</v>
      </c>
      <c r="O18" s="492"/>
      <c r="P18" s="124">
        <f t="shared" si="6"/>
        <v>0</v>
      </c>
      <c r="S18" s="548"/>
    </row>
    <row r="19" spans="1:19">
      <c r="A19" s="484"/>
      <c r="B19" s="488"/>
      <c r="C19" s="486"/>
      <c r="D19" s="487"/>
      <c r="E19" s="123">
        <f t="shared" si="0"/>
        <v>0</v>
      </c>
      <c r="F19" s="490"/>
      <c r="G19" s="483"/>
      <c r="H19" s="124">
        <f t="shared" si="1"/>
        <v>0</v>
      </c>
      <c r="I19" s="125">
        <f t="shared" si="2"/>
        <v>0</v>
      </c>
      <c r="J19" s="124">
        <f t="shared" si="3"/>
        <v>0</v>
      </c>
      <c r="K19" s="126">
        <f t="shared" si="4"/>
        <v>0</v>
      </c>
      <c r="M19" s="127">
        <f t="shared" si="5"/>
        <v>0</v>
      </c>
      <c r="O19" s="492"/>
      <c r="P19" s="124">
        <f t="shared" si="6"/>
        <v>0</v>
      </c>
      <c r="S19" s="548"/>
    </row>
    <row r="20" spans="1:19">
      <c r="A20" s="484"/>
      <c r="B20" s="485"/>
      <c r="C20" s="486"/>
      <c r="D20" s="487"/>
      <c r="E20" s="123">
        <f t="shared" si="0"/>
        <v>0</v>
      </c>
      <c r="F20" s="490"/>
      <c r="G20" s="483"/>
      <c r="H20" s="124">
        <f t="shared" si="1"/>
        <v>0</v>
      </c>
      <c r="I20" s="125">
        <f t="shared" si="2"/>
        <v>0</v>
      </c>
      <c r="J20" s="124">
        <f t="shared" si="3"/>
        <v>0</v>
      </c>
      <c r="K20" s="126">
        <f t="shared" si="4"/>
        <v>0</v>
      </c>
      <c r="M20" s="127">
        <f t="shared" si="5"/>
        <v>0</v>
      </c>
      <c r="O20" s="492"/>
      <c r="P20" s="124">
        <f t="shared" si="6"/>
        <v>0</v>
      </c>
      <c r="S20" s="548"/>
    </row>
    <row r="21" spans="1:19">
      <c r="A21" s="481"/>
      <c r="B21" s="482"/>
      <c r="C21" s="483"/>
      <c r="D21" s="483"/>
      <c r="E21" s="123">
        <f t="shared" si="0"/>
        <v>0</v>
      </c>
      <c r="F21" s="489"/>
      <c r="G21" s="483"/>
      <c r="H21" s="124">
        <f t="shared" si="1"/>
        <v>0</v>
      </c>
      <c r="I21" s="125">
        <f t="shared" si="2"/>
        <v>0</v>
      </c>
      <c r="J21" s="124">
        <f t="shared" si="3"/>
        <v>0</v>
      </c>
      <c r="K21" s="126">
        <f t="shared" si="4"/>
        <v>0</v>
      </c>
      <c r="M21" s="127">
        <f t="shared" si="5"/>
        <v>0</v>
      </c>
      <c r="O21" s="491"/>
      <c r="P21" s="124">
        <f t="shared" si="6"/>
        <v>0</v>
      </c>
    </row>
    <row r="22" spans="1:19">
      <c r="A22" s="481"/>
      <c r="B22" s="482"/>
      <c r="C22" s="483"/>
      <c r="D22" s="483"/>
      <c r="E22" s="123">
        <f t="shared" si="0"/>
        <v>0</v>
      </c>
      <c r="F22" s="489"/>
      <c r="G22" s="483"/>
      <c r="H22" s="124">
        <f t="shared" si="1"/>
        <v>0</v>
      </c>
      <c r="I22" s="125">
        <f t="shared" si="2"/>
        <v>0</v>
      </c>
      <c r="J22" s="124">
        <f t="shared" si="3"/>
        <v>0</v>
      </c>
      <c r="K22" s="126">
        <f t="shared" si="4"/>
        <v>0</v>
      </c>
      <c r="M22" s="127">
        <f t="shared" si="5"/>
        <v>0</v>
      </c>
      <c r="O22" s="491"/>
      <c r="P22" s="124">
        <f t="shared" si="6"/>
        <v>0</v>
      </c>
    </row>
    <row r="23" spans="1:19">
      <c r="A23" s="481"/>
      <c r="B23" s="482"/>
      <c r="C23" s="483"/>
      <c r="D23" s="483"/>
      <c r="E23" s="123">
        <f t="shared" si="0"/>
        <v>0</v>
      </c>
      <c r="F23" s="489"/>
      <c r="G23" s="483"/>
      <c r="H23" s="124">
        <f t="shared" si="1"/>
        <v>0</v>
      </c>
      <c r="I23" s="125">
        <f t="shared" si="2"/>
        <v>0</v>
      </c>
      <c r="J23" s="124">
        <f t="shared" si="3"/>
        <v>0</v>
      </c>
      <c r="K23" s="126">
        <f t="shared" si="4"/>
        <v>0</v>
      </c>
      <c r="M23" s="127">
        <f t="shared" si="5"/>
        <v>0</v>
      </c>
      <c r="O23" s="491"/>
      <c r="P23" s="124">
        <f t="shared" si="6"/>
        <v>0</v>
      </c>
    </row>
    <row r="24" spans="1:19">
      <c r="A24" s="481"/>
      <c r="B24" s="482"/>
      <c r="C24" s="483"/>
      <c r="D24" s="483"/>
      <c r="E24" s="123">
        <f t="shared" si="0"/>
        <v>0</v>
      </c>
      <c r="F24" s="489"/>
      <c r="G24" s="483"/>
      <c r="H24" s="124">
        <f t="shared" si="1"/>
        <v>0</v>
      </c>
      <c r="I24" s="125">
        <f t="shared" si="2"/>
        <v>0</v>
      </c>
      <c r="J24" s="124">
        <f t="shared" si="3"/>
        <v>0</v>
      </c>
      <c r="K24" s="126">
        <f t="shared" si="4"/>
        <v>0</v>
      </c>
      <c r="M24" s="127">
        <f t="shared" si="5"/>
        <v>0</v>
      </c>
      <c r="O24" s="491"/>
      <c r="P24" s="124">
        <f t="shared" si="6"/>
        <v>0</v>
      </c>
    </row>
    <row r="25" spans="1:19">
      <c r="A25" s="481"/>
      <c r="B25" s="482"/>
      <c r="C25" s="483"/>
      <c r="D25" s="483"/>
      <c r="E25" s="123">
        <f t="shared" si="0"/>
        <v>0</v>
      </c>
      <c r="F25" s="489"/>
      <c r="G25" s="483"/>
      <c r="H25" s="124">
        <f t="shared" si="1"/>
        <v>0</v>
      </c>
      <c r="I25" s="125">
        <f t="shared" si="2"/>
        <v>0</v>
      </c>
      <c r="J25" s="124">
        <f t="shared" si="3"/>
        <v>0</v>
      </c>
      <c r="K25" s="126">
        <f t="shared" si="4"/>
        <v>0</v>
      </c>
      <c r="M25" s="127">
        <f t="shared" si="5"/>
        <v>0</v>
      </c>
      <c r="O25" s="491"/>
      <c r="P25" s="124">
        <f t="shared" si="6"/>
        <v>0</v>
      </c>
    </row>
    <row r="26" spans="1:19">
      <c r="A26" s="481"/>
      <c r="B26" s="482"/>
      <c r="C26" s="483"/>
      <c r="D26" s="483"/>
      <c r="E26" s="123">
        <f t="shared" si="0"/>
        <v>0</v>
      </c>
      <c r="F26" s="489"/>
      <c r="G26" s="483"/>
      <c r="H26" s="124">
        <f t="shared" si="1"/>
        <v>0</v>
      </c>
      <c r="I26" s="125">
        <f t="shared" si="2"/>
        <v>0</v>
      </c>
      <c r="J26" s="124">
        <f t="shared" si="3"/>
        <v>0</v>
      </c>
      <c r="K26" s="126">
        <f t="shared" si="4"/>
        <v>0</v>
      </c>
      <c r="M26" s="127">
        <f t="shared" si="5"/>
        <v>0</v>
      </c>
      <c r="O26" s="491"/>
      <c r="P26" s="124">
        <f t="shared" si="6"/>
        <v>0</v>
      </c>
    </row>
    <row r="27" spans="1:19">
      <c r="A27" s="481"/>
      <c r="B27" s="482"/>
      <c r="C27" s="483"/>
      <c r="D27" s="483"/>
      <c r="E27" s="123">
        <f t="shared" si="0"/>
        <v>0</v>
      </c>
      <c r="F27" s="489"/>
      <c r="G27" s="483"/>
      <c r="H27" s="124">
        <f t="shared" si="1"/>
        <v>0</v>
      </c>
      <c r="I27" s="125">
        <f t="shared" si="2"/>
        <v>0</v>
      </c>
      <c r="J27" s="124">
        <f t="shared" si="3"/>
        <v>0</v>
      </c>
      <c r="K27" s="126">
        <f t="shared" si="4"/>
        <v>0</v>
      </c>
      <c r="M27" s="127">
        <f t="shared" si="5"/>
        <v>0</v>
      </c>
      <c r="O27" s="491"/>
      <c r="P27" s="124">
        <f t="shared" si="6"/>
        <v>0</v>
      </c>
    </row>
    <row r="28" spans="1:19">
      <c r="A28" s="481"/>
      <c r="B28" s="482"/>
      <c r="C28" s="483"/>
      <c r="D28" s="483"/>
      <c r="E28" s="123">
        <f t="shared" si="0"/>
        <v>0</v>
      </c>
      <c r="F28" s="489"/>
      <c r="G28" s="483"/>
      <c r="H28" s="124">
        <f t="shared" si="1"/>
        <v>0</v>
      </c>
      <c r="I28" s="125">
        <f t="shared" si="2"/>
        <v>0</v>
      </c>
      <c r="J28" s="124">
        <f t="shared" si="3"/>
        <v>0</v>
      </c>
      <c r="K28" s="126">
        <f t="shared" si="4"/>
        <v>0</v>
      </c>
      <c r="M28" s="127">
        <f t="shared" si="5"/>
        <v>0</v>
      </c>
      <c r="O28" s="491"/>
      <c r="P28" s="124">
        <f t="shared" si="6"/>
        <v>0</v>
      </c>
    </row>
    <row r="29" spans="1:19">
      <c r="A29" s="481"/>
      <c r="B29" s="482"/>
      <c r="C29" s="483"/>
      <c r="D29" s="483"/>
      <c r="E29" s="123">
        <f t="shared" si="0"/>
        <v>0</v>
      </c>
      <c r="F29" s="489"/>
      <c r="G29" s="483"/>
      <c r="H29" s="124">
        <f t="shared" si="1"/>
        <v>0</v>
      </c>
      <c r="I29" s="125">
        <f t="shared" si="2"/>
        <v>0</v>
      </c>
      <c r="J29" s="124">
        <f t="shared" si="3"/>
        <v>0</v>
      </c>
      <c r="K29" s="126">
        <f t="shared" si="4"/>
        <v>0</v>
      </c>
      <c r="M29" s="127">
        <f t="shared" si="5"/>
        <v>0</v>
      </c>
      <c r="O29" s="491"/>
      <c r="P29" s="124">
        <f t="shared" si="6"/>
        <v>0</v>
      </c>
    </row>
    <row r="30" spans="1:19">
      <c r="A30" s="481"/>
      <c r="B30" s="482"/>
      <c r="C30" s="483"/>
      <c r="D30" s="483"/>
      <c r="E30" s="123">
        <f t="shared" si="0"/>
        <v>0</v>
      </c>
      <c r="F30" s="489"/>
      <c r="G30" s="483"/>
      <c r="H30" s="124">
        <f t="shared" si="1"/>
        <v>0</v>
      </c>
      <c r="I30" s="125">
        <f t="shared" si="2"/>
        <v>0</v>
      </c>
      <c r="J30" s="124">
        <f t="shared" si="3"/>
        <v>0</v>
      </c>
      <c r="K30" s="126">
        <f t="shared" si="4"/>
        <v>0</v>
      </c>
      <c r="M30" s="127">
        <f t="shared" si="5"/>
        <v>0</v>
      </c>
      <c r="O30" s="491"/>
      <c r="P30" s="124">
        <f t="shared" si="6"/>
        <v>0</v>
      </c>
    </row>
    <row r="31" spans="1:19">
      <c r="A31" s="481"/>
      <c r="B31" s="482"/>
      <c r="C31" s="483"/>
      <c r="D31" s="483"/>
      <c r="E31" s="123">
        <f t="shared" si="0"/>
        <v>0</v>
      </c>
      <c r="F31" s="489"/>
      <c r="G31" s="483"/>
      <c r="H31" s="124">
        <f t="shared" si="1"/>
        <v>0</v>
      </c>
      <c r="I31" s="125">
        <f t="shared" si="2"/>
        <v>0</v>
      </c>
      <c r="J31" s="124">
        <f t="shared" si="3"/>
        <v>0</v>
      </c>
      <c r="K31" s="126">
        <f t="shared" si="4"/>
        <v>0</v>
      </c>
      <c r="M31" s="127">
        <f t="shared" si="5"/>
        <v>0</v>
      </c>
      <c r="O31" s="491"/>
      <c r="P31" s="124">
        <f t="shared" si="6"/>
        <v>0</v>
      </c>
    </row>
    <row r="32" spans="1:19">
      <c r="A32" s="481"/>
      <c r="B32" s="482"/>
      <c r="C32" s="483"/>
      <c r="D32" s="483"/>
      <c r="E32" s="123">
        <f t="shared" si="0"/>
        <v>0</v>
      </c>
      <c r="F32" s="489"/>
      <c r="G32" s="483"/>
      <c r="H32" s="124">
        <f t="shared" si="1"/>
        <v>0</v>
      </c>
      <c r="I32" s="125">
        <f t="shared" si="2"/>
        <v>0</v>
      </c>
      <c r="J32" s="124">
        <f t="shared" si="3"/>
        <v>0</v>
      </c>
      <c r="K32" s="126">
        <f t="shared" si="4"/>
        <v>0</v>
      </c>
      <c r="M32" s="127">
        <f t="shared" si="5"/>
        <v>0</v>
      </c>
      <c r="O32" s="491"/>
      <c r="P32" s="124">
        <f t="shared" si="6"/>
        <v>0</v>
      </c>
    </row>
    <row r="33" spans="1:16">
      <c r="A33" s="481"/>
      <c r="B33" s="482"/>
      <c r="C33" s="483"/>
      <c r="D33" s="483"/>
      <c r="E33" s="123">
        <f t="shared" si="0"/>
        <v>0</v>
      </c>
      <c r="F33" s="489"/>
      <c r="G33" s="483"/>
      <c r="H33" s="124">
        <f t="shared" si="1"/>
        <v>0</v>
      </c>
      <c r="I33" s="125">
        <f t="shared" si="2"/>
        <v>0</v>
      </c>
      <c r="J33" s="124">
        <f t="shared" si="3"/>
        <v>0</v>
      </c>
      <c r="K33" s="126">
        <f t="shared" si="4"/>
        <v>0</v>
      </c>
      <c r="M33" s="127">
        <f t="shared" si="5"/>
        <v>0</v>
      </c>
      <c r="O33" s="491"/>
      <c r="P33" s="124">
        <f t="shared" si="6"/>
        <v>0</v>
      </c>
    </row>
    <row r="34" spans="1:16">
      <c r="A34" s="481"/>
      <c r="B34" s="482"/>
      <c r="C34" s="483"/>
      <c r="D34" s="483"/>
      <c r="E34" s="123">
        <f t="shared" si="0"/>
        <v>0</v>
      </c>
      <c r="F34" s="489"/>
      <c r="G34" s="483"/>
      <c r="H34" s="124">
        <f t="shared" si="1"/>
        <v>0</v>
      </c>
      <c r="I34" s="125">
        <f t="shared" si="2"/>
        <v>0</v>
      </c>
      <c r="J34" s="124">
        <f t="shared" si="3"/>
        <v>0</v>
      </c>
      <c r="K34" s="126">
        <f t="shared" si="4"/>
        <v>0</v>
      </c>
      <c r="M34" s="127">
        <f t="shared" si="5"/>
        <v>0</v>
      </c>
      <c r="O34" s="491"/>
      <c r="P34" s="124">
        <f t="shared" si="6"/>
        <v>0</v>
      </c>
    </row>
    <row r="35" spans="1:16">
      <c r="A35" s="481"/>
      <c r="B35" s="482"/>
      <c r="C35" s="483"/>
      <c r="D35" s="483"/>
      <c r="E35" s="123">
        <f t="shared" si="0"/>
        <v>0</v>
      </c>
      <c r="F35" s="489"/>
      <c r="G35" s="483"/>
      <c r="H35" s="124">
        <f t="shared" si="1"/>
        <v>0</v>
      </c>
      <c r="I35" s="125">
        <f t="shared" si="2"/>
        <v>0</v>
      </c>
      <c r="J35" s="124">
        <f t="shared" si="3"/>
        <v>0</v>
      </c>
      <c r="K35" s="126">
        <f t="shared" si="4"/>
        <v>0</v>
      </c>
      <c r="M35" s="127">
        <f t="shared" si="5"/>
        <v>0</v>
      </c>
      <c r="O35" s="491"/>
      <c r="P35" s="124">
        <f t="shared" si="6"/>
        <v>0</v>
      </c>
    </row>
    <row r="36" spans="1:16">
      <c r="A36" s="481"/>
      <c r="B36" s="482"/>
      <c r="C36" s="483"/>
      <c r="D36" s="483"/>
      <c r="E36" s="123">
        <f t="shared" si="0"/>
        <v>0</v>
      </c>
      <c r="F36" s="489"/>
      <c r="G36" s="483"/>
      <c r="H36" s="124">
        <f t="shared" si="1"/>
        <v>0</v>
      </c>
      <c r="I36" s="125">
        <f t="shared" si="2"/>
        <v>0</v>
      </c>
      <c r="J36" s="124">
        <f t="shared" si="3"/>
        <v>0</v>
      </c>
      <c r="K36" s="126">
        <f t="shared" si="4"/>
        <v>0</v>
      </c>
      <c r="M36" s="127">
        <f t="shared" si="5"/>
        <v>0</v>
      </c>
      <c r="O36" s="491"/>
      <c r="P36" s="124">
        <f t="shared" si="6"/>
        <v>0</v>
      </c>
    </row>
    <row r="37" spans="1:16">
      <c r="A37" s="481"/>
      <c r="B37" s="482"/>
      <c r="C37" s="483"/>
      <c r="D37" s="483"/>
      <c r="E37" s="123">
        <f t="shared" si="0"/>
        <v>0</v>
      </c>
      <c r="F37" s="489"/>
      <c r="G37" s="483"/>
      <c r="H37" s="124">
        <f t="shared" si="1"/>
        <v>0</v>
      </c>
      <c r="I37" s="125">
        <f t="shared" si="2"/>
        <v>0</v>
      </c>
      <c r="J37" s="124">
        <f t="shared" si="3"/>
        <v>0</v>
      </c>
      <c r="K37" s="126">
        <f t="shared" si="4"/>
        <v>0</v>
      </c>
      <c r="M37" s="127">
        <f t="shared" si="5"/>
        <v>0</v>
      </c>
      <c r="O37" s="491"/>
      <c r="P37" s="124">
        <f t="shared" si="6"/>
        <v>0</v>
      </c>
    </row>
    <row r="38" spans="1:16">
      <c r="A38" s="481"/>
      <c r="B38" s="482"/>
      <c r="C38" s="483"/>
      <c r="D38" s="483"/>
      <c r="E38" s="123">
        <f t="shared" si="0"/>
        <v>0</v>
      </c>
      <c r="F38" s="489"/>
      <c r="G38" s="483"/>
      <c r="H38" s="124">
        <f t="shared" si="1"/>
        <v>0</v>
      </c>
      <c r="I38" s="125">
        <f t="shared" si="2"/>
        <v>0</v>
      </c>
      <c r="J38" s="124">
        <f t="shared" si="3"/>
        <v>0</v>
      </c>
      <c r="K38" s="126">
        <f t="shared" si="4"/>
        <v>0</v>
      </c>
      <c r="M38" s="127">
        <f t="shared" si="5"/>
        <v>0</v>
      </c>
      <c r="O38" s="491"/>
      <c r="P38" s="124">
        <f t="shared" si="6"/>
        <v>0</v>
      </c>
    </row>
    <row r="39" spans="1:16">
      <c r="A39" s="481"/>
      <c r="B39" s="482"/>
      <c r="C39" s="483"/>
      <c r="D39" s="483"/>
      <c r="E39" s="123">
        <f t="shared" si="0"/>
        <v>0</v>
      </c>
      <c r="F39" s="489"/>
      <c r="G39" s="483"/>
      <c r="H39" s="124">
        <f t="shared" si="1"/>
        <v>0</v>
      </c>
      <c r="I39" s="125">
        <f t="shared" si="2"/>
        <v>0</v>
      </c>
      <c r="J39" s="124">
        <f t="shared" si="3"/>
        <v>0</v>
      </c>
      <c r="K39" s="126">
        <f t="shared" si="4"/>
        <v>0</v>
      </c>
      <c r="M39" s="127">
        <f t="shared" si="5"/>
        <v>0</v>
      </c>
      <c r="O39" s="491"/>
      <c r="P39" s="124">
        <f t="shared" si="6"/>
        <v>0</v>
      </c>
    </row>
    <row r="40" spans="1:16">
      <c r="A40" s="481"/>
      <c r="B40" s="482"/>
      <c r="C40" s="483"/>
      <c r="D40" s="483"/>
      <c r="E40" s="123">
        <f t="shared" si="0"/>
        <v>0</v>
      </c>
      <c r="F40" s="489"/>
      <c r="G40" s="483"/>
      <c r="H40" s="124">
        <f t="shared" si="1"/>
        <v>0</v>
      </c>
      <c r="I40" s="125">
        <f t="shared" si="2"/>
        <v>0</v>
      </c>
      <c r="J40" s="124">
        <f t="shared" si="3"/>
        <v>0</v>
      </c>
      <c r="K40" s="126">
        <f t="shared" si="4"/>
        <v>0</v>
      </c>
      <c r="M40" s="127">
        <f t="shared" si="5"/>
        <v>0</v>
      </c>
      <c r="O40" s="491"/>
      <c r="P40" s="124">
        <f t="shared" si="6"/>
        <v>0</v>
      </c>
    </row>
    <row r="41" spans="1:16">
      <c r="A41" s="481"/>
      <c r="B41" s="482"/>
      <c r="C41" s="483"/>
      <c r="D41" s="483"/>
      <c r="E41" s="123">
        <f>C41-D41</f>
        <v>0</v>
      </c>
      <c r="F41" s="489"/>
      <c r="G41" s="483"/>
      <c r="H41" s="124">
        <f>IF(F41=0,0,(E41-G41)/F41)</f>
        <v>0</v>
      </c>
      <c r="I41" s="125">
        <f>C41*$I$13</f>
        <v>0</v>
      </c>
      <c r="J41" s="124">
        <f>C41*$J$13</f>
        <v>0</v>
      </c>
      <c r="K41" s="126">
        <f>$K$13*C41</f>
        <v>0</v>
      </c>
      <c r="M41" s="127">
        <f>SUM(H41:K41)</f>
        <v>0</v>
      </c>
      <c r="O41" s="491"/>
      <c r="P41" s="124">
        <f>M41*O41</f>
        <v>0</v>
      </c>
    </row>
    <row r="42" spans="1:16">
      <c r="A42" s="481"/>
      <c r="B42" s="482"/>
      <c r="C42" s="483"/>
      <c r="D42" s="483"/>
      <c r="E42" s="123">
        <f>C42-D42</f>
        <v>0</v>
      </c>
      <c r="F42" s="489"/>
      <c r="G42" s="483"/>
      <c r="H42" s="124">
        <f>IF(F42=0,0,(E42-G42)/F42)</f>
        <v>0</v>
      </c>
      <c r="I42" s="125">
        <f>C42*$I$13</f>
        <v>0</v>
      </c>
      <c r="J42" s="124">
        <f>C42*$J$13</f>
        <v>0</v>
      </c>
      <c r="K42" s="126">
        <f>$K$13*C42</f>
        <v>0</v>
      </c>
      <c r="M42" s="127">
        <f>SUM(H42:K42)</f>
        <v>0</v>
      </c>
      <c r="O42" s="491"/>
      <c r="P42" s="124">
        <f>M42*O42</f>
        <v>0</v>
      </c>
    </row>
    <row r="44" spans="1:16">
      <c r="A44" s="128" t="s">
        <v>5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30"/>
      <c r="O44" s="131">
        <f>SUM(O14:O42)</f>
        <v>0</v>
      </c>
      <c r="P44" s="132">
        <f>SUM(P14:P42)</f>
        <v>0</v>
      </c>
    </row>
  </sheetData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69"/>
  <sheetViews>
    <sheetView showGridLines="0" zoomScaleNormal="100" workbookViewId="0">
      <pane ySplit="18" topLeftCell="A19" activePane="bottomLeft" state="frozen"/>
      <selection activeCell="F32" sqref="F32"/>
      <selection pane="bottomLeft" activeCell="H26" sqref="H26"/>
    </sheetView>
  </sheetViews>
  <sheetFormatPr defaultColWidth="8.7109375" defaultRowHeight="13.5"/>
  <cols>
    <col min="1" max="1" width="8.85546875" style="50" customWidth="1"/>
    <col min="2" max="2" width="21.42578125" style="49" bestFit="1" customWidth="1"/>
    <col min="3" max="4" width="21.42578125" style="49" customWidth="1"/>
    <col min="5" max="5" width="18" style="50" customWidth="1"/>
    <col min="6" max="6" width="19.140625" style="50" customWidth="1"/>
    <col min="7" max="10" width="10.28515625" style="50" customWidth="1"/>
    <col min="11" max="11" width="7.5703125" style="563" customWidth="1"/>
    <col min="12" max="12" width="16.28515625" style="50" customWidth="1"/>
    <col min="13" max="13" width="2" style="50" customWidth="1"/>
    <col min="14" max="14" width="11.85546875" style="50" bestFit="1" customWidth="1"/>
    <col min="15" max="15" width="3.85546875" style="50" customWidth="1"/>
    <col min="16" max="16" width="13.85546875" style="50" bestFit="1" customWidth="1"/>
    <col min="17" max="17" width="11.7109375" style="50" bestFit="1" customWidth="1"/>
    <col min="18" max="18" width="8.7109375" style="50"/>
    <col min="19" max="19" width="13.85546875" style="50" bestFit="1" customWidth="1"/>
    <col min="20" max="16384" width="8.7109375" style="50"/>
  </cols>
  <sheetData>
    <row r="1" spans="1:11">
      <c r="A1" s="514" t="s">
        <v>2</v>
      </c>
    </row>
    <row r="3" spans="1:11" ht="17.25">
      <c r="A3" s="359" t="s">
        <v>3</v>
      </c>
      <c r="C3" s="494" t="str">
        <f>'1-Inschrijfstaat'!B3</f>
        <v>GVB Infra B.V.</v>
      </c>
    </row>
    <row r="4" spans="1:11" ht="17.25">
      <c r="A4" s="359" t="s">
        <v>8</v>
      </c>
      <c r="C4" s="494" t="str">
        <f ca="1">MID(CELL("bestandsnaam",$D$12),SEARCH("]",CELL("bestandsnaam",$D$12),1)+1,256)</f>
        <v>12-Periodieke beurt</v>
      </c>
    </row>
    <row r="5" spans="1:11" ht="17.25">
      <c r="A5" s="359" t="s">
        <v>4</v>
      </c>
      <c r="C5" s="494" t="str">
        <f>'1-Inschrijfstaat'!B5</f>
        <v>Diverse</v>
      </c>
    </row>
    <row r="6" spans="1:11" ht="17.25">
      <c r="A6" s="359" t="s">
        <v>9</v>
      </c>
      <c r="C6" s="494" t="str">
        <f>'1-Inschrijfstaat'!B6</f>
        <v>2021-03</v>
      </c>
    </row>
    <row r="7" spans="1:11" ht="17.25">
      <c r="A7" s="359" t="s">
        <v>6</v>
      </c>
      <c r="C7" s="494" t="str">
        <f>'1-Inschrijfstaat'!B7</f>
        <v>Naam dienstverlener</v>
      </c>
    </row>
    <row r="8" spans="1:11" ht="15.75">
      <c r="A8" s="359" t="s">
        <v>7</v>
      </c>
      <c r="C8" s="15" t="str">
        <f>'1-Inschrijfstaat'!B8</f>
        <v>1 juni 2021</v>
      </c>
    </row>
    <row r="9" spans="1:11" ht="15.75">
      <c r="A9" s="359" t="s">
        <v>0</v>
      </c>
      <c r="C9" s="53" t="str">
        <f>'1-Inschrijfstaat'!B9</f>
        <v>2 Technische schoonmaak</v>
      </c>
    </row>
    <row r="10" spans="1:11" s="65" customFormat="1" ht="17.25">
      <c r="A10" s="370" t="s">
        <v>1087</v>
      </c>
      <c r="B10" s="92"/>
      <c r="C10" s="494" t="s">
        <v>2068</v>
      </c>
      <c r="D10" s="504"/>
      <c r="E10" s="504"/>
      <c r="F10" s="504"/>
      <c r="K10" s="66"/>
    </row>
    <row r="11" spans="1:11" ht="15.75">
      <c r="A11" s="51"/>
      <c r="C11" s="54"/>
    </row>
    <row r="12" spans="1:11" ht="13.5" customHeight="1">
      <c r="A12" s="694" t="s">
        <v>1711</v>
      </c>
      <c r="B12" s="694"/>
      <c r="C12" s="368" t="s">
        <v>2061</v>
      </c>
      <c r="D12" s="387" t="s">
        <v>1708</v>
      </c>
    </row>
    <row r="13" spans="1:11">
      <c r="A13" s="693" t="s">
        <v>1709</v>
      </c>
      <c r="B13" s="693"/>
      <c r="C13" s="605" t="s">
        <v>2062</v>
      </c>
      <c r="D13" s="515">
        <v>0</v>
      </c>
    </row>
    <row r="14" spans="1:11">
      <c r="A14" s="693" t="s">
        <v>1709</v>
      </c>
      <c r="B14" s="693"/>
      <c r="C14" s="605" t="s">
        <v>2063</v>
      </c>
      <c r="D14" s="515">
        <v>0</v>
      </c>
    </row>
    <row r="15" spans="1:11" ht="13.5" customHeight="1">
      <c r="A15" s="693" t="s">
        <v>1710</v>
      </c>
      <c r="B15" s="693"/>
      <c r="C15" s="605" t="s">
        <v>2062</v>
      </c>
      <c r="D15" s="515">
        <v>0</v>
      </c>
    </row>
    <row r="16" spans="1:11" ht="13.5" customHeight="1">
      <c r="A16" s="693" t="s">
        <v>1710</v>
      </c>
      <c r="B16" s="693"/>
      <c r="C16" s="605" t="s">
        <v>2063</v>
      </c>
      <c r="D16" s="515">
        <v>0</v>
      </c>
    </row>
    <row r="17" spans="1:14" ht="15.75">
      <c r="A17" s="51"/>
      <c r="B17" s="54"/>
    </row>
    <row r="18" spans="1:14" ht="51" customHeight="1">
      <c r="A18" s="518" t="s">
        <v>290</v>
      </c>
      <c r="B18" s="387" t="s">
        <v>291</v>
      </c>
      <c r="C18" s="387" t="s">
        <v>13</v>
      </c>
      <c r="D18" s="519" t="s">
        <v>1335</v>
      </c>
      <c r="E18" s="387" t="s">
        <v>2041</v>
      </c>
      <c r="F18" s="387" t="s">
        <v>2042</v>
      </c>
      <c r="G18" s="519" t="s">
        <v>2047</v>
      </c>
      <c r="H18" s="519" t="s">
        <v>2048</v>
      </c>
      <c r="I18" s="519" t="s">
        <v>2043</v>
      </c>
      <c r="J18" s="519" t="s">
        <v>2044</v>
      </c>
      <c r="K18" s="564" t="s">
        <v>2045</v>
      </c>
      <c r="L18" s="387" t="s">
        <v>1081</v>
      </c>
      <c r="N18" s="387" t="s">
        <v>2046</v>
      </c>
    </row>
    <row r="19" spans="1:14">
      <c r="A19" s="23">
        <v>102</v>
      </c>
      <c r="B19" s="33" t="s">
        <v>850</v>
      </c>
      <c r="C19" s="33" t="s">
        <v>180</v>
      </c>
      <c r="D19" s="30" t="s">
        <v>1362</v>
      </c>
      <c r="E19" s="516">
        <v>0</v>
      </c>
      <c r="F19" s="517">
        <v>0</v>
      </c>
      <c r="G19" s="55"/>
      <c r="H19" s="55"/>
      <c r="I19" s="669">
        <f>$D$14</f>
        <v>0</v>
      </c>
      <c r="J19" s="669">
        <f>$D$16</f>
        <v>0</v>
      </c>
      <c r="K19" s="565">
        <v>2</v>
      </c>
      <c r="L19" s="56">
        <f>((E19*I19)+(F19*J19))*K19</f>
        <v>0</v>
      </c>
      <c r="N19" s="56">
        <f>L19/K19</f>
        <v>0</v>
      </c>
    </row>
    <row r="20" spans="1:14">
      <c r="A20" s="23">
        <v>103</v>
      </c>
      <c r="B20" s="33" t="s">
        <v>718</v>
      </c>
      <c r="C20" s="33" t="s">
        <v>180</v>
      </c>
      <c r="D20" s="30" t="s">
        <v>1362</v>
      </c>
      <c r="E20" s="516">
        <v>0</v>
      </c>
      <c r="F20" s="517">
        <v>0</v>
      </c>
      <c r="G20" s="55"/>
      <c r="H20" s="55"/>
      <c r="I20" s="669">
        <f>$D$14</f>
        <v>0</v>
      </c>
      <c r="J20" s="669">
        <f>$D$16</f>
        <v>0</v>
      </c>
      <c r="K20" s="565">
        <v>2</v>
      </c>
      <c r="L20" s="56">
        <f t="shared" ref="L20:L22" si="0">((E20*I20)+(F20*J20))*K20</f>
        <v>0</v>
      </c>
      <c r="N20" s="56">
        <f t="shared" ref="N20:N65" si="1">L20/K20</f>
        <v>0</v>
      </c>
    </row>
    <row r="21" spans="1:14">
      <c r="A21" s="23">
        <v>104</v>
      </c>
      <c r="B21" s="33" t="s">
        <v>165</v>
      </c>
      <c r="C21" s="33" t="s">
        <v>180</v>
      </c>
      <c r="D21" s="30" t="s">
        <v>1362</v>
      </c>
      <c r="E21" s="516">
        <v>0</v>
      </c>
      <c r="F21" s="517">
        <v>0</v>
      </c>
      <c r="G21" s="55"/>
      <c r="H21" s="55"/>
      <c r="I21" s="669">
        <f>$D$14</f>
        <v>0</v>
      </c>
      <c r="J21" s="669">
        <f>$D$16</f>
        <v>0</v>
      </c>
      <c r="K21" s="565">
        <v>2</v>
      </c>
      <c r="L21" s="56">
        <f t="shared" si="0"/>
        <v>0</v>
      </c>
      <c r="N21" s="56">
        <f t="shared" si="1"/>
        <v>0</v>
      </c>
    </row>
    <row r="22" spans="1:14">
      <c r="A22" s="23">
        <v>105</v>
      </c>
      <c r="B22" s="33" t="s">
        <v>851</v>
      </c>
      <c r="C22" s="33" t="s">
        <v>180</v>
      </c>
      <c r="D22" s="30" t="s">
        <v>1362</v>
      </c>
      <c r="E22" s="516">
        <v>0</v>
      </c>
      <c r="F22" s="517">
        <v>0</v>
      </c>
      <c r="G22" s="55"/>
      <c r="H22" s="55"/>
      <c r="I22" s="669">
        <f>$D$14</f>
        <v>0</v>
      </c>
      <c r="J22" s="669">
        <f>$D$16</f>
        <v>0</v>
      </c>
      <c r="K22" s="565">
        <v>2</v>
      </c>
      <c r="L22" s="56">
        <f t="shared" si="0"/>
        <v>0</v>
      </c>
      <c r="N22" s="56">
        <f t="shared" si="1"/>
        <v>0</v>
      </c>
    </row>
    <row r="23" spans="1:14">
      <c r="A23" s="23">
        <v>107</v>
      </c>
      <c r="B23" s="33" t="s">
        <v>289</v>
      </c>
      <c r="C23" s="33" t="s">
        <v>22</v>
      </c>
      <c r="D23" s="57" t="s">
        <v>1095</v>
      </c>
      <c r="E23" s="516">
        <v>0</v>
      </c>
      <c r="F23" s="517">
        <v>0</v>
      </c>
      <c r="G23" s="669">
        <f t="shared" ref="G23:G65" si="2">$D$13</f>
        <v>0</v>
      </c>
      <c r="H23" s="669">
        <f t="shared" ref="H23:H65" si="3">$D$15</f>
        <v>0</v>
      </c>
      <c r="I23" s="55"/>
      <c r="J23" s="55"/>
      <c r="K23" s="565">
        <v>1</v>
      </c>
      <c r="L23" s="56">
        <f>((E23*G23)+(F23*H23))*K23</f>
        <v>0</v>
      </c>
      <c r="N23" s="56">
        <f t="shared" si="1"/>
        <v>0</v>
      </c>
    </row>
    <row r="24" spans="1:14">
      <c r="A24" s="23">
        <v>108</v>
      </c>
      <c r="B24" s="33" t="s">
        <v>255</v>
      </c>
      <c r="C24" s="33" t="s">
        <v>22</v>
      </c>
      <c r="D24" s="57" t="s">
        <v>1095</v>
      </c>
      <c r="E24" s="516">
        <v>0</v>
      </c>
      <c r="F24" s="517">
        <v>0</v>
      </c>
      <c r="G24" s="669">
        <f t="shared" si="2"/>
        <v>0</v>
      </c>
      <c r="H24" s="669">
        <f t="shared" si="3"/>
        <v>0</v>
      </c>
      <c r="I24" s="55"/>
      <c r="J24" s="55"/>
      <c r="K24" s="565">
        <v>1</v>
      </c>
      <c r="L24" s="56">
        <f t="shared" ref="L24:L65" si="4">((E24*G24)+(F24*H24))*K24</f>
        <v>0</v>
      </c>
      <c r="N24" s="56">
        <f t="shared" si="1"/>
        <v>0</v>
      </c>
    </row>
    <row r="25" spans="1:14">
      <c r="A25" s="23">
        <v>110</v>
      </c>
      <c r="B25" s="33" t="s">
        <v>103</v>
      </c>
      <c r="C25" s="33" t="s">
        <v>22</v>
      </c>
      <c r="D25" s="57" t="s">
        <v>1095</v>
      </c>
      <c r="E25" s="516">
        <v>0</v>
      </c>
      <c r="F25" s="517">
        <v>0</v>
      </c>
      <c r="G25" s="669">
        <f t="shared" si="2"/>
        <v>0</v>
      </c>
      <c r="H25" s="669">
        <f t="shared" si="3"/>
        <v>0</v>
      </c>
      <c r="I25" s="55"/>
      <c r="J25" s="55"/>
      <c r="K25" s="565">
        <v>1</v>
      </c>
      <c r="L25" s="56">
        <f t="shared" si="4"/>
        <v>0</v>
      </c>
      <c r="N25" s="56">
        <f t="shared" si="1"/>
        <v>0</v>
      </c>
    </row>
    <row r="26" spans="1:14">
      <c r="A26" s="23">
        <v>111</v>
      </c>
      <c r="B26" s="33" t="s">
        <v>854</v>
      </c>
      <c r="C26" s="33" t="s">
        <v>22</v>
      </c>
      <c r="D26" s="57" t="s">
        <v>1095</v>
      </c>
      <c r="E26" s="516">
        <v>0</v>
      </c>
      <c r="F26" s="517">
        <v>0</v>
      </c>
      <c r="G26" s="669">
        <f t="shared" si="2"/>
        <v>0</v>
      </c>
      <c r="H26" s="669">
        <f t="shared" si="3"/>
        <v>0</v>
      </c>
      <c r="I26" s="55"/>
      <c r="J26" s="55"/>
      <c r="K26" s="565">
        <v>2</v>
      </c>
      <c r="L26" s="56">
        <f t="shared" si="4"/>
        <v>0</v>
      </c>
      <c r="N26" s="56">
        <f t="shared" si="1"/>
        <v>0</v>
      </c>
    </row>
    <row r="27" spans="1:14">
      <c r="A27" s="23">
        <v>112</v>
      </c>
      <c r="B27" s="33" t="s">
        <v>140</v>
      </c>
      <c r="C27" s="33" t="s">
        <v>22</v>
      </c>
      <c r="D27" s="57" t="s">
        <v>1095</v>
      </c>
      <c r="E27" s="516">
        <v>0</v>
      </c>
      <c r="F27" s="517">
        <v>0</v>
      </c>
      <c r="G27" s="669">
        <f t="shared" si="2"/>
        <v>0</v>
      </c>
      <c r="H27" s="669">
        <f t="shared" si="3"/>
        <v>0</v>
      </c>
      <c r="I27" s="55"/>
      <c r="J27" s="55"/>
      <c r="K27" s="565">
        <v>1</v>
      </c>
      <c r="L27" s="56">
        <f t="shared" si="4"/>
        <v>0</v>
      </c>
      <c r="N27" s="56">
        <f t="shared" si="1"/>
        <v>0</v>
      </c>
    </row>
    <row r="28" spans="1:14">
      <c r="A28" s="23">
        <v>113</v>
      </c>
      <c r="B28" s="33" t="s">
        <v>855</v>
      </c>
      <c r="C28" s="33" t="s">
        <v>22</v>
      </c>
      <c r="D28" s="57" t="s">
        <v>1095</v>
      </c>
      <c r="E28" s="516">
        <v>0</v>
      </c>
      <c r="F28" s="517">
        <v>0</v>
      </c>
      <c r="G28" s="669">
        <f t="shared" si="2"/>
        <v>0</v>
      </c>
      <c r="H28" s="669">
        <f t="shared" si="3"/>
        <v>0</v>
      </c>
      <c r="I28" s="55"/>
      <c r="J28" s="55"/>
      <c r="K28" s="565">
        <v>1</v>
      </c>
      <c r="L28" s="56">
        <f t="shared" si="4"/>
        <v>0</v>
      </c>
      <c r="N28" s="56">
        <f t="shared" si="1"/>
        <v>0</v>
      </c>
    </row>
    <row r="29" spans="1:14">
      <c r="A29" s="23">
        <v>114</v>
      </c>
      <c r="B29" s="33" t="s">
        <v>21</v>
      </c>
      <c r="C29" s="33" t="s">
        <v>22</v>
      </c>
      <c r="D29" s="57" t="s">
        <v>1095</v>
      </c>
      <c r="E29" s="516">
        <v>0</v>
      </c>
      <c r="F29" s="517">
        <v>0</v>
      </c>
      <c r="G29" s="669">
        <f t="shared" si="2"/>
        <v>0</v>
      </c>
      <c r="H29" s="669">
        <f t="shared" si="3"/>
        <v>0</v>
      </c>
      <c r="I29" s="55"/>
      <c r="J29" s="55"/>
      <c r="K29" s="565">
        <v>1</v>
      </c>
      <c r="L29" s="56">
        <f t="shared" si="4"/>
        <v>0</v>
      </c>
      <c r="N29" s="56">
        <f t="shared" si="1"/>
        <v>0</v>
      </c>
    </row>
    <row r="30" spans="1:14">
      <c r="A30" s="23">
        <v>115</v>
      </c>
      <c r="B30" s="33" t="s">
        <v>73</v>
      </c>
      <c r="C30" s="33" t="s">
        <v>74</v>
      </c>
      <c r="D30" s="57" t="s">
        <v>1095</v>
      </c>
      <c r="E30" s="516">
        <v>0</v>
      </c>
      <c r="F30" s="517">
        <v>0</v>
      </c>
      <c r="G30" s="669">
        <f t="shared" si="2"/>
        <v>0</v>
      </c>
      <c r="H30" s="669">
        <f t="shared" si="3"/>
        <v>0</v>
      </c>
      <c r="I30" s="55"/>
      <c r="J30" s="55"/>
      <c r="K30" s="565">
        <v>1</v>
      </c>
      <c r="L30" s="56">
        <f t="shared" si="4"/>
        <v>0</v>
      </c>
      <c r="N30" s="56">
        <f t="shared" si="1"/>
        <v>0</v>
      </c>
    </row>
    <row r="31" spans="1:14">
      <c r="A31" s="23">
        <v>116</v>
      </c>
      <c r="B31" s="33" t="s">
        <v>238</v>
      </c>
      <c r="C31" s="33" t="s">
        <v>22</v>
      </c>
      <c r="D31" s="57" t="s">
        <v>1095</v>
      </c>
      <c r="E31" s="516">
        <v>0</v>
      </c>
      <c r="F31" s="517">
        <v>0</v>
      </c>
      <c r="G31" s="669">
        <f t="shared" si="2"/>
        <v>0</v>
      </c>
      <c r="H31" s="669">
        <f t="shared" si="3"/>
        <v>0</v>
      </c>
      <c r="I31" s="55"/>
      <c r="J31" s="55"/>
      <c r="K31" s="565">
        <v>1</v>
      </c>
      <c r="L31" s="56">
        <f t="shared" si="4"/>
        <v>0</v>
      </c>
      <c r="N31" s="56">
        <f t="shared" si="1"/>
        <v>0</v>
      </c>
    </row>
    <row r="32" spans="1:14">
      <c r="A32" s="23">
        <v>117</v>
      </c>
      <c r="B32" s="33" t="s">
        <v>297</v>
      </c>
      <c r="C32" s="33" t="s">
        <v>22</v>
      </c>
      <c r="D32" s="57" t="s">
        <v>1095</v>
      </c>
      <c r="E32" s="516">
        <v>0</v>
      </c>
      <c r="F32" s="517">
        <v>0</v>
      </c>
      <c r="G32" s="669">
        <f t="shared" si="2"/>
        <v>0</v>
      </c>
      <c r="H32" s="669">
        <f t="shared" si="3"/>
        <v>0</v>
      </c>
      <c r="I32" s="55"/>
      <c r="J32" s="55"/>
      <c r="K32" s="565">
        <v>1</v>
      </c>
      <c r="L32" s="56">
        <f t="shared" si="4"/>
        <v>0</v>
      </c>
      <c r="N32" s="56">
        <f t="shared" si="1"/>
        <v>0</v>
      </c>
    </row>
    <row r="33" spans="1:15">
      <c r="A33" s="23">
        <v>118</v>
      </c>
      <c r="B33" s="33" t="s">
        <v>198</v>
      </c>
      <c r="C33" s="33" t="s">
        <v>22</v>
      </c>
      <c r="D33" s="57" t="s">
        <v>1095</v>
      </c>
      <c r="E33" s="516">
        <v>0</v>
      </c>
      <c r="F33" s="517">
        <v>0</v>
      </c>
      <c r="G33" s="669">
        <f t="shared" si="2"/>
        <v>0</v>
      </c>
      <c r="H33" s="669">
        <f t="shared" si="3"/>
        <v>0</v>
      </c>
      <c r="I33" s="55"/>
      <c r="J33" s="55"/>
      <c r="K33" s="565">
        <v>1</v>
      </c>
      <c r="L33" s="56">
        <f t="shared" si="4"/>
        <v>0</v>
      </c>
      <c r="N33" s="56">
        <f t="shared" si="1"/>
        <v>0</v>
      </c>
    </row>
    <row r="34" spans="1:15">
      <c r="A34" s="23">
        <v>119</v>
      </c>
      <c r="B34" s="33" t="s">
        <v>311</v>
      </c>
      <c r="C34" s="33" t="s">
        <v>22</v>
      </c>
      <c r="D34" s="57" t="s">
        <v>1095</v>
      </c>
      <c r="E34" s="516">
        <v>0</v>
      </c>
      <c r="F34" s="517">
        <v>0</v>
      </c>
      <c r="G34" s="669">
        <f t="shared" si="2"/>
        <v>0</v>
      </c>
      <c r="H34" s="669">
        <f t="shared" si="3"/>
        <v>0</v>
      </c>
      <c r="I34" s="55"/>
      <c r="J34" s="55"/>
      <c r="K34" s="565">
        <v>1</v>
      </c>
      <c r="L34" s="56">
        <f t="shared" si="4"/>
        <v>0</v>
      </c>
      <c r="N34" s="56">
        <f t="shared" si="1"/>
        <v>0</v>
      </c>
    </row>
    <row r="35" spans="1:15">
      <c r="A35" s="23">
        <v>120</v>
      </c>
      <c r="B35" s="33" t="s">
        <v>301</v>
      </c>
      <c r="C35" s="33" t="s">
        <v>22</v>
      </c>
      <c r="D35" s="57" t="s">
        <v>1095</v>
      </c>
      <c r="E35" s="516">
        <v>0</v>
      </c>
      <c r="F35" s="517">
        <v>0</v>
      </c>
      <c r="G35" s="669">
        <f t="shared" si="2"/>
        <v>0</v>
      </c>
      <c r="H35" s="669">
        <f t="shared" si="3"/>
        <v>0</v>
      </c>
      <c r="I35" s="55"/>
      <c r="J35" s="55"/>
      <c r="K35" s="565">
        <v>1</v>
      </c>
      <c r="L35" s="56">
        <f t="shared" si="4"/>
        <v>0</v>
      </c>
      <c r="N35" s="56">
        <f t="shared" si="1"/>
        <v>0</v>
      </c>
    </row>
    <row r="36" spans="1:15">
      <c r="A36" s="23">
        <v>121</v>
      </c>
      <c r="B36" s="33" t="s">
        <v>181</v>
      </c>
      <c r="C36" s="33" t="s">
        <v>22</v>
      </c>
      <c r="D36" s="57" t="s">
        <v>1095</v>
      </c>
      <c r="E36" s="516">
        <v>0</v>
      </c>
      <c r="F36" s="517">
        <v>0</v>
      </c>
      <c r="G36" s="669">
        <f t="shared" si="2"/>
        <v>0</v>
      </c>
      <c r="H36" s="669">
        <f t="shared" si="3"/>
        <v>0</v>
      </c>
      <c r="I36" s="55"/>
      <c r="J36" s="55"/>
      <c r="K36" s="565">
        <v>1</v>
      </c>
      <c r="L36" s="56">
        <f t="shared" si="4"/>
        <v>0</v>
      </c>
      <c r="N36" s="56">
        <f t="shared" si="1"/>
        <v>0</v>
      </c>
    </row>
    <row r="37" spans="1:15">
      <c r="A37" s="23">
        <v>1001</v>
      </c>
      <c r="B37" s="33" t="s">
        <v>1040</v>
      </c>
      <c r="C37" s="33" t="s">
        <v>1044</v>
      </c>
      <c r="D37" s="57" t="s">
        <v>1095</v>
      </c>
      <c r="E37" s="516">
        <v>0</v>
      </c>
      <c r="F37" s="517">
        <v>0</v>
      </c>
      <c r="G37" s="669">
        <f t="shared" si="2"/>
        <v>0</v>
      </c>
      <c r="H37" s="669">
        <f t="shared" si="3"/>
        <v>0</v>
      </c>
      <c r="I37" s="55"/>
      <c r="J37" s="55"/>
      <c r="K37" s="565">
        <v>1</v>
      </c>
      <c r="L37" s="56">
        <f t="shared" si="4"/>
        <v>0</v>
      </c>
      <c r="N37" s="56">
        <f t="shared" si="1"/>
        <v>0</v>
      </c>
    </row>
    <row r="38" spans="1:15">
      <c r="A38" s="23">
        <v>1002</v>
      </c>
      <c r="B38" s="33" t="s">
        <v>1071</v>
      </c>
      <c r="C38" s="33" t="s">
        <v>1044</v>
      </c>
      <c r="D38" s="57" t="s">
        <v>1095</v>
      </c>
      <c r="E38" s="516">
        <v>0</v>
      </c>
      <c r="F38" s="517">
        <v>0</v>
      </c>
      <c r="G38" s="669">
        <f t="shared" si="2"/>
        <v>0</v>
      </c>
      <c r="H38" s="669">
        <f t="shared" si="3"/>
        <v>0</v>
      </c>
      <c r="I38" s="55"/>
      <c r="J38" s="55"/>
      <c r="K38" s="565">
        <v>1</v>
      </c>
      <c r="L38" s="56">
        <f t="shared" si="4"/>
        <v>0</v>
      </c>
      <c r="N38" s="56">
        <f t="shared" si="1"/>
        <v>0</v>
      </c>
    </row>
    <row r="39" spans="1:15">
      <c r="A39" s="58">
        <v>201</v>
      </c>
      <c r="B39" s="59" t="s">
        <v>1554</v>
      </c>
      <c r="C39" s="59" t="s">
        <v>1420</v>
      </c>
      <c r="D39" s="57" t="s">
        <v>1095</v>
      </c>
      <c r="E39" s="517">
        <v>0</v>
      </c>
      <c r="F39" s="517">
        <v>0</v>
      </c>
      <c r="G39" s="669">
        <f t="shared" si="2"/>
        <v>0</v>
      </c>
      <c r="H39" s="669">
        <f t="shared" si="3"/>
        <v>0</v>
      </c>
      <c r="I39" s="55"/>
      <c r="J39" s="55"/>
      <c r="K39" s="566">
        <v>1</v>
      </c>
      <c r="L39" s="56">
        <f t="shared" si="4"/>
        <v>0</v>
      </c>
      <c r="N39" s="56">
        <f t="shared" si="1"/>
        <v>0</v>
      </c>
    </row>
    <row r="40" spans="1:15">
      <c r="A40" s="58">
        <v>202</v>
      </c>
      <c r="B40" s="59" t="s">
        <v>1421</v>
      </c>
      <c r="C40" s="59" t="s">
        <v>1420</v>
      </c>
      <c r="D40" s="57" t="s">
        <v>1095</v>
      </c>
      <c r="E40" s="517">
        <v>0</v>
      </c>
      <c r="F40" s="517">
        <v>0</v>
      </c>
      <c r="G40" s="669">
        <f t="shared" si="2"/>
        <v>0</v>
      </c>
      <c r="H40" s="669">
        <f t="shared" si="3"/>
        <v>0</v>
      </c>
      <c r="I40" s="55"/>
      <c r="J40" s="55"/>
      <c r="K40" s="566">
        <v>1</v>
      </c>
      <c r="L40" s="56">
        <f t="shared" si="4"/>
        <v>0</v>
      </c>
      <c r="N40" s="56">
        <f t="shared" si="1"/>
        <v>0</v>
      </c>
    </row>
    <row r="41" spans="1:15">
      <c r="A41" s="58">
        <v>203</v>
      </c>
      <c r="B41" s="59" t="s">
        <v>1422</v>
      </c>
      <c r="C41" s="59" t="s">
        <v>1420</v>
      </c>
      <c r="D41" s="57" t="s">
        <v>1095</v>
      </c>
      <c r="E41" s="517">
        <v>0</v>
      </c>
      <c r="F41" s="517">
        <v>0</v>
      </c>
      <c r="G41" s="669">
        <f t="shared" si="2"/>
        <v>0</v>
      </c>
      <c r="H41" s="669">
        <f t="shared" si="3"/>
        <v>0</v>
      </c>
      <c r="I41" s="55"/>
      <c r="J41" s="55"/>
      <c r="K41" s="566">
        <v>1</v>
      </c>
      <c r="L41" s="56">
        <f t="shared" si="4"/>
        <v>0</v>
      </c>
      <c r="N41" s="56">
        <f t="shared" si="1"/>
        <v>0</v>
      </c>
      <c r="O41" s="50" t="s">
        <v>1559</v>
      </c>
    </row>
    <row r="42" spans="1:15">
      <c r="A42" s="58">
        <v>204</v>
      </c>
      <c r="B42" s="59" t="s">
        <v>1423</v>
      </c>
      <c r="C42" s="59" t="s">
        <v>1420</v>
      </c>
      <c r="D42" s="57" t="s">
        <v>1095</v>
      </c>
      <c r="E42" s="517">
        <v>0</v>
      </c>
      <c r="F42" s="517">
        <v>0</v>
      </c>
      <c r="G42" s="669">
        <f t="shared" si="2"/>
        <v>0</v>
      </c>
      <c r="H42" s="669">
        <f t="shared" si="3"/>
        <v>0</v>
      </c>
      <c r="I42" s="55"/>
      <c r="J42" s="55"/>
      <c r="K42" s="566">
        <v>1</v>
      </c>
      <c r="L42" s="56">
        <f t="shared" si="4"/>
        <v>0</v>
      </c>
      <c r="N42" s="56">
        <f t="shared" si="1"/>
        <v>0</v>
      </c>
    </row>
    <row r="43" spans="1:15">
      <c r="A43" s="58">
        <v>205</v>
      </c>
      <c r="B43" s="59" t="s">
        <v>1424</v>
      </c>
      <c r="C43" s="59" t="s">
        <v>1420</v>
      </c>
      <c r="D43" s="57" t="s">
        <v>1095</v>
      </c>
      <c r="E43" s="517">
        <v>0</v>
      </c>
      <c r="F43" s="517">
        <v>0</v>
      </c>
      <c r="G43" s="669">
        <f t="shared" si="2"/>
        <v>0</v>
      </c>
      <c r="H43" s="669">
        <f t="shared" si="3"/>
        <v>0</v>
      </c>
      <c r="I43" s="55"/>
      <c r="J43" s="55"/>
      <c r="K43" s="566">
        <v>1</v>
      </c>
      <c r="L43" s="56">
        <f t="shared" si="4"/>
        <v>0</v>
      </c>
      <c r="N43" s="56">
        <f t="shared" si="1"/>
        <v>0</v>
      </c>
    </row>
    <row r="44" spans="1:15">
      <c r="A44" s="58">
        <v>206</v>
      </c>
      <c r="B44" s="59" t="s">
        <v>1425</v>
      </c>
      <c r="C44" s="59" t="s">
        <v>1420</v>
      </c>
      <c r="D44" s="57" t="s">
        <v>1095</v>
      </c>
      <c r="E44" s="517">
        <v>0</v>
      </c>
      <c r="F44" s="517">
        <v>0</v>
      </c>
      <c r="G44" s="669">
        <f t="shared" si="2"/>
        <v>0</v>
      </c>
      <c r="H44" s="669">
        <f t="shared" si="3"/>
        <v>0</v>
      </c>
      <c r="I44" s="55"/>
      <c r="J44" s="55"/>
      <c r="K44" s="566">
        <v>1</v>
      </c>
      <c r="L44" s="56">
        <f t="shared" si="4"/>
        <v>0</v>
      </c>
      <c r="N44" s="56">
        <f t="shared" si="1"/>
        <v>0</v>
      </c>
    </row>
    <row r="45" spans="1:15">
      <c r="A45" s="58">
        <v>207</v>
      </c>
      <c r="B45" s="59" t="s">
        <v>1426</v>
      </c>
      <c r="C45" s="59" t="s">
        <v>1420</v>
      </c>
      <c r="D45" s="57" t="s">
        <v>1095</v>
      </c>
      <c r="E45" s="517">
        <v>0</v>
      </c>
      <c r="F45" s="517">
        <v>0</v>
      </c>
      <c r="G45" s="669">
        <f t="shared" si="2"/>
        <v>0</v>
      </c>
      <c r="H45" s="669">
        <f t="shared" si="3"/>
        <v>0</v>
      </c>
      <c r="I45" s="55"/>
      <c r="J45" s="55"/>
      <c r="K45" s="566">
        <v>1</v>
      </c>
      <c r="L45" s="56">
        <f t="shared" si="4"/>
        <v>0</v>
      </c>
      <c r="N45" s="56">
        <f t="shared" si="1"/>
        <v>0</v>
      </c>
    </row>
    <row r="46" spans="1:15">
      <c r="A46" s="58">
        <v>208</v>
      </c>
      <c r="B46" s="59" t="s">
        <v>1689</v>
      </c>
      <c r="C46" s="59" t="s">
        <v>1420</v>
      </c>
      <c r="D46" s="57" t="s">
        <v>1095</v>
      </c>
      <c r="E46" s="517">
        <v>0</v>
      </c>
      <c r="F46" s="517">
        <v>0</v>
      </c>
      <c r="G46" s="669">
        <f t="shared" si="2"/>
        <v>0</v>
      </c>
      <c r="H46" s="669">
        <f t="shared" si="3"/>
        <v>0</v>
      </c>
      <c r="I46" s="55"/>
      <c r="J46" s="55"/>
      <c r="K46" s="566">
        <v>1</v>
      </c>
      <c r="L46" s="56">
        <f t="shared" si="4"/>
        <v>0</v>
      </c>
      <c r="N46" s="56">
        <f t="shared" si="1"/>
        <v>0</v>
      </c>
    </row>
    <row r="47" spans="1:15">
      <c r="A47" s="58">
        <v>209</v>
      </c>
      <c r="B47" s="59" t="s">
        <v>1690</v>
      </c>
      <c r="C47" s="59" t="s">
        <v>1420</v>
      </c>
      <c r="D47" s="57" t="s">
        <v>1095</v>
      </c>
      <c r="E47" s="517">
        <v>0</v>
      </c>
      <c r="F47" s="517">
        <v>0</v>
      </c>
      <c r="G47" s="669">
        <f t="shared" si="2"/>
        <v>0</v>
      </c>
      <c r="H47" s="669">
        <f t="shared" si="3"/>
        <v>0</v>
      </c>
      <c r="I47" s="55"/>
      <c r="J47" s="55"/>
      <c r="K47" s="566">
        <v>1</v>
      </c>
      <c r="L47" s="56">
        <f t="shared" si="4"/>
        <v>0</v>
      </c>
      <c r="N47" s="56">
        <f t="shared" si="1"/>
        <v>0</v>
      </c>
    </row>
    <row r="48" spans="1:15">
      <c r="A48" s="58">
        <v>210</v>
      </c>
      <c r="B48" s="59" t="s">
        <v>1691</v>
      </c>
      <c r="C48" s="59" t="s">
        <v>1420</v>
      </c>
      <c r="D48" s="57" t="s">
        <v>1095</v>
      </c>
      <c r="E48" s="517">
        <v>0</v>
      </c>
      <c r="F48" s="517">
        <v>0</v>
      </c>
      <c r="G48" s="669">
        <f t="shared" si="2"/>
        <v>0</v>
      </c>
      <c r="H48" s="669">
        <f t="shared" si="3"/>
        <v>0</v>
      </c>
      <c r="I48" s="55"/>
      <c r="J48" s="55"/>
      <c r="K48" s="566">
        <v>1</v>
      </c>
      <c r="L48" s="56">
        <f t="shared" si="4"/>
        <v>0</v>
      </c>
      <c r="N48" s="56">
        <f t="shared" si="1"/>
        <v>0</v>
      </c>
    </row>
    <row r="49" spans="1:14">
      <c r="A49" s="58">
        <v>211</v>
      </c>
      <c r="B49" s="59" t="s">
        <v>1692</v>
      </c>
      <c r="C49" s="59" t="s">
        <v>1420</v>
      </c>
      <c r="D49" s="57" t="s">
        <v>1095</v>
      </c>
      <c r="E49" s="517">
        <v>0</v>
      </c>
      <c r="F49" s="517">
        <v>0</v>
      </c>
      <c r="G49" s="669">
        <f t="shared" si="2"/>
        <v>0</v>
      </c>
      <c r="H49" s="669">
        <f t="shared" si="3"/>
        <v>0</v>
      </c>
      <c r="I49" s="55"/>
      <c r="J49" s="55"/>
      <c r="K49" s="566">
        <v>1</v>
      </c>
      <c r="L49" s="56">
        <f t="shared" si="4"/>
        <v>0</v>
      </c>
      <c r="N49" s="56">
        <f t="shared" si="1"/>
        <v>0</v>
      </c>
    </row>
    <row r="50" spans="1:14">
      <c r="A50" s="58">
        <v>212</v>
      </c>
      <c r="B50" s="59" t="s">
        <v>1693</v>
      </c>
      <c r="C50" s="59" t="s">
        <v>1420</v>
      </c>
      <c r="D50" s="57" t="s">
        <v>1095</v>
      </c>
      <c r="E50" s="517">
        <v>0</v>
      </c>
      <c r="F50" s="517">
        <v>0</v>
      </c>
      <c r="G50" s="669">
        <f t="shared" si="2"/>
        <v>0</v>
      </c>
      <c r="H50" s="669">
        <f t="shared" si="3"/>
        <v>0</v>
      </c>
      <c r="I50" s="55"/>
      <c r="J50" s="55"/>
      <c r="K50" s="566">
        <v>1</v>
      </c>
      <c r="L50" s="56">
        <f t="shared" si="4"/>
        <v>0</v>
      </c>
      <c r="N50" s="56">
        <f t="shared" si="1"/>
        <v>0</v>
      </c>
    </row>
    <row r="51" spans="1:14">
      <c r="A51" s="58">
        <v>213</v>
      </c>
      <c r="B51" s="59" t="s">
        <v>1694</v>
      </c>
      <c r="C51" s="59" t="s">
        <v>1420</v>
      </c>
      <c r="D51" s="57" t="s">
        <v>1095</v>
      </c>
      <c r="E51" s="517">
        <v>0</v>
      </c>
      <c r="F51" s="517">
        <v>0</v>
      </c>
      <c r="G51" s="669">
        <f t="shared" si="2"/>
        <v>0</v>
      </c>
      <c r="H51" s="669">
        <f t="shared" si="3"/>
        <v>0</v>
      </c>
      <c r="I51" s="55"/>
      <c r="J51" s="55"/>
      <c r="K51" s="566">
        <v>1</v>
      </c>
      <c r="L51" s="56">
        <f t="shared" si="4"/>
        <v>0</v>
      </c>
      <c r="N51" s="56">
        <f t="shared" si="1"/>
        <v>0</v>
      </c>
    </row>
    <row r="52" spans="1:14">
      <c r="A52" s="58">
        <v>214</v>
      </c>
      <c r="B52" s="59" t="s">
        <v>1695</v>
      </c>
      <c r="C52" s="59" t="s">
        <v>1420</v>
      </c>
      <c r="D52" s="57" t="s">
        <v>1095</v>
      </c>
      <c r="E52" s="517">
        <v>0</v>
      </c>
      <c r="F52" s="517">
        <v>0</v>
      </c>
      <c r="G52" s="669">
        <f t="shared" si="2"/>
        <v>0</v>
      </c>
      <c r="H52" s="669">
        <f t="shared" si="3"/>
        <v>0</v>
      </c>
      <c r="I52" s="55"/>
      <c r="J52" s="55"/>
      <c r="K52" s="566">
        <v>1</v>
      </c>
      <c r="L52" s="56">
        <f t="shared" si="4"/>
        <v>0</v>
      </c>
      <c r="N52" s="56">
        <f t="shared" si="1"/>
        <v>0</v>
      </c>
    </row>
    <row r="53" spans="1:14">
      <c r="A53" s="58">
        <v>215</v>
      </c>
      <c r="B53" s="59" t="s">
        <v>1696</v>
      </c>
      <c r="C53" s="59" t="s">
        <v>1420</v>
      </c>
      <c r="D53" s="57" t="s">
        <v>1095</v>
      </c>
      <c r="E53" s="517">
        <v>0</v>
      </c>
      <c r="F53" s="517">
        <v>0</v>
      </c>
      <c r="G53" s="669">
        <f t="shared" si="2"/>
        <v>0</v>
      </c>
      <c r="H53" s="669">
        <f t="shared" si="3"/>
        <v>0</v>
      </c>
      <c r="I53" s="55"/>
      <c r="J53" s="55"/>
      <c r="K53" s="566">
        <v>1</v>
      </c>
      <c r="L53" s="56">
        <f t="shared" si="4"/>
        <v>0</v>
      </c>
      <c r="N53" s="56">
        <f t="shared" si="1"/>
        <v>0</v>
      </c>
    </row>
    <row r="54" spans="1:14">
      <c r="A54" s="58">
        <v>301</v>
      </c>
      <c r="B54" s="59" t="s">
        <v>1427</v>
      </c>
      <c r="C54" s="59" t="s">
        <v>1411</v>
      </c>
      <c r="D54" s="57" t="s">
        <v>1095</v>
      </c>
      <c r="E54" s="517">
        <v>0</v>
      </c>
      <c r="F54" s="517">
        <v>0</v>
      </c>
      <c r="G54" s="669">
        <f t="shared" si="2"/>
        <v>0</v>
      </c>
      <c r="H54" s="669">
        <f t="shared" si="3"/>
        <v>0</v>
      </c>
      <c r="I54" s="55"/>
      <c r="J54" s="55"/>
      <c r="K54" s="566">
        <v>1</v>
      </c>
      <c r="L54" s="56">
        <f t="shared" si="4"/>
        <v>0</v>
      </c>
      <c r="N54" s="56">
        <f t="shared" si="1"/>
        <v>0</v>
      </c>
    </row>
    <row r="55" spans="1:14">
      <c r="A55" s="58">
        <v>302</v>
      </c>
      <c r="B55" s="59" t="s">
        <v>1410</v>
      </c>
      <c r="C55" s="59" t="s">
        <v>1411</v>
      </c>
      <c r="D55" s="57" t="s">
        <v>1095</v>
      </c>
      <c r="E55" s="517">
        <v>0</v>
      </c>
      <c r="F55" s="517">
        <v>0</v>
      </c>
      <c r="G55" s="669">
        <f t="shared" si="2"/>
        <v>0</v>
      </c>
      <c r="H55" s="669">
        <f t="shared" si="3"/>
        <v>0</v>
      </c>
      <c r="I55" s="55"/>
      <c r="J55" s="55"/>
      <c r="K55" s="566">
        <v>1</v>
      </c>
      <c r="L55" s="56">
        <f t="shared" si="4"/>
        <v>0</v>
      </c>
      <c r="N55" s="56">
        <f t="shared" si="1"/>
        <v>0</v>
      </c>
    </row>
    <row r="56" spans="1:14">
      <c r="A56" s="58">
        <v>303</v>
      </c>
      <c r="B56" s="59" t="s">
        <v>133</v>
      </c>
      <c r="C56" s="59" t="s">
        <v>1411</v>
      </c>
      <c r="D56" s="57" t="s">
        <v>1095</v>
      </c>
      <c r="E56" s="517">
        <v>0</v>
      </c>
      <c r="F56" s="517">
        <v>0</v>
      </c>
      <c r="G56" s="669">
        <f t="shared" si="2"/>
        <v>0</v>
      </c>
      <c r="H56" s="669">
        <f t="shared" si="3"/>
        <v>0</v>
      </c>
      <c r="I56" s="55"/>
      <c r="J56" s="55"/>
      <c r="K56" s="566">
        <v>2</v>
      </c>
      <c r="L56" s="56">
        <f t="shared" si="4"/>
        <v>0</v>
      </c>
      <c r="N56" s="56">
        <f t="shared" si="1"/>
        <v>0</v>
      </c>
    </row>
    <row r="57" spans="1:14" ht="14.25">
      <c r="A57" s="58">
        <v>304</v>
      </c>
      <c r="B57" s="60" t="s">
        <v>1414</v>
      </c>
      <c r="C57" s="59" t="s">
        <v>1411</v>
      </c>
      <c r="D57" s="57" t="s">
        <v>1095</v>
      </c>
      <c r="E57" s="517">
        <v>0</v>
      </c>
      <c r="F57" s="517">
        <v>0</v>
      </c>
      <c r="G57" s="669">
        <f t="shared" si="2"/>
        <v>0</v>
      </c>
      <c r="H57" s="669">
        <f t="shared" si="3"/>
        <v>0</v>
      </c>
      <c r="I57" s="55"/>
      <c r="J57" s="55"/>
      <c r="K57" s="566">
        <v>1</v>
      </c>
      <c r="L57" s="56">
        <f t="shared" si="4"/>
        <v>0</v>
      </c>
      <c r="N57" s="56">
        <f t="shared" si="1"/>
        <v>0</v>
      </c>
    </row>
    <row r="58" spans="1:14">
      <c r="A58" s="58">
        <v>305</v>
      </c>
      <c r="B58" s="59" t="s">
        <v>1417</v>
      </c>
      <c r="C58" s="59" t="s">
        <v>1411</v>
      </c>
      <c r="D58" s="57" t="s">
        <v>1095</v>
      </c>
      <c r="E58" s="517">
        <v>0</v>
      </c>
      <c r="F58" s="517">
        <v>0</v>
      </c>
      <c r="G58" s="669">
        <f t="shared" si="2"/>
        <v>0</v>
      </c>
      <c r="H58" s="669">
        <f t="shared" si="3"/>
        <v>0</v>
      </c>
      <c r="I58" s="55"/>
      <c r="J58" s="55"/>
      <c r="K58" s="566">
        <v>1</v>
      </c>
      <c r="L58" s="56">
        <f t="shared" si="4"/>
        <v>0</v>
      </c>
      <c r="N58" s="56">
        <f t="shared" si="1"/>
        <v>0</v>
      </c>
    </row>
    <row r="59" spans="1:14">
      <c r="A59" s="58">
        <v>306</v>
      </c>
      <c r="B59" s="59" t="s">
        <v>1418</v>
      </c>
      <c r="C59" s="59" t="s">
        <v>1411</v>
      </c>
      <c r="D59" s="57" t="s">
        <v>1095</v>
      </c>
      <c r="E59" s="517">
        <v>0</v>
      </c>
      <c r="F59" s="517">
        <v>0</v>
      </c>
      <c r="G59" s="669">
        <f t="shared" si="2"/>
        <v>0</v>
      </c>
      <c r="H59" s="669">
        <f t="shared" si="3"/>
        <v>0</v>
      </c>
      <c r="I59" s="55"/>
      <c r="J59" s="55"/>
      <c r="K59" s="566">
        <v>1</v>
      </c>
      <c r="L59" s="56">
        <f t="shared" si="4"/>
        <v>0</v>
      </c>
      <c r="N59" s="56">
        <f t="shared" si="1"/>
        <v>0</v>
      </c>
    </row>
    <row r="60" spans="1:14">
      <c r="A60" s="58">
        <v>307</v>
      </c>
      <c r="B60" s="59" t="s">
        <v>1412</v>
      </c>
      <c r="C60" s="59" t="s">
        <v>1411</v>
      </c>
      <c r="D60" s="57" t="s">
        <v>1095</v>
      </c>
      <c r="E60" s="517">
        <v>0</v>
      </c>
      <c r="F60" s="517">
        <v>0</v>
      </c>
      <c r="G60" s="669">
        <f t="shared" si="2"/>
        <v>0</v>
      </c>
      <c r="H60" s="669">
        <f t="shared" si="3"/>
        <v>0</v>
      </c>
      <c r="I60" s="55"/>
      <c r="J60" s="55"/>
      <c r="K60" s="566">
        <v>1</v>
      </c>
      <c r="L60" s="56">
        <f t="shared" si="4"/>
        <v>0</v>
      </c>
      <c r="N60" s="56">
        <f t="shared" si="1"/>
        <v>0</v>
      </c>
    </row>
    <row r="61" spans="1:14">
      <c r="A61" s="58">
        <v>308</v>
      </c>
      <c r="B61" s="59" t="s">
        <v>1419</v>
      </c>
      <c r="C61" s="59" t="s">
        <v>1411</v>
      </c>
      <c r="D61" s="57" t="s">
        <v>1095</v>
      </c>
      <c r="E61" s="517">
        <v>0</v>
      </c>
      <c r="F61" s="517">
        <v>0</v>
      </c>
      <c r="G61" s="669">
        <f t="shared" si="2"/>
        <v>0</v>
      </c>
      <c r="H61" s="669">
        <f t="shared" si="3"/>
        <v>0</v>
      </c>
      <c r="I61" s="55"/>
      <c r="J61" s="55"/>
      <c r="K61" s="566">
        <v>1</v>
      </c>
      <c r="L61" s="56">
        <f t="shared" si="4"/>
        <v>0</v>
      </c>
      <c r="N61" s="56">
        <f t="shared" si="1"/>
        <v>0</v>
      </c>
    </row>
    <row r="62" spans="1:14">
      <c r="A62" s="58">
        <v>309</v>
      </c>
      <c r="B62" s="59" t="s">
        <v>1415</v>
      </c>
      <c r="C62" s="59" t="s">
        <v>1411</v>
      </c>
      <c r="D62" s="57" t="s">
        <v>1095</v>
      </c>
      <c r="E62" s="517">
        <v>0</v>
      </c>
      <c r="F62" s="517">
        <v>0</v>
      </c>
      <c r="G62" s="669">
        <f t="shared" si="2"/>
        <v>0</v>
      </c>
      <c r="H62" s="669">
        <f t="shared" si="3"/>
        <v>0</v>
      </c>
      <c r="I62" s="55"/>
      <c r="J62" s="55"/>
      <c r="K62" s="566">
        <v>1</v>
      </c>
      <c r="L62" s="56">
        <f t="shared" si="4"/>
        <v>0</v>
      </c>
      <c r="N62" s="56">
        <f t="shared" si="1"/>
        <v>0</v>
      </c>
    </row>
    <row r="63" spans="1:14">
      <c r="A63" s="58">
        <v>310</v>
      </c>
      <c r="B63" s="59" t="s">
        <v>1416</v>
      </c>
      <c r="C63" s="59" t="s">
        <v>1411</v>
      </c>
      <c r="D63" s="57" t="s">
        <v>1095</v>
      </c>
      <c r="E63" s="517">
        <v>0</v>
      </c>
      <c r="F63" s="517">
        <v>0</v>
      </c>
      <c r="G63" s="669">
        <f t="shared" si="2"/>
        <v>0</v>
      </c>
      <c r="H63" s="669">
        <f t="shared" si="3"/>
        <v>0</v>
      </c>
      <c r="I63" s="55"/>
      <c r="J63" s="55"/>
      <c r="K63" s="566">
        <v>1</v>
      </c>
      <c r="L63" s="56">
        <f t="shared" si="4"/>
        <v>0</v>
      </c>
      <c r="N63" s="56">
        <f t="shared" si="1"/>
        <v>0</v>
      </c>
    </row>
    <row r="64" spans="1:14">
      <c r="A64" s="58">
        <v>311</v>
      </c>
      <c r="B64" s="59" t="s">
        <v>1413</v>
      </c>
      <c r="C64" s="59" t="s">
        <v>1411</v>
      </c>
      <c r="D64" s="57" t="s">
        <v>1095</v>
      </c>
      <c r="E64" s="517">
        <v>0</v>
      </c>
      <c r="F64" s="517">
        <v>0</v>
      </c>
      <c r="G64" s="669">
        <f t="shared" si="2"/>
        <v>0</v>
      </c>
      <c r="H64" s="669">
        <f t="shared" si="3"/>
        <v>0</v>
      </c>
      <c r="I64" s="55"/>
      <c r="J64" s="55"/>
      <c r="K64" s="566">
        <v>1</v>
      </c>
      <c r="L64" s="56">
        <f t="shared" si="4"/>
        <v>0</v>
      </c>
      <c r="N64" s="56">
        <f t="shared" si="1"/>
        <v>0</v>
      </c>
    </row>
    <row r="65" spans="1:21">
      <c r="A65" s="58">
        <v>312</v>
      </c>
      <c r="B65" s="59" t="s">
        <v>1429</v>
      </c>
      <c r="C65" s="59" t="s">
        <v>1411</v>
      </c>
      <c r="D65" s="57" t="s">
        <v>1095</v>
      </c>
      <c r="E65" s="517">
        <v>0</v>
      </c>
      <c r="F65" s="517">
        <v>0</v>
      </c>
      <c r="G65" s="669">
        <f t="shared" si="2"/>
        <v>0</v>
      </c>
      <c r="H65" s="669">
        <f t="shared" si="3"/>
        <v>0</v>
      </c>
      <c r="I65" s="55"/>
      <c r="J65" s="55"/>
      <c r="K65" s="566">
        <v>1</v>
      </c>
      <c r="L65" s="56">
        <f t="shared" si="4"/>
        <v>0</v>
      </c>
      <c r="N65" s="56">
        <f t="shared" si="1"/>
        <v>0</v>
      </c>
    </row>
    <row r="67" spans="1:21" s="61" customFormat="1">
      <c r="A67" s="520" t="s">
        <v>1316</v>
      </c>
      <c r="B67" s="521"/>
      <c r="C67" s="521"/>
      <c r="D67" s="522"/>
      <c r="E67" s="523"/>
      <c r="F67" s="523"/>
      <c r="G67" s="524"/>
      <c r="H67" s="524"/>
      <c r="I67" s="524"/>
      <c r="J67" s="524"/>
      <c r="K67" s="567"/>
      <c r="L67" s="525">
        <f>SUM(L19:L66)</f>
        <v>0</v>
      </c>
      <c r="P67" s="50"/>
      <c r="Q67" s="50"/>
      <c r="R67" s="50"/>
      <c r="S67" s="50"/>
      <c r="T67" s="50"/>
      <c r="U67" s="50"/>
    </row>
    <row r="68" spans="1:21">
      <c r="E68" s="62"/>
      <c r="F68" s="62"/>
      <c r="G68" s="62"/>
      <c r="H68" s="62"/>
      <c r="I68" s="62"/>
      <c r="J68" s="62"/>
      <c r="P68" s="62"/>
      <c r="Q68" s="62"/>
    </row>
    <row r="69" spans="1:21">
      <c r="P69" s="63"/>
      <c r="Q69" s="63"/>
      <c r="R69" s="64"/>
      <c r="S69" s="63"/>
    </row>
  </sheetData>
  <mergeCells count="5">
    <mergeCell ref="A15:B15"/>
    <mergeCell ref="A16:B16"/>
    <mergeCell ref="A12:B12"/>
    <mergeCell ref="A13:B13"/>
    <mergeCell ref="A14:B14"/>
  </mergeCells>
  <pageMargins left="0.7" right="0.7" top="0.75" bottom="0.75" header="0.3" footer="0.3"/>
  <pageSetup paperSize="9" scale="4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 tint="-0.14999847407452621"/>
  </sheetPr>
  <dimension ref="A1:F42"/>
  <sheetViews>
    <sheetView showGridLines="0" zoomScaleNormal="100" workbookViewId="0">
      <pane ySplit="9" topLeftCell="A10" activePane="bottomLeft" state="frozen"/>
      <selection pane="bottomLeft" activeCell="D33" sqref="D33"/>
    </sheetView>
  </sheetViews>
  <sheetFormatPr defaultColWidth="11.42578125" defaultRowHeight="13.5"/>
  <cols>
    <col min="1" max="1" width="41.7109375" style="32" customWidth="1"/>
    <col min="2" max="2" width="26.42578125" style="32" customWidth="1"/>
    <col min="3" max="3" width="20.140625" style="32" bestFit="1" customWidth="1"/>
    <col min="4" max="4" width="20.42578125" style="32" customWidth="1"/>
    <col min="5" max="6" width="17.5703125" style="32" customWidth="1"/>
    <col min="7" max="16384" width="11.42578125" style="32"/>
  </cols>
  <sheetData>
    <row r="1" spans="1:6" ht="14.25">
      <c r="A1" s="382" t="s">
        <v>2</v>
      </c>
    </row>
    <row r="3" spans="1:6" ht="17.25">
      <c r="A3" s="369" t="s">
        <v>3</v>
      </c>
      <c r="B3" s="494" t="str">
        <f>'1-Inschrijfstaat'!B3</f>
        <v>GVB Infra B.V.</v>
      </c>
    </row>
    <row r="4" spans="1:6" ht="17.25">
      <c r="A4" s="369" t="s">
        <v>1098</v>
      </c>
      <c r="B4" s="494" t="str">
        <f ca="1">MID(CELL("bestandsnaam",$C$8),SEARCH("]",CELL("bestandsnaam",$C$8),1)+1,256)</f>
        <v>13a- Afroepprijs</v>
      </c>
    </row>
    <row r="5" spans="1:6" ht="17.25">
      <c r="A5" s="359" t="str">
        <f>'11-Machinekosten'!A5</f>
        <v>Gebouw/plaats</v>
      </c>
      <c r="B5" s="494" t="str">
        <f>'11-Machinekosten'!B5</f>
        <v>Diverse</v>
      </c>
      <c r="C5" s="102"/>
      <c r="D5" s="102"/>
    </row>
    <row r="6" spans="1:6" ht="17.25">
      <c r="A6" s="359" t="str">
        <f>'11-Machinekosten'!A6</f>
        <v>Besteknummer</v>
      </c>
      <c r="B6" s="494" t="str">
        <f>'1-Inschrijfstaat'!B6</f>
        <v>2021-03</v>
      </c>
      <c r="C6" s="103"/>
      <c r="D6" s="104"/>
    </row>
    <row r="7" spans="1:6" ht="17.25">
      <c r="A7" s="359" t="str">
        <f>'11-Machinekosten'!A7</f>
        <v>Naam leverancier</v>
      </c>
      <c r="B7" s="494" t="str">
        <f>'1-Inschrijfstaat'!B7:D7</f>
        <v>Naam dienstverlener</v>
      </c>
      <c r="C7" s="103"/>
      <c r="D7" s="104"/>
    </row>
    <row r="8" spans="1:6" ht="15.75">
      <c r="A8" s="359" t="str">
        <f>'11-Machinekosten'!A8</f>
        <v>Prijspeil</v>
      </c>
      <c r="B8" s="15" t="str">
        <f>'1-Inschrijfstaat'!B8</f>
        <v>1 juni 2021</v>
      </c>
      <c r="C8" s="103"/>
      <c r="D8" s="104"/>
    </row>
    <row r="9" spans="1:6" ht="15.75">
      <c r="A9" s="359" t="str">
        <f>'11-Machinekosten'!A9</f>
        <v>Perceel</v>
      </c>
      <c r="B9" s="68" t="str">
        <f>'1-Inschrijfstaat'!B9</f>
        <v>2 Technische schoonmaak</v>
      </c>
      <c r="C9" s="103"/>
      <c r="D9" s="104"/>
    </row>
    <row r="10" spans="1:6">
      <c r="A10" s="105"/>
      <c r="B10" s="106"/>
      <c r="C10" s="106"/>
      <c r="D10" s="106"/>
    </row>
    <row r="11" spans="1:6" ht="34.15" customHeight="1">
      <c r="A11" s="697" t="s">
        <v>1169</v>
      </c>
      <c r="B11" s="698"/>
      <c r="C11" s="698"/>
      <c r="D11" s="698"/>
    </row>
    <row r="13" spans="1:6">
      <c r="A13" s="107"/>
      <c r="B13" s="108"/>
      <c r="C13" s="695" t="s">
        <v>1114</v>
      </c>
      <c r="D13" s="696"/>
    </row>
    <row r="14" spans="1:6">
      <c r="A14" s="496" t="s">
        <v>1115</v>
      </c>
      <c r="B14" s="496" t="s">
        <v>1116</v>
      </c>
      <c r="C14" s="497" t="s">
        <v>1084</v>
      </c>
      <c r="D14" s="498" t="s">
        <v>1085</v>
      </c>
    </row>
    <row r="15" spans="1:6" ht="14.25">
      <c r="A15" s="26" t="s">
        <v>1117</v>
      </c>
      <c r="B15" s="26" t="s">
        <v>1118</v>
      </c>
      <c r="C15" s="495">
        <v>0</v>
      </c>
      <c r="D15" s="495">
        <v>0</v>
      </c>
      <c r="E15" s="548"/>
      <c r="F15" s="548"/>
    </row>
    <row r="16" spans="1:6" ht="14.25">
      <c r="A16" s="26" t="s">
        <v>1119</v>
      </c>
      <c r="B16" s="26" t="s">
        <v>1120</v>
      </c>
      <c r="C16" s="495">
        <v>0</v>
      </c>
      <c r="D16" s="495">
        <v>0</v>
      </c>
      <c r="E16" s="548"/>
      <c r="F16" s="548"/>
    </row>
    <row r="17" spans="1:6" ht="14.25">
      <c r="A17" s="109" t="s">
        <v>1121</v>
      </c>
      <c r="B17" s="26"/>
      <c r="C17" s="495">
        <v>0</v>
      </c>
      <c r="D17" s="495">
        <v>0</v>
      </c>
      <c r="E17" s="548"/>
      <c r="F17" s="548"/>
    </row>
    <row r="18" spans="1:6" ht="14.25">
      <c r="A18" s="109" t="s">
        <v>1122</v>
      </c>
      <c r="B18" s="26"/>
      <c r="C18" s="495">
        <v>0</v>
      </c>
      <c r="D18" s="495">
        <v>0</v>
      </c>
      <c r="E18" s="548"/>
      <c r="F18" s="548"/>
    </row>
    <row r="19" spans="1:6">
      <c r="A19" s="110"/>
      <c r="B19" s="111"/>
      <c r="C19" s="111"/>
      <c r="D19" s="112"/>
    </row>
    <row r="20" spans="1:6">
      <c r="A20" s="496" t="s">
        <v>2077</v>
      </c>
      <c r="B20" s="496" t="s">
        <v>2078</v>
      </c>
      <c r="C20" s="368" t="s">
        <v>2061</v>
      </c>
      <c r="D20" s="499" t="s">
        <v>1397</v>
      </c>
    </row>
    <row r="21" spans="1:6" ht="14.25">
      <c r="A21" s="26" t="s">
        <v>1398</v>
      </c>
      <c r="B21" s="609" t="s">
        <v>2070</v>
      </c>
      <c r="C21" s="609" t="s">
        <v>2063</v>
      </c>
      <c r="D21" s="495">
        <v>0</v>
      </c>
      <c r="E21" s="548"/>
    </row>
    <row r="22" spans="1:6" ht="14.25">
      <c r="A22" s="26" t="s">
        <v>1398</v>
      </c>
      <c r="B22" s="609" t="s">
        <v>2071</v>
      </c>
      <c r="C22" s="609" t="s">
        <v>2063</v>
      </c>
      <c r="D22" s="495">
        <v>0</v>
      </c>
      <c r="E22" s="548"/>
    </row>
    <row r="23" spans="1:6" ht="14.25">
      <c r="A23" s="26" t="s">
        <v>1398</v>
      </c>
      <c r="B23" s="609" t="s">
        <v>2072</v>
      </c>
      <c r="C23" s="609" t="s">
        <v>2073</v>
      </c>
      <c r="D23" s="495">
        <v>0</v>
      </c>
      <c r="E23" s="548"/>
    </row>
    <row r="24" spans="1:6" ht="14.25">
      <c r="A24" s="26" t="s">
        <v>1398</v>
      </c>
      <c r="B24" s="609" t="s">
        <v>2074</v>
      </c>
      <c r="C24" s="609" t="s">
        <v>2075</v>
      </c>
      <c r="D24" s="495">
        <v>0</v>
      </c>
      <c r="E24" s="548"/>
    </row>
    <row r="25" spans="1:6" ht="14.25">
      <c r="A25" s="26" t="s">
        <v>1398</v>
      </c>
      <c r="B25" s="609" t="s">
        <v>2076</v>
      </c>
      <c r="C25" s="609" t="s">
        <v>2075</v>
      </c>
      <c r="D25" s="495">
        <v>0</v>
      </c>
      <c r="E25" s="548"/>
    </row>
    <row r="26" spans="1:6" ht="14.25">
      <c r="A26" s="26" t="s">
        <v>1399</v>
      </c>
      <c r="B26" s="609" t="s">
        <v>2070</v>
      </c>
      <c r="C26" s="609" t="s">
        <v>2063</v>
      </c>
      <c r="D26" s="495">
        <v>0</v>
      </c>
      <c r="E26" s="548"/>
    </row>
    <row r="27" spans="1:6" ht="14.25">
      <c r="A27" s="26" t="s">
        <v>1399</v>
      </c>
      <c r="B27" s="609" t="s">
        <v>2071</v>
      </c>
      <c r="C27" s="609" t="s">
        <v>2063</v>
      </c>
      <c r="D27" s="495">
        <v>0</v>
      </c>
      <c r="E27" s="548"/>
    </row>
    <row r="28" spans="1:6" ht="14.25">
      <c r="A28" s="26" t="s">
        <v>1399</v>
      </c>
      <c r="B28" s="609" t="s">
        <v>2072</v>
      </c>
      <c r="C28" s="609" t="s">
        <v>2073</v>
      </c>
      <c r="D28" s="495">
        <v>0</v>
      </c>
      <c r="E28" s="548"/>
    </row>
    <row r="29" spans="1:6" ht="14.25">
      <c r="A29" s="26" t="s">
        <v>1399</v>
      </c>
      <c r="B29" s="609" t="s">
        <v>2074</v>
      </c>
      <c r="C29" s="609" t="s">
        <v>2075</v>
      </c>
      <c r="D29" s="495">
        <v>0</v>
      </c>
      <c r="E29" s="548"/>
    </row>
    <row r="30" spans="1:6" ht="14.25">
      <c r="A30" s="26" t="s">
        <v>1399</v>
      </c>
      <c r="B30" s="609" t="s">
        <v>2076</v>
      </c>
      <c r="C30" s="609" t="s">
        <v>2075</v>
      </c>
      <c r="D30" s="495">
        <v>0</v>
      </c>
      <c r="E30" s="548"/>
    </row>
    <row r="31" spans="1:6" ht="14.25">
      <c r="A31" s="26" t="s">
        <v>1400</v>
      </c>
      <c r="B31" s="609" t="s">
        <v>2070</v>
      </c>
      <c r="C31" s="609" t="s">
        <v>2063</v>
      </c>
      <c r="D31" s="495">
        <v>0</v>
      </c>
      <c r="E31" s="548"/>
    </row>
    <row r="32" spans="1:6" ht="14.25">
      <c r="A32" s="26" t="s">
        <v>1400</v>
      </c>
      <c r="B32" s="609" t="s">
        <v>2071</v>
      </c>
      <c r="C32" s="609" t="s">
        <v>2063</v>
      </c>
      <c r="D32" s="495">
        <v>0</v>
      </c>
      <c r="E32" s="548"/>
    </row>
    <row r="33" spans="1:5" ht="14.25">
      <c r="A33" s="26" t="s">
        <v>1400</v>
      </c>
      <c r="B33" s="609" t="s">
        <v>2072</v>
      </c>
      <c r="C33" s="609" t="s">
        <v>2073</v>
      </c>
      <c r="D33" s="495">
        <v>0</v>
      </c>
      <c r="E33" s="548"/>
    </row>
    <row r="34" spans="1:5" ht="14.25">
      <c r="A34" s="26" t="s">
        <v>1400</v>
      </c>
      <c r="B34" s="609" t="s">
        <v>2074</v>
      </c>
      <c r="C34" s="609" t="s">
        <v>2075</v>
      </c>
      <c r="D34" s="495">
        <v>0</v>
      </c>
      <c r="E34" s="548"/>
    </row>
    <row r="35" spans="1:5" ht="14.25">
      <c r="A35" s="26" t="s">
        <v>1400</v>
      </c>
      <c r="B35" s="609" t="s">
        <v>2076</v>
      </c>
      <c r="C35" s="609" t="s">
        <v>2075</v>
      </c>
      <c r="D35" s="495">
        <v>0</v>
      </c>
      <c r="E35" s="548"/>
    </row>
    <row r="36" spans="1:5">
      <c r="A36" s="110"/>
      <c r="B36" s="111"/>
      <c r="C36" s="111"/>
      <c r="D36" s="112"/>
    </row>
    <row r="37" spans="1:5" ht="15">
      <c r="A37" s="500" t="s">
        <v>1123</v>
      </c>
      <c r="B37" s="113"/>
      <c r="C37" s="113"/>
      <c r="D37" s="114"/>
    </row>
    <row r="38" spans="1:5" ht="14.25">
      <c r="A38" s="114" t="s">
        <v>1124</v>
      </c>
      <c r="B38" s="113"/>
      <c r="C38" s="113"/>
      <c r="D38" s="114"/>
    </row>
    <row r="39" spans="1:5" ht="14.25">
      <c r="A39" s="114" t="s">
        <v>1125</v>
      </c>
      <c r="B39" s="113"/>
      <c r="C39" s="113"/>
      <c r="D39" s="114"/>
    </row>
    <row r="40" spans="1:5" ht="14.25">
      <c r="A40" s="114"/>
      <c r="B40" s="113"/>
      <c r="C40" s="113"/>
      <c r="D40" s="114"/>
    </row>
    <row r="41" spans="1:5" ht="14.25">
      <c r="B41" s="115"/>
      <c r="C41" s="116"/>
      <c r="D41" s="117"/>
    </row>
    <row r="42" spans="1:5" ht="14.25">
      <c r="A42" s="115"/>
      <c r="B42" s="115"/>
      <c r="C42" s="115"/>
      <c r="D42" s="115"/>
    </row>
  </sheetData>
  <mergeCells count="2">
    <mergeCell ref="C13:D13"/>
    <mergeCell ref="A11:D11"/>
  </mergeCells>
  <pageMargins left="0.7" right="0.7" top="0.75" bottom="0.75" header="0.3" footer="0.3"/>
  <pageSetup paperSize="9" scale="6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 tint="-0.14999847407452621"/>
  </sheetPr>
  <dimension ref="A1:HJ52"/>
  <sheetViews>
    <sheetView showGridLines="0" zoomScaleNormal="100" workbookViewId="0">
      <pane ySplit="10" topLeftCell="A11" activePane="bottomLeft" state="frozen"/>
      <selection pane="bottomLeft" activeCell="A45" sqref="A45"/>
    </sheetView>
  </sheetViews>
  <sheetFormatPr defaultColWidth="7" defaultRowHeight="13.5"/>
  <cols>
    <col min="1" max="1" width="29.85546875" style="66" customWidth="1"/>
    <col min="2" max="2" width="47" style="65" customWidth="1"/>
    <col min="3" max="3" width="10.140625" style="65" customWidth="1"/>
    <col min="4" max="4" width="9.28515625" style="65" customWidth="1"/>
    <col min="5" max="5" width="15.28515625" style="65" customWidth="1"/>
    <col min="6" max="7" width="12.140625" style="65" customWidth="1"/>
    <col min="8" max="8" width="14" style="65" customWidth="1"/>
    <col min="9" max="9" width="7.140625" style="65" bestFit="1" customWidth="1"/>
    <col min="10" max="10" width="28.5703125" style="65" customWidth="1"/>
    <col min="11" max="11" width="4.42578125" style="65" customWidth="1"/>
    <col min="12" max="12" width="10" style="66" customWidth="1"/>
    <col min="13" max="253" width="7" style="65"/>
    <col min="254" max="254" width="3.5703125" style="65" customWidth="1"/>
    <col min="255" max="255" width="24.140625" style="65" customWidth="1"/>
    <col min="256" max="256" width="54.7109375" style="65" customWidth="1"/>
    <col min="257" max="257" width="18.28515625" style="65" customWidth="1"/>
    <col min="258" max="258" width="7" style="65" customWidth="1"/>
    <col min="259" max="259" width="9.85546875" style="65" bestFit="1" customWidth="1"/>
    <col min="260" max="260" width="15.5703125" style="65" customWidth="1"/>
    <col min="261" max="261" width="11.140625" style="65" bestFit="1" customWidth="1"/>
    <col min="262" max="262" width="14" style="65" customWidth="1"/>
    <col min="263" max="263" width="12" style="65" customWidth="1"/>
    <col min="264" max="264" width="11.85546875" style="65" bestFit="1" customWidth="1"/>
    <col min="265" max="265" width="7" style="65"/>
    <col min="266" max="266" width="28.5703125" style="65" customWidth="1"/>
    <col min="267" max="267" width="4.42578125" style="65" customWidth="1"/>
    <col min="268" max="268" width="10" style="65" customWidth="1"/>
    <col min="269" max="509" width="7" style="65"/>
    <col min="510" max="510" width="3.5703125" style="65" customWidth="1"/>
    <col min="511" max="511" width="24.140625" style="65" customWidth="1"/>
    <col min="512" max="512" width="54.7109375" style="65" customWidth="1"/>
    <col min="513" max="513" width="18.28515625" style="65" customWidth="1"/>
    <col min="514" max="514" width="7" style="65" customWidth="1"/>
    <col min="515" max="515" width="9.85546875" style="65" bestFit="1" customWidth="1"/>
    <col min="516" max="516" width="15.5703125" style="65" customWidth="1"/>
    <col min="517" max="517" width="11.140625" style="65" bestFit="1" customWidth="1"/>
    <col min="518" max="518" width="14" style="65" customWidth="1"/>
    <col min="519" max="519" width="12" style="65" customWidth="1"/>
    <col min="520" max="520" width="11.85546875" style="65" bestFit="1" customWidth="1"/>
    <col min="521" max="521" width="7" style="65"/>
    <col min="522" max="522" width="28.5703125" style="65" customWidth="1"/>
    <col min="523" max="523" width="4.42578125" style="65" customWidth="1"/>
    <col min="524" max="524" width="10" style="65" customWidth="1"/>
    <col min="525" max="765" width="7" style="65"/>
    <col min="766" max="766" width="3.5703125" style="65" customWidth="1"/>
    <col min="767" max="767" width="24.140625" style="65" customWidth="1"/>
    <col min="768" max="768" width="54.7109375" style="65" customWidth="1"/>
    <col min="769" max="769" width="18.28515625" style="65" customWidth="1"/>
    <col min="770" max="770" width="7" style="65" customWidth="1"/>
    <col min="771" max="771" width="9.85546875" style="65" bestFit="1" customWidth="1"/>
    <col min="772" max="772" width="15.5703125" style="65" customWidth="1"/>
    <col min="773" max="773" width="11.140625" style="65" bestFit="1" customWidth="1"/>
    <col min="774" max="774" width="14" style="65" customWidth="1"/>
    <col min="775" max="775" width="12" style="65" customWidth="1"/>
    <col min="776" max="776" width="11.85546875" style="65" bestFit="1" customWidth="1"/>
    <col min="777" max="777" width="7" style="65"/>
    <col min="778" max="778" width="28.5703125" style="65" customWidth="1"/>
    <col min="779" max="779" width="4.42578125" style="65" customWidth="1"/>
    <col min="780" max="780" width="10" style="65" customWidth="1"/>
    <col min="781" max="1021" width="7" style="65"/>
    <col min="1022" max="1022" width="3.5703125" style="65" customWidth="1"/>
    <col min="1023" max="1023" width="24.140625" style="65" customWidth="1"/>
    <col min="1024" max="1024" width="54.7109375" style="65" customWidth="1"/>
    <col min="1025" max="1025" width="18.28515625" style="65" customWidth="1"/>
    <col min="1026" max="1026" width="7" style="65" customWidth="1"/>
    <col min="1027" max="1027" width="9.85546875" style="65" bestFit="1" customWidth="1"/>
    <col min="1028" max="1028" width="15.5703125" style="65" customWidth="1"/>
    <col min="1029" max="1029" width="11.140625" style="65" bestFit="1" customWidth="1"/>
    <col min="1030" max="1030" width="14" style="65" customWidth="1"/>
    <col min="1031" max="1031" width="12" style="65" customWidth="1"/>
    <col min="1032" max="1032" width="11.85546875" style="65" bestFit="1" customWidth="1"/>
    <col min="1033" max="1033" width="7" style="65"/>
    <col min="1034" max="1034" width="28.5703125" style="65" customWidth="1"/>
    <col min="1035" max="1035" width="4.42578125" style="65" customWidth="1"/>
    <col min="1036" max="1036" width="10" style="65" customWidth="1"/>
    <col min="1037" max="1277" width="7" style="65"/>
    <col min="1278" max="1278" width="3.5703125" style="65" customWidth="1"/>
    <col min="1279" max="1279" width="24.140625" style="65" customWidth="1"/>
    <col min="1280" max="1280" width="54.7109375" style="65" customWidth="1"/>
    <col min="1281" max="1281" width="18.28515625" style="65" customWidth="1"/>
    <col min="1282" max="1282" width="7" style="65" customWidth="1"/>
    <col min="1283" max="1283" width="9.85546875" style="65" bestFit="1" customWidth="1"/>
    <col min="1284" max="1284" width="15.5703125" style="65" customWidth="1"/>
    <col min="1285" max="1285" width="11.140625" style="65" bestFit="1" customWidth="1"/>
    <col min="1286" max="1286" width="14" style="65" customWidth="1"/>
    <col min="1287" max="1287" width="12" style="65" customWidth="1"/>
    <col min="1288" max="1288" width="11.85546875" style="65" bestFit="1" customWidth="1"/>
    <col min="1289" max="1289" width="7" style="65"/>
    <col min="1290" max="1290" width="28.5703125" style="65" customWidth="1"/>
    <col min="1291" max="1291" width="4.42578125" style="65" customWidth="1"/>
    <col min="1292" max="1292" width="10" style="65" customWidth="1"/>
    <col min="1293" max="1533" width="7" style="65"/>
    <col min="1534" max="1534" width="3.5703125" style="65" customWidth="1"/>
    <col min="1535" max="1535" width="24.140625" style="65" customWidth="1"/>
    <col min="1536" max="1536" width="54.7109375" style="65" customWidth="1"/>
    <col min="1537" max="1537" width="18.28515625" style="65" customWidth="1"/>
    <col min="1538" max="1538" width="7" style="65" customWidth="1"/>
    <col min="1539" max="1539" width="9.85546875" style="65" bestFit="1" customWidth="1"/>
    <col min="1540" max="1540" width="15.5703125" style="65" customWidth="1"/>
    <col min="1541" max="1541" width="11.140625" style="65" bestFit="1" customWidth="1"/>
    <col min="1542" max="1542" width="14" style="65" customWidth="1"/>
    <col min="1543" max="1543" width="12" style="65" customWidth="1"/>
    <col min="1544" max="1544" width="11.85546875" style="65" bestFit="1" customWidth="1"/>
    <col min="1545" max="1545" width="7" style="65"/>
    <col min="1546" max="1546" width="28.5703125" style="65" customWidth="1"/>
    <col min="1547" max="1547" width="4.42578125" style="65" customWidth="1"/>
    <col min="1548" max="1548" width="10" style="65" customWidth="1"/>
    <col min="1549" max="1789" width="7" style="65"/>
    <col min="1790" max="1790" width="3.5703125" style="65" customWidth="1"/>
    <col min="1791" max="1791" width="24.140625" style="65" customWidth="1"/>
    <col min="1792" max="1792" width="54.7109375" style="65" customWidth="1"/>
    <col min="1793" max="1793" width="18.28515625" style="65" customWidth="1"/>
    <col min="1794" max="1794" width="7" style="65" customWidth="1"/>
    <col min="1795" max="1795" width="9.85546875" style="65" bestFit="1" customWidth="1"/>
    <col min="1796" max="1796" width="15.5703125" style="65" customWidth="1"/>
    <col min="1797" max="1797" width="11.140625" style="65" bestFit="1" customWidth="1"/>
    <col min="1798" max="1798" width="14" style="65" customWidth="1"/>
    <col min="1799" max="1799" width="12" style="65" customWidth="1"/>
    <col min="1800" max="1800" width="11.85546875" style="65" bestFit="1" customWidth="1"/>
    <col min="1801" max="1801" width="7" style="65"/>
    <col min="1802" max="1802" width="28.5703125" style="65" customWidth="1"/>
    <col min="1803" max="1803" width="4.42578125" style="65" customWidth="1"/>
    <col min="1804" max="1804" width="10" style="65" customWidth="1"/>
    <col min="1805" max="2045" width="7" style="65"/>
    <col min="2046" max="2046" width="3.5703125" style="65" customWidth="1"/>
    <col min="2047" max="2047" width="24.140625" style="65" customWidth="1"/>
    <col min="2048" max="2048" width="54.7109375" style="65" customWidth="1"/>
    <col min="2049" max="2049" width="18.28515625" style="65" customWidth="1"/>
    <col min="2050" max="2050" width="7" style="65" customWidth="1"/>
    <col min="2051" max="2051" width="9.85546875" style="65" bestFit="1" customWidth="1"/>
    <col min="2052" max="2052" width="15.5703125" style="65" customWidth="1"/>
    <col min="2053" max="2053" width="11.140625" style="65" bestFit="1" customWidth="1"/>
    <col min="2054" max="2054" width="14" style="65" customWidth="1"/>
    <col min="2055" max="2055" width="12" style="65" customWidth="1"/>
    <col min="2056" max="2056" width="11.85546875" style="65" bestFit="1" customWidth="1"/>
    <col min="2057" max="2057" width="7" style="65"/>
    <col min="2058" max="2058" width="28.5703125" style="65" customWidth="1"/>
    <col min="2059" max="2059" width="4.42578125" style="65" customWidth="1"/>
    <col min="2060" max="2060" width="10" style="65" customWidth="1"/>
    <col min="2061" max="2301" width="7" style="65"/>
    <col min="2302" max="2302" width="3.5703125" style="65" customWidth="1"/>
    <col min="2303" max="2303" width="24.140625" style="65" customWidth="1"/>
    <col min="2304" max="2304" width="54.7109375" style="65" customWidth="1"/>
    <col min="2305" max="2305" width="18.28515625" style="65" customWidth="1"/>
    <col min="2306" max="2306" width="7" style="65" customWidth="1"/>
    <col min="2307" max="2307" width="9.85546875" style="65" bestFit="1" customWidth="1"/>
    <col min="2308" max="2308" width="15.5703125" style="65" customWidth="1"/>
    <col min="2309" max="2309" width="11.140625" style="65" bestFit="1" customWidth="1"/>
    <col min="2310" max="2310" width="14" style="65" customWidth="1"/>
    <col min="2311" max="2311" width="12" style="65" customWidth="1"/>
    <col min="2312" max="2312" width="11.85546875" style="65" bestFit="1" customWidth="1"/>
    <col min="2313" max="2313" width="7" style="65"/>
    <col min="2314" max="2314" width="28.5703125" style="65" customWidth="1"/>
    <col min="2315" max="2315" width="4.42578125" style="65" customWidth="1"/>
    <col min="2316" max="2316" width="10" style="65" customWidth="1"/>
    <col min="2317" max="2557" width="7" style="65"/>
    <col min="2558" max="2558" width="3.5703125" style="65" customWidth="1"/>
    <col min="2559" max="2559" width="24.140625" style="65" customWidth="1"/>
    <col min="2560" max="2560" width="54.7109375" style="65" customWidth="1"/>
    <col min="2561" max="2561" width="18.28515625" style="65" customWidth="1"/>
    <col min="2562" max="2562" width="7" style="65" customWidth="1"/>
    <col min="2563" max="2563" width="9.85546875" style="65" bestFit="1" customWidth="1"/>
    <col min="2564" max="2564" width="15.5703125" style="65" customWidth="1"/>
    <col min="2565" max="2565" width="11.140625" style="65" bestFit="1" customWidth="1"/>
    <col min="2566" max="2566" width="14" style="65" customWidth="1"/>
    <col min="2567" max="2567" width="12" style="65" customWidth="1"/>
    <col min="2568" max="2568" width="11.85546875" style="65" bestFit="1" customWidth="1"/>
    <col min="2569" max="2569" width="7" style="65"/>
    <col min="2570" max="2570" width="28.5703125" style="65" customWidth="1"/>
    <col min="2571" max="2571" width="4.42578125" style="65" customWidth="1"/>
    <col min="2572" max="2572" width="10" style="65" customWidth="1"/>
    <col min="2573" max="2813" width="7" style="65"/>
    <col min="2814" max="2814" width="3.5703125" style="65" customWidth="1"/>
    <col min="2815" max="2815" width="24.140625" style="65" customWidth="1"/>
    <col min="2816" max="2816" width="54.7109375" style="65" customWidth="1"/>
    <col min="2817" max="2817" width="18.28515625" style="65" customWidth="1"/>
    <col min="2818" max="2818" width="7" style="65" customWidth="1"/>
    <col min="2819" max="2819" width="9.85546875" style="65" bestFit="1" customWidth="1"/>
    <col min="2820" max="2820" width="15.5703125" style="65" customWidth="1"/>
    <col min="2821" max="2821" width="11.140625" style="65" bestFit="1" customWidth="1"/>
    <col min="2822" max="2822" width="14" style="65" customWidth="1"/>
    <col min="2823" max="2823" width="12" style="65" customWidth="1"/>
    <col min="2824" max="2824" width="11.85546875" style="65" bestFit="1" customWidth="1"/>
    <col min="2825" max="2825" width="7" style="65"/>
    <col min="2826" max="2826" width="28.5703125" style="65" customWidth="1"/>
    <col min="2827" max="2827" width="4.42578125" style="65" customWidth="1"/>
    <col min="2828" max="2828" width="10" style="65" customWidth="1"/>
    <col min="2829" max="3069" width="7" style="65"/>
    <col min="3070" max="3070" width="3.5703125" style="65" customWidth="1"/>
    <col min="3071" max="3071" width="24.140625" style="65" customWidth="1"/>
    <col min="3072" max="3072" width="54.7109375" style="65" customWidth="1"/>
    <col min="3073" max="3073" width="18.28515625" style="65" customWidth="1"/>
    <col min="3074" max="3074" width="7" style="65" customWidth="1"/>
    <col min="3075" max="3075" width="9.85546875" style="65" bestFit="1" customWidth="1"/>
    <col min="3076" max="3076" width="15.5703125" style="65" customWidth="1"/>
    <col min="3077" max="3077" width="11.140625" style="65" bestFit="1" customWidth="1"/>
    <col min="3078" max="3078" width="14" style="65" customWidth="1"/>
    <col min="3079" max="3079" width="12" style="65" customWidth="1"/>
    <col min="3080" max="3080" width="11.85546875" style="65" bestFit="1" customWidth="1"/>
    <col min="3081" max="3081" width="7" style="65"/>
    <col min="3082" max="3082" width="28.5703125" style="65" customWidth="1"/>
    <col min="3083" max="3083" width="4.42578125" style="65" customWidth="1"/>
    <col min="3084" max="3084" width="10" style="65" customWidth="1"/>
    <col min="3085" max="3325" width="7" style="65"/>
    <col min="3326" max="3326" width="3.5703125" style="65" customWidth="1"/>
    <col min="3327" max="3327" width="24.140625" style="65" customWidth="1"/>
    <col min="3328" max="3328" width="54.7109375" style="65" customWidth="1"/>
    <col min="3329" max="3329" width="18.28515625" style="65" customWidth="1"/>
    <col min="3330" max="3330" width="7" style="65" customWidth="1"/>
    <col min="3331" max="3331" width="9.85546875" style="65" bestFit="1" customWidth="1"/>
    <col min="3332" max="3332" width="15.5703125" style="65" customWidth="1"/>
    <col min="3333" max="3333" width="11.140625" style="65" bestFit="1" customWidth="1"/>
    <col min="3334" max="3334" width="14" style="65" customWidth="1"/>
    <col min="3335" max="3335" width="12" style="65" customWidth="1"/>
    <col min="3336" max="3336" width="11.85546875" style="65" bestFit="1" customWidth="1"/>
    <col min="3337" max="3337" width="7" style="65"/>
    <col min="3338" max="3338" width="28.5703125" style="65" customWidth="1"/>
    <col min="3339" max="3339" width="4.42578125" style="65" customWidth="1"/>
    <col min="3340" max="3340" width="10" style="65" customWidth="1"/>
    <col min="3341" max="3581" width="7" style="65"/>
    <col min="3582" max="3582" width="3.5703125" style="65" customWidth="1"/>
    <col min="3583" max="3583" width="24.140625" style="65" customWidth="1"/>
    <col min="3584" max="3584" width="54.7109375" style="65" customWidth="1"/>
    <col min="3585" max="3585" width="18.28515625" style="65" customWidth="1"/>
    <col min="3586" max="3586" width="7" style="65" customWidth="1"/>
    <col min="3587" max="3587" width="9.85546875" style="65" bestFit="1" customWidth="1"/>
    <col min="3588" max="3588" width="15.5703125" style="65" customWidth="1"/>
    <col min="3589" max="3589" width="11.140625" style="65" bestFit="1" customWidth="1"/>
    <col min="3590" max="3590" width="14" style="65" customWidth="1"/>
    <col min="3591" max="3591" width="12" style="65" customWidth="1"/>
    <col min="3592" max="3592" width="11.85546875" style="65" bestFit="1" customWidth="1"/>
    <col min="3593" max="3593" width="7" style="65"/>
    <col min="3594" max="3594" width="28.5703125" style="65" customWidth="1"/>
    <col min="3595" max="3595" width="4.42578125" style="65" customWidth="1"/>
    <col min="3596" max="3596" width="10" style="65" customWidth="1"/>
    <col min="3597" max="3837" width="7" style="65"/>
    <col min="3838" max="3838" width="3.5703125" style="65" customWidth="1"/>
    <col min="3839" max="3839" width="24.140625" style="65" customWidth="1"/>
    <col min="3840" max="3840" width="54.7109375" style="65" customWidth="1"/>
    <col min="3841" max="3841" width="18.28515625" style="65" customWidth="1"/>
    <col min="3842" max="3842" width="7" style="65" customWidth="1"/>
    <col min="3843" max="3843" width="9.85546875" style="65" bestFit="1" customWidth="1"/>
    <col min="3844" max="3844" width="15.5703125" style="65" customWidth="1"/>
    <col min="3845" max="3845" width="11.140625" style="65" bestFit="1" customWidth="1"/>
    <col min="3846" max="3846" width="14" style="65" customWidth="1"/>
    <col min="3847" max="3847" width="12" style="65" customWidth="1"/>
    <col min="3848" max="3848" width="11.85546875" style="65" bestFit="1" customWidth="1"/>
    <col min="3849" max="3849" width="7" style="65"/>
    <col min="3850" max="3850" width="28.5703125" style="65" customWidth="1"/>
    <col min="3851" max="3851" width="4.42578125" style="65" customWidth="1"/>
    <col min="3852" max="3852" width="10" style="65" customWidth="1"/>
    <col min="3853" max="4093" width="7" style="65"/>
    <col min="4094" max="4094" width="3.5703125" style="65" customWidth="1"/>
    <col min="4095" max="4095" width="24.140625" style="65" customWidth="1"/>
    <col min="4096" max="4096" width="54.7109375" style="65" customWidth="1"/>
    <col min="4097" max="4097" width="18.28515625" style="65" customWidth="1"/>
    <col min="4098" max="4098" width="7" style="65" customWidth="1"/>
    <col min="4099" max="4099" width="9.85546875" style="65" bestFit="1" customWidth="1"/>
    <col min="4100" max="4100" width="15.5703125" style="65" customWidth="1"/>
    <col min="4101" max="4101" width="11.140625" style="65" bestFit="1" customWidth="1"/>
    <col min="4102" max="4102" width="14" style="65" customWidth="1"/>
    <col min="4103" max="4103" width="12" style="65" customWidth="1"/>
    <col min="4104" max="4104" width="11.85546875" style="65" bestFit="1" customWidth="1"/>
    <col min="4105" max="4105" width="7" style="65"/>
    <col min="4106" max="4106" width="28.5703125" style="65" customWidth="1"/>
    <col min="4107" max="4107" width="4.42578125" style="65" customWidth="1"/>
    <col min="4108" max="4108" width="10" style="65" customWidth="1"/>
    <col min="4109" max="4349" width="7" style="65"/>
    <col min="4350" max="4350" width="3.5703125" style="65" customWidth="1"/>
    <col min="4351" max="4351" width="24.140625" style="65" customWidth="1"/>
    <col min="4352" max="4352" width="54.7109375" style="65" customWidth="1"/>
    <col min="4353" max="4353" width="18.28515625" style="65" customWidth="1"/>
    <col min="4354" max="4354" width="7" style="65" customWidth="1"/>
    <col min="4355" max="4355" width="9.85546875" style="65" bestFit="1" customWidth="1"/>
    <col min="4356" max="4356" width="15.5703125" style="65" customWidth="1"/>
    <col min="4357" max="4357" width="11.140625" style="65" bestFit="1" customWidth="1"/>
    <col min="4358" max="4358" width="14" style="65" customWidth="1"/>
    <col min="4359" max="4359" width="12" style="65" customWidth="1"/>
    <col min="4360" max="4360" width="11.85546875" style="65" bestFit="1" customWidth="1"/>
    <col min="4361" max="4361" width="7" style="65"/>
    <col min="4362" max="4362" width="28.5703125" style="65" customWidth="1"/>
    <col min="4363" max="4363" width="4.42578125" style="65" customWidth="1"/>
    <col min="4364" max="4364" width="10" style="65" customWidth="1"/>
    <col min="4365" max="4605" width="7" style="65"/>
    <col min="4606" max="4606" width="3.5703125" style="65" customWidth="1"/>
    <col min="4607" max="4607" width="24.140625" style="65" customWidth="1"/>
    <col min="4608" max="4608" width="54.7109375" style="65" customWidth="1"/>
    <col min="4609" max="4609" width="18.28515625" style="65" customWidth="1"/>
    <col min="4610" max="4610" width="7" style="65" customWidth="1"/>
    <col min="4611" max="4611" width="9.85546875" style="65" bestFit="1" customWidth="1"/>
    <col min="4612" max="4612" width="15.5703125" style="65" customWidth="1"/>
    <col min="4613" max="4613" width="11.140625" style="65" bestFit="1" customWidth="1"/>
    <col min="4614" max="4614" width="14" style="65" customWidth="1"/>
    <col min="4615" max="4615" width="12" style="65" customWidth="1"/>
    <col min="4616" max="4616" width="11.85546875" style="65" bestFit="1" customWidth="1"/>
    <col min="4617" max="4617" width="7" style="65"/>
    <col min="4618" max="4618" width="28.5703125" style="65" customWidth="1"/>
    <col min="4619" max="4619" width="4.42578125" style="65" customWidth="1"/>
    <col min="4620" max="4620" width="10" style="65" customWidth="1"/>
    <col min="4621" max="4861" width="7" style="65"/>
    <col min="4862" max="4862" width="3.5703125" style="65" customWidth="1"/>
    <col min="4863" max="4863" width="24.140625" style="65" customWidth="1"/>
    <col min="4864" max="4864" width="54.7109375" style="65" customWidth="1"/>
    <col min="4865" max="4865" width="18.28515625" style="65" customWidth="1"/>
    <col min="4866" max="4866" width="7" style="65" customWidth="1"/>
    <col min="4867" max="4867" width="9.85546875" style="65" bestFit="1" customWidth="1"/>
    <col min="4868" max="4868" width="15.5703125" style="65" customWidth="1"/>
    <col min="4869" max="4869" width="11.140625" style="65" bestFit="1" customWidth="1"/>
    <col min="4870" max="4870" width="14" style="65" customWidth="1"/>
    <col min="4871" max="4871" width="12" style="65" customWidth="1"/>
    <col min="4872" max="4872" width="11.85546875" style="65" bestFit="1" customWidth="1"/>
    <col min="4873" max="4873" width="7" style="65"/>
    <col min="4874" max="4874" width="28.5703125" style="65" customWidth="1"/>
    <col min="4875" max="4875" width="4.42578125" style="65" customWidth="1"/>
    <col min="4876" max="4876" width="10" style="65" customWidth="1"/>
    <col min="4877" max="5117" width="7" style="65"/>
    <col min="5118" max="5118" width="3.5703125" style="65" customWidth="1"/>
    <col min="5119" max="5119" width="24.140625" style="65" customWidth="1"/>
    <col min="5120" max="5120" width="54.7109375" style="65" customWidth="1"/>
    <col min="5121" max="5121" width="18.28515625" style="65" customWidth="1"/>
    <col min="5122" max="5122" width="7" style="65" customWidth="1"/>
    <col min="5123" max="5123" width="9.85546875" style="65" bestFit="1" customWidth="1"/>
    <col min="5124" max="5124" width="15.5703125" style="65" customWidth="1"/>
    <col min="5125" max="5125" width="11.140625" style="65" bestFit="1" customWidth="1"/>
    <col min="5126" max="5126" width="14" style="65" customWidth="1"/>
    <col min="5127" max="5127" width="12" style="65" customWidth="1"/>
    <col min="5128" max="5128" width="11.85546875" style="65" bestFit="1" customWidth="1"/>
    <col min="5129" max="5129" width="7" style="65"/>
    <col min="5130" max="5130" width="28.5703125" style="65" customWidth="1"/>
    <col min="5131" max="5131" width="4.42578125" style="65" customWidth="1"/>
    <col min="5132" max="5132" width="10" style="65" customWidth="1"/>
    <col min="5133" max="5373" width="7" style="65"/>
    <col min="5374" max="5374" width="3.5703125" style="65" customWidth="1"/>
    <col min="5375" max="5375" width="24.140625" style="65" customWidth="1"/>
    <col min="5376" max="5376" width="54.7109375" style="65" customWidth="1"/>
    <col min="5377" max="5377" width="18.28515625" style="65" customWidth="1"/>
    <col min="5378" max="5378" width="7" style="65" customWidth="1"/>
    <col min="5379" max="5379" width="9.85546875" style="65" bestFit="1" customWidth="1"/>
    <col min="5380" max="5380" width="15.5703125" style="65" customWidth="1"/>
    <col min="5381" max="5381" width="11.140625" style="65" bestFit="1" customWidth="1"/>
    <col min="5382" max="5382" width="14" style="65" customWidth="1"/>
    <col min="5383" max="5383" width="12" style="65" customWidth="1"/>
    <col min="5384" max="5384" width="11.85546875" style="65" bestFit="1" customWidth="1"/>
    <col min="5385" max="5385" width="7" style="65"/>
    <col min="5386" max="5386" width="28.5703125" style="65" customWidth="1"/>
    <col min="5387" max="5387" width="4.42578125" style="65" customWidth="1"/>
    <col min="5388" max="5388" width="10" style="65" customWidth="1"/>
    <col min="5389" max="5629" width="7" style="65"/>
    <col min="5630" max="5630" width="3.5703125" style="65" customWidth="1"/>
    <col min="5631" max="5631" width="24.140625" style="65" customWidth="1"/>
    <col min="5632" max="5632" width="54.7109375" style="65" customWidth="1"/>
    <col min="5633" max="5633" width="18.28515625" style="65" customWidth="1"/>
    <col min="5634" max="5634" width="7" style="65" customWidth="1"/>
    <col min="5635" max="5635" width="9.85546875" style="65" bestFit="1" customWidth="1"/>
    <col min="5636" max="5636" width="15.5703125" style="65" customWidth="1"/>
    <col min="5637" max="5637" width="11.140625" style="65" bestFit="1" customWidth="1"/>
    <col min="5638" max="5638" width="14" style="65" customWidth="1"/>
    <col min="5639" max="5639" width="12" style="65" customWidth="1"/>
    <col min="5640" max="5640" width="11.85546875" style="65" bestFit="1" customWidth="1"/>
    <col min="5641" max="5641" width="7" style="65"/>
    <col min="5642" max="5642" width="28.5703125" style="65" customWidth="1"/>
    <col min="5643" max="5643" width="4.42578125" style="65" customWidth="1"/>
    <col min="5644" max="5644" width="10" style="65" customWidth="1"/>
    <col min="5645" max="5885" width="7" style="65"/>
    <col min="5886" max="5886" width="3.5703125" style="65" customWidth="1"/>
    <col min="5887" max="5887" width="24.140625" style="65" customWidth="1"/>
    <col min="5888" max="5888" width="54.7109375" style="65" customWidth="1"/>
    <col min="5889" max="5889" width="18.28515625" style="65" customWidth="1"/>
    <col min="5890" max="5890" width="7" style="65" customWidth="1"/>
    <col min="5891" max="5891" width="9.85546875" style="65" bestFit="1" customWidth="1"/>
    <col min="5892" max="5892" width="15.5703125" style="65" customWidth="1"/>
    <col min="5893" max="5893" width="11.140625" style="65" bestFit="1" customWidth="1"/>
    <col min="5894" max="5894" width="14" style="65" customWidth="1"/>
    <col min="5895" max="5895" width="12" style="65" customWidth="1"/>
    <col min="5896" max="5896" width="11.85546875" style="65" bestFit="1" customWidth="1"/>
    <col min="5897" max="5897" width="7" style="65"/>
    <col min="5898" max="5898" width="28.5703125" style="65" customWidth="1"/>
    <col min="5899" max="5899" width="4.42578125" style="65" customWidth="1"/>
    <col min="5900" max="5900" width="10" style="65" customWidth="1"/>
    <col min="5901" max="6141" width="7" style="65"/>
    <col min="6142" max="6142" width="3.5703125" style="65" customWidth="1"/>
    <col min="6143" max="6143" width="24.140625" style="65" customWidth="1"/>
    <col min="6144" max="6144" width="54.7109375" style="65" customWidth="1"/>
    <col min="6145" max="6145" width="18.28515625" style="65" customWidth="1"/>
    <col min="6146" max="6146" width="7" style="65" customWidth="1"/>
    <col min="6147" max="6147" width="9.85546875" style="65" bestFit="1" customWidth="1"/>
    <col min="6148" max="6148" width="15.5703125" style="65" customWidth="1"/>
    <col min="6149" max="6149" width="11.140625" style="65" bestFit="1" customWidth="1"/>
    <col min="6150" max="6150" width="14" style="65" customWidth="1"/>
    <col min="6151" max="6151" width="12" style="65" customWidth="1"/>
    <col min="6152" max="6152" width="11.85546875" style="65" bestFit="1" customWidth="1"/>
    <col min="6153" max="6153" width="7" style="65"/>
    <col min="6154" max="6154" width="28.5703125" style="65" customWidth="1"/>
    <col min="6155" max="6155" width="4.42578125" style="65" customWidth="1"/>
    <col min="6156" max="6156" width="10" style="65" customWidth="1"/>
    <col min="6157" max="6397" width="7" style="65"/>
    <col min="6398" max="6398" width="3.5703125" style="65" customWidth="1"/>
    <col min="6399" max="6399" width="24.140625" style="65" customWidth="1"/>
    <col min="6400" max="6400" width="54.7109375" style="65" customWidth="1"/>
    <col min="6401" max="6401" width="18.28515625" style="65" customWidth="1"/>
    <col min="6402" max="6402" width="7" style="65" customWidth="1"/>
    <col min="6403" max="6403" width="9.85546875" style="65" bestFit="1" customWidth="1"/>
    <col min="6404" max="6404" width="15.5703125" style="65" customWidth="1"/>
    <col min="6405" max="6405" width="11.140625" style="65" bestFit="1" customWidth="1"/>
    <col min="6406" max="6406" width="14" style="65" customWidth="1"/>
    <col min="6407" max="6407" width="12" style="65" customWidth="1"/>
    <col min="6408" max="6408" width="11.85546875" style="65" bestFit="1" customWidth="1"/>
    <col min="6409" max="6409" width="7" style="65"/>
    <col min="6410" max="6410" width="28.5703125" style="65" customWidth="1"/>
    <col min="6411" max="6411" width="4.42578125" style="65" customWidth="1"/>
    <col min="6412" max="6412" width="10" style="65" customWidth="1"/>
    <col min="6413" max="6653" width="7" style="65"/>
    <col min="6654" max="6654" width="3.5703125" style="65" customWidth="1"/>
    <col min="6655" max="6655" width="24.140625" style="65" customWidth="1"/>
    <col min="6656" max="6656" width="54.7109375" style="65" customWidth="1"/>
    <col min="6657" max="6657" width="18.28515625" style="65" customWidth="1"/>
    <col min="6658" max="6658" width="7" style="65" customWidth="1"/>
    <col min="6659" max="6659" width="9.85546875" style="65" bestFit="1" customWidth="1"/>
    <col min="6660" max="6660" width="15.5703125" style="65" customWidth="1"/>
    <col min="6661" max="6661" width="11.140625" style="65" bestFit="1" customWidth="1"/>
    <col min="6662" max="6662" width="14" style="65" customWidth="1"/>
    <col min="6663" max="6663" width="12" style="65" customWidth="1"/>
    <col min="6664" max="6664" width="11.85546875" style="65" bestFit="1" customWidth="1"/>
    <col min="6665" max="6665" width="7" style="65"/>
    <col min="6666" max="6666" width="28.5703125" style="65" customWidth="1"/>
    <col min="6667" max="6667" width="4.42578125" style="65" customWidth="1"/>
    <col min="6668" max="6668" width="10" style="65" customWidth="1"/>
    <col min="6669" max="6909" width="7" style="65"/>
    <col min="6910" max="6910" width="3.5703125" style="65" customWidth="1"/>
    <col min="6911" max="6911" width="24.140625" style="65" customWidth="1"/>
    <col min="6912" max="6912" width="54.7109375" style="65" customWidth="1"/>
    <col min="6913" max="6913" width="18.28515625" style="65" customWidth="1"/>
    <col min="6914" max="6914" width="7" style="65" customWidth="1"/>
    <col min="6915" max="6915" width="9.85546875" style="65" bestFit="1" customWidth="1"/>
    <col min="6916" max="6916" width="15.5703125" style="65" customWidth="1"/>
    <col min="6917" max="6917" width="11.140625" style="65" bestFit="1" customWidth="1"/>
    <col min="6918" max="6918" width="14" style="65" customWidth="1"/>
    <col min="6919" max="6919" width="12" style="65" customWidth="1"/>
    <col min="6920" max="6920" width="11.85546875" style="65" bestFit="1" customWidth="1"/>
    <col min="6921" max="6921" width="7" style="65"/>
    <col min="6922" max="6922" width="28.5703125" style="65" customWidth="1"/>
    <col min="6923" max="6923" width="4.42578125" style="65" customWidth="1"/>
    <col min="6924" max="6924" width="10" style="65" customWidth="1"/>
    <col min="6925" max="7165" width="7" style="65"/>
    <col min="7166" max="7166" width="3.5703125" style="65" customWidth="1"/>
    <col min="7167" max="7167" width="24.140625" style="65" customWidth="1"/>
    <col min="7168" max="7168" width="54.7109375" style="65" customWidth="1"/>
    <col min="7169" max="7169" width="18.28515625" style="65" customWidth="1"/>
    <col min="7170" max="7170" width="7" style="65" customWidth="1"/>
    <col min="7171" max="7171" width="9.85546875" style="65" bestFit="1" customWidth="1"/>
    <col min="7172" max="7172" width="15.5703125" style="65" customWidth="1"/>
    <col min="7173" max="7173" width="11.140625" style="65" bestFit="1" customWidth="1"/>
    <col min="7174" max="7174" width="14" style="65" customWidth="1"/>
    <col min="7175" max="7175" width="12" style="65" customWidth="1"/>
    <col min="7176" max="7176" width="11.85546875" style="65" bestFit="1" customWidth="1"/>
    <col min="7177" max="7177" width="7" style="65"/>
    <col min="7178" max="7178" width="28.5703125" style="65" customWidth="1"/>
    <col min="7179" max="7179" width="4.42578125" style="65" customWidth="1"/>
    <col min="7180" max="7180" width="10" style="65" customWidth="1"/>
    <col min="7181" max="7421" width="7" style="65"/>
    <col min="7422" max="7422" width="3.5703125" style="65" customWidth="1"/>
    <col min="7423" max="7423" width="24.140625" style="65" customWidth="1"/>
    <col min="7424" max="7424" width="54.7109375" style="65" customWidth="1"/>
    <col min="7425" max="7425" width="18.28515625" style="65" customWidth="1"/>
    <col min="7426" max="7426" width="7" style="65" customWidth="1"/>
    <col min="7427" max="7427" width="9.85546875" style="65" bestFit="1" customWidth="1"/>
    <col min="7428" max="7428" width="15.5703125" style="65" customWidth="1"/>
    <col min="7429" max="7429" width="11.140625" style="65" bestFit="1" customWidth="1"/>
    <col min="7430" max="7430" width="14" style="65" customWidth="1"/>
    <col min="7431" max="7431" width="12" style="65" customWidth="1"/>
    <col min="7432" max="7432" width="11.85546875" style="65" bestFit="1" customWidth="1"/>
    <col min="7433" max="7433" width="7" style="65"/>
    <col min="7434" max="7434" width="28.5703125" style="65" customWidth="1"/>
    <col min="7435" max="7435" width="4.42578125" style="65" customWidth="1"/>
    <col min="7436" max="7436" width="10" style="65" customWidth="1"/>
    <col min="7437" max="7677" width="7" style="65"/>
    <col min="7678" max="7678" width="3.5703125" style="65" customWidth="1"/>
    <col min="7679" max="7679" width="24.140625" style="65" customWidth="1"/>
    <col min="7680" max="7680" width="54.7109375" style="65" customWidth="1"/>
    <col min="7681" max="7681" width="18.28515625" style="65" customWidth="1"/>
    <col min="7682" max="7682" width="7" style="65" customWidth="1"/>
    <col min="7683" max="7683" width="9.85546875" style="65" bestFit="1" customWidth="1"/>
    <col min="7684" max="7684" width="15.5703125" style="65" customWidth="1"/>
    <col min="7685" max="7685" width="11.140625" style="65" bestFit="1" customWidth="1"/>
    <col min="7686" max="7686" width="14" style="65" customWidth="1"/>
    <col min="7687" max="7687" width="12" style="65" customWidth="1"/>
    <col min="7688" max="7688" width="11.85546875" style="65" bestFit="1" customWidth="1"/>
    <col min="7689" max="7689" width="7" style="65"/>
    <col min="7690" max="7690" width="28.5703125" style="65" customWidth="1"/>
    <col min="7691" max="7691" width="4.42578125" style="65" customWidth="1"/>
    <col min="7692" max="7692" width="10" style="65" customWidth="1"/>
    <col min="7693" max="7933" width="7" style="65"/>
    <col min="7934" max="7934" width="3.5703125" style="65" customWidth="1"/>
    <col min="7935" max="7935" width="24.140625" style="65" customWidth="1"/>
    <col min="7936" max="7936" width="54.7109375" style="65" customWidth="1"/>
    <col min="7937" max="7937" width="18.28515625" style="65" customWidth="1"/>
    <col min="7938" max="7938" width="7" style="65" customWidth="1"/>
    <col min="7939" max="7939" width="9.85546875" style="65" bestFit="1" customWidth="1"/>
    <col min="7940" max="7940" width="15.5703125" style="65" customWidth="1"/>
    <col min="7941" max="7941" width="11.140625" style="65" bestFit="1" customWidth="1"/>
    <col min="7942" max="7942" width="14" style="65" customWidth="1"/>
    <col min="7943" max="7943" width="12" style="65" customWidth="1"/>
    <col min="7944" max="7944" width="11.85546875" style="65" bestFit="1" customWidth="1"/>
    <col min="7945" max="7945" width="7" style="65"/>
    <col min="7946" max="7946" width="28.5703125" style="65" customWidth="1"/>
    <col min="7947" max="7947" width="4.42578125" style="65" customWidth="1"/>
    <col min="7948" max="7948" width="10" style="65" customWidth="1"/>
    <col min="7949" max="8189" width="7" style="65"/>
    <col min="8190" max="8190" width="3.5703125" style="65" customWidth="1"/>
    <col min="8191" max="8191" width="24.140625" style="65" customWidth="1"/>
    <col min="8192" max="8192" width="54.7109375" style="65" customWidth="1"/>
    <col min="8193" max="8193" width="18.28515625" style="65" customWidth="1"/>
    <col min="8194" max="8194" width="7" style="65" customWidth="1"/>
    <col min="8195" max="8195" width="9.85546875" style="65" bestFit="1" customWidth="1"/>
    <col min="8196" max="8196" width="15.5703125" style="65" customWidth="1"/>
    <col min="8197" max="8197" width="11.140625" style="65" bestFit="1" customWidth="1"/>
    <col min="8198" max="8198" width="14" style="65" customWidth="1"/>
    <col min="8199" max="8199" width="12" style="65" customWidth="1"/>
    <col min="8200" max="8200" width="11.85546875" style="65" bestFit="1" customWidth="1"/>
    <col min="8201" max="8201" width="7" style="65"/>
    <col min="8202" max="8202" width="28.5703125" style="65" customWidth="1"/>
    <col min="8203" max="8203" width="4.42578125" style="65" customWidth="1"/>
    <col min="8204" max="8204" width="10" style="65" customWidth="1"/>
    <col min="8205" max="8445" width="7" style="65"/>
    <col min="8446" max="8446" width="3.5703125" style="65" customWidth="1"/>
    <col min="8447" max="8447" width="24.140625" style="65" customWidth="1"/>
    <col min="8448" max="8448" width="54.7109375" style="65" customWidth="1"/>
    <col min="8449" max="8449" width="18.28515625" style="65" customWidth="1"/>
    <col min="8450" max="8450" width="7" style="65" customWidth="1"/>
    <col min="8451" max="8451" width="9.85546875" style="65" bestFit="1" customWidth="1"/>
    <col min="8452" max="8452" width="15.5703125" style="65" customWidth="1"/>
    <col min="8453" max="8453" width="11.140625" style="65" bestFit="1" customWidth="1"/>
    <col min="8454" max="8454" width="14" style="65" customWidth="1"/>
    <col min="8455" max="8455" width="12" style="65" customWidth="1"/>
    <col min="8456" max="8456" width="11.85546875" style="65" bestFit="1" customWidth="1"/>
    <col min="8457" max="8457" width="7" style="65"/>
    <col min="8458" max="8458" width="28.5703125" style="65" customWidth="1"/>
    <col min="8459" max="8459" width="4.42578125" style="65" customWidth="1"/>
    <col min="8460" max="8460" width="10" style="65" customWidth="1"/>
    <col min="8461" max="8701" width="7" style="65"/>
    <col min="8702" max="8702" width="3.5703125" style="65" customWidth="1"/>
    <col min="8703" max="8703" width="24.140625" style="65" customWidth="1"/>
    <col min="8704" max="8704" width="54.7109375" style="65" customWidth="1"/>
    <col min="8705" max="8705" width="18.28515625" style="65" customWidth="1"/>
    <col min="8706" max="8706" width="7" style="65" customWidth="1"/>
    <col min="8707" max="8707" width="9.85546875" style="65" bestFit="1" customWidth="1"/>
    <col min="8708" max="8708" width="15.5703125" style="65" customWidth="1"/>
    <col min="8709" max="8709" width="11.140625" style="65" bestFit="1" customWidth="1"/>
    <col min="8710" max="8710" width="14" style="65" customWidth="1"/>
    <col min="8711" max="8711" width="12" style="65" customWidth="1"/>
    <col min="8712" max="8712" width="11.85546875" style="65" bestFit="1" customWidth="1"/>
    <col min="8713" max="8713" width="7" style="65"/>
    <col min="8714" max="8714" width="28.5703125" style="65" customWidth="1"/>
    <col min="8715" max="8715" width="4.42578125" style="65" customWidth="1"/>
    <col min="8716" max="8716" width="10" style="65" customWidth="1"/>
    <col min="8717" max="8957" width="7" style="65"/>
    <col min="8958" max="8958" width="3.5703125" style="65" customWidth="1"/>
    <col min="8959" max="8959" width="24.140625" style="65" customWidth="1"/>
    <col min="8960" max="8960" width="54.7109375" style="65" customWidth="1"/>
    <col min="8961" max="8961" width="18.28515625" style="65" customWidth="1"/>
    <col min="8962" max="8962" width="7" style="65" customWidth="1"/>
    <col min="8963" max="8963" width="9.85546875" style="65" bestFit="1" customWidth="1"/>
    <col min="8964" max="8964" width="15.5703125" style="65" customWidth="1"/>
    <col min="8965" max="8965" width="11.140625" style="65" bestFit="1" customWidth="1"/>
    <col min="8966" max="8966" width="14" style="65" customWidth="1"/>
    <col min="8967" max="8967" width="12" style="65" customWidth="1"/>
    <col min="8968" max="8968" width="11.85546875" style="65" bestFit="1" customWidth="1"/>
    <col min="8969" max="8969" width="7" style="65"/>
    <col min="8970" max="8970" width="28.5703125" style="65" customWidth="1"/>
    <col min="8971" max="8971" width="4.42578125" style="65" customWidth="1"/>
    <col min="8972" max="8972" width="10" style="65" customWidth="1"/>
    <col min="8973" max="9213" width="7" style="65"/>
    <col min="9214" max="9214" width="3.5703125" style="65" customWidth="1"/>
    <col min="9215" max="9215" width="24.140625" style="65" customWidth="1"/>
    <col min="9216" max="9216" width="54.7109375" style="65" customWidth="1"/>
    <col min="9217" max="9217" width="18.28515625" style="65" customWidth="1"/>
    <col min="9218" max="9218" width="7" style="65" customWidth="1"/>
    <col min="9219" max="9219" width="9.85546875" style="65" bestFit="1" customWidth="1"/>
    <col min="9220" max="9220" width="15.5703125" style="65" customWidth="1"/>
    <col min="9221" max="9221" width="11.140625" style="65" bestFit="1" customWidth="1"/>
    <col min="9222" max="9222" width="14" style="65" customWidth="1"/>
    <col min="9223" max="9223" width="12" style="65" customWidth="1"/>
    <col min="9224" max="9224" width="11.85546875" style="65" bestFit="1" customWidth="1"/>
    <col min="9225" max="9225" width="7" style="65"/>
    <col min="9226" max="9226" width="28.5703125" style="65" customWidth="1"/>
    <col min="9227" max="9227" width="4.42578125" style="65" customWidth="1"/>
    <col min="9228" max="9228" width="10" style="65" customWidth="1"/>
    <col min="9229" max="9469" width="7" style="65"/>
    <col min="9470" max="9470" width="3.5703125" style="65" customWidth="1"/>
    <col min="9471" max="9471" width="24.140625" style="65" customWidth="1"/>
    <col min="9472" max="9472" width="54.7109375" style="65" customWidth="1"/>
    <col min="9473" max="9473" width="18.28515625" style="65" customWidth="1"/>
    <col min="9474" max="9474" width="7" style="65" customWidth="1"/>
    <col min="9475" max="9475" width="9.85546875" style="65" bestFit="1" customWidth="1"/>
    <col min="9476" max="9476" width="15.5703125" style="65" customWidth="1"/>
    <col min="9477" max="9477" width="11.140625" style="65" bestFit="1" customWidth="1"/>
    <col min="9478" max="9478" width="14" style="65" customWidth="1"/>
    <col min="9479" max="9479" width="12" style="65" customWidth="1"/>
    <col min="9480" max="9480" width="11.85546875" style="65" bestFit="1" customWidth="1"/>
    <col min="9481" max="9481" width="7" style="65"/>
    <col min="9482" max="9482" width="28.5703125" style="65" customWidth="1"/>
    <col min="9483" max="9483" width="4.42578125" style="65" customWidth="1"/>
    <col min="9484" max="9484" width="10" style="65" customWidth="1"/>
    <col min="9485" max="9725" width="7" style="65"/>
    <col min="9726" max="9726" width="3.5703125" style="65" customWidth="1"/>
    <col min="9727" max="9727" width="24.140625" style="65" customWidth="1"/>
    <col min="9728" max="9728" width="54.7109375" style="65" customWidth="1"/>
    <col min="9729" max="9729" width="18.28515625" style="65" customWidth="1"/>
    <col min="9730" max="9730" width="7" style="65" customWidth="1"/>
    <col min="9731" max="9731" width="9.85546875" style="65" bestFit="1" customWidth="1"/>
    <col min="9732" max="9732" width="15.5703125" style="65" customWidth="1"/>
    <col min="9733" max="9733" width="11.140625" style="65" bestFit="1" customWidth="1"/>
    <col min="9734" max="9734" width="14" style="65" customWidth="1"/>
    <col min="9735" max="9735" width="12" style="65" customWidth="1"/>
    <col min="9736" max="9736" width="11.85546875" style="65" bestFit="1" customWidth="1"/>
    <col min="9737" max="9737" width="7" style="65"/>
    <col min="9738" max="9738" width="28.5703125" style="65" customWidth="1"/>
    <col min="9739" max="9739" width="4.42578125" style="65" customWidth="1"/>
    <col min="9740" max="9740" width="10" style="65" customWidth="1"/>
    <col min="9741" max="9981" width="7" style="65"/>
    <col min="9982" max="9982" width="3.5703125" style="65" customWidth="1"/>
    <col min="9983" max="9983" width="24.140625" style="65" customWidth="1"/>
    <col min="9984" max="9984" width="54.7109375" style="65" customWidth="1"/>
    <col min="9985" max="9985" width="18.28515625" style="65" customWidth="1"/>
    <col min="9986" max="9986" width="7" style="65" customWidth="1"/>
    <col min="9987" max="9987" width="9.85546875" style="65" bestFit="1" customWidth="1"/>
    <col min="9988" max="9988" width="15.5703125" style="65" customWidth="1"/>
    <col min="9989" max="9989" width="11.140625" style="65" bestFit="1" customWidth="1"/>
    <col min="9990" max="9990" width="14" style="65" customWidth="1"/>
    <col min="9991" max="9991" width="12" style="65" customWidth="1"/>
    <col min="9992" max="9992" width="11.85546875" style="65" bestFit="1" customWidth="1"/>
    <col min="9993" max="9993" width="7" style="65"/>
    <col min="9994" max="9994" width="28.5703125" style="65" customWidth="1"/>
    <col min="9995" max="9995" width="4.42578125" style="65" customWidth="1"/>
    <col min="9996" max="9996" width="10" style="65" customWidth="1"/>
    <col min="9997" max="10237" width="7" style="65"/>
    <col min="10238" max="10238" width="3.5703125" style="65" customWidth="1"/>
    <col min="10239" max="10239" width="24.140625" style="65" customWidth="1"/>
    <col min="10240" max="10240" width="54.7109375" style="65" customWidth="1"/>
    <col min="10241" max="10241" width="18.28515625" style="65" customWidth="1"/>
    <col min="10242" max="10242" width="7" style="65" customWidth="1"/>
    <col min="10243" max="10243" width="9.85546875" style="65" bestFit="1" customWidth="1"/>
    <col min="10244" max="10244" width="15.5703125" style="65" customWidth="1"/>
    <col min="10245" max="10245" width="11.140625" style="65" bestFit="1" customWidth="1"/>
    <col min="10246" max="10246" width="14" style="65" customWidth="1"/>
    <col min="10247" max="10247" width="12" style="65" customWidth="1"/>
    <col min="10248" max="10248" width="11.85546875" style="65" bestFit="1" customWidth="1"/>
    <col min="10249" max="10249" width="7" style="65"/>
    <col min="10250" max="10250" width="28.5703125" style="65" customWidth="1"/>
    <col min="10251" max="10251" width="4.42578125" style="65" customWidth="1"/>
    <col min="10252" max="10252" width="10" style="65" customWidth="1"/>
    <col min="10253" max="10493" width="7" style="65"/>
    <col min="10494" max="10494" width="3.5703125" style="65" customWidth="1"/>
    <col min="10495" max="10495" width="24.140625" style="65" customWidth="1"/>
    <col min="10496" max="10496" width="54.7109375" style="65" customWidth="1"/>
    <col min="10497" max="10497" width="18.28515625" style="65" customWidth="1"/>
    <col min="10498" max="10498" width="7" style="65" customWidth="1"/>
    <col min="10499" max="10499" width="9.85546875" style="65" bestFit="1" customWidth="1"/>
    <col min="10500" max="10500" width="15.5703125" style="65" customWidth="1"/>
    <col min="10501" max="10501" width="11.140625" style="65" bestFit="1" customWidth="1"/>
    <col min="10502" max="10502" width="14" style="65" customWidth="1"/>
    <col min="10503" max="10503" width="12" style="65" customWidth="1"/>
    <col min="10504" max="10504" width="11.85546875" style="65" bestFit="1" customWidth="1"/>
    <col min="10505" max="10505" width="7" style="65"/>
    <col min="10506" max="10506" width="28.5703125" style="65" customWidth="1"/>
    <col min="10507" max="10507" width="4.42578125" style="65" customWidth="1"/>
    <col min="10508" max="10508" width="10" style="65" customWidth="1"/>
    <col min="10509" max="10749" width="7" style="65"/>
    <col min="10750" max="10750" width="3.5703125" style="65" customWidth="1"/>
    <col min="10751" max="10751" width="24.140625" style="65" customWidth="1"/>
    <col min="10752" max="10752" width="54.7109375" style="65" customWidth="1"/>
    <col min="10753" max="10753" width="18.28515625" style="65" customWidth="1"/>
    <col min="10754" max="10754" width="7" style="65" customWidth="1"/>
    <col min="10755" max="10755" width="9.85546875" style="65" bestFit="1" customWidth="1"/>
    <col min="10756" max="10756" width="15.5703125" style="65" customWidth="1"/>
    <col min="10757" max="10757" width="11.140625" style="65" bestFit="1" customWidth="1"/>
    <col min="10758" max="10758" width="14" style="65" customWidth="1"/>
    <col min="10759" max="10759" width="12" style="65" customWidth="1"/>
    <col min="10760" max="10760" width="11.85546875" style="65" bestFit="1" customWidth="1"/>
    <col min="10761" max="10761" width="7" style="65"/>
    <col min="10762" max="10762" width="28.5703125" style="65" customWidth="1"/>
    <col min="10763" max="10763" width="4.42578125" style="65" customWidth="1"/>
    <col min="10764" max="10764" width="10" style="65" customWidth="1"/>
    <col min="10765" max="11005" width="7" style="65"/>
    <col min="11006" max="11006" width="3.5703125" style="65" customWidth="1"/>
    <col min="11007" max="11007" width="24.140625" style="65" customWidth="1"/>
    <col min="11008" max="11008" width="54.7109375" style="65" customWidth="1"/>
    <col min="11009" max="11009" width="18.28515625" style="65" customWidth="1"/>
    <col min="11010" max="11010" width="7" style="65" customWidth="1"/>
    <col min="11011" max="11011" width="9.85546875" style="65" bestFit="1" customWidth="1"/>
    <col min="11012" max="11012" width="15.5703125" style="65" customWidth="1"/>
    <col min="11013" max="11013" width="11.140625" style="65" bestFit="1" customWidth="1"/>
    <col min="11014" max="11014" width="14" style="65" customWidth="1"/>
    <col min="11015" max="11015" width="12" style="65" customWidth="1"/>
    <col min="11016" max="11016" width="11.85546875" style="65" bestFit="1" customWidth="1"/>
    <col min="11017" max="11017" width="7" style="65"/>
    <col min="11018" max="11018" width="28.5703125" style="65" customWidth="1"/>
    <col min="11019" max="11019" width="4.42578125" style="65" customWidth="1"/>
    <col min="11020" max="11020" width="10" style="65" customWidth="1"/>
    <col min="11021" max="11261" width="7" style="65"/>
    <col min="11262" max="11262" width="3.5703125" style="65" customWidth="1"/>
    <col min="11263" max="11263" width="24.140625" style="65" customWidth="1"/>
    <col min="11264" max="11264" width="54.7109375" style="65" customWidth="1"/>
    <col min="11265" max="11265" width="18.28515625" style="65" customWidth="1"/>
    <col min="11266" max="11266" width="7" style="65" customWidth="1"/>
    <col min="11267" max="11267" width="9.85546875" style="65" bestFit="1" customWidth="1"/>
    <col min="11268" max="11268" width="15.5703125" style="65" customWidth="1"/>
    <col min="11269" max="11269" width="11.140625" style="65" bestFit="1" customWidth="1"/>
    <col min="11270" max="11270" width="14" style="65" customWidth="1"/>
    <col min="11271" max="11271" width="12" style="65" customWidth="1"/>
    <col min="11272" max="11272" width="11.85546875" style="65" bestFit="1" customWidth="1"/>
    <col min="11273" max="11273" width="7" style="65"/>
    <col min="11274" max="11274" width="28.5703125" style="65" customWidth="1"/>
    <col min="11275" max="11275" width="4.42578125" style="65" customWidth="1"/>
    <col min="11276" max="11276" width="10" style="65" customWidth="1"/>
    <col min="11277" max="11517" width="7" style="65"/>
    <col min="11518" max="11518" width="3.5703125" style="65" customWidth="1"/>
    <col min="11519" max="11519" width="24.140625" style="65" customWidth="1"/>
    <col min="11520" max="11520" width="54.7109375" style="65" customWidth="1"/>
    <col min="11521" max="11521" width="18.28515625" style="65" customWidth="1"/>
    <col min="11522" max="11522" width="7" style="65" customWidth="1"/>
    <col min="11523" max="11523" width="9.85546875" style="65" bestFit="1" customWidth="1"/>
    <col min="11524" max="11524" width="15.5703125" style="65" customWidth="1"/>
    <col min="11525" max="11525" width="11.140625" style="65" bestFit="1" customWidth="1"/>
    <col min="11526" max="11526" width="14" style="65" customWidth="1"/>
    <col min="11527" max="11527" width="12" style="65" customWidth="1"/>
    <col min="11528" max="11528" width="11.85546875" style="65" bestFit="1" customWidth="1"/>
    <col min="11529" max="11529" width="7" style="65"/>
    <col min="11530" max="11530" width="28.5703125" style="65" customWidth="1"/>
    <col min="11531" max="11531" width="4.42578125" style="65" customWidth="1"/>
    <col min="11532" max="11532" width="10" style="65" customWidth="1"/>
    <col min="11533" max="11773" width="7" style="65"/>
    <col min="11774" max="11774" width="3.5703125" style="65" customWidth="1"/>
    <col min="11775" max="11775" width="24.140625" style="65" customWidth="1"/>
    <col min="11776" max="11776" width="54.7109375" style="65" customWidth="1"/>
    <col min="11777" max="11777" width="18.28515625" style="65" customWidth="1"/>
    <col min="11778" max="11778" width="7" style="65" customWidth="1"/>
    <col min="11779" max="11779" width="9.85546875" style="65" bestFit="1" customWidth="1"/>
    <col min="11780" max="11780" width="15.5703125" style="65" customWidth="1"/>
    <col min="11781" max="11781" width="11.140625" style="65" bestFit="1" customWidth="1"/>
    <col min="11782" max="11782" width="14" style="65" customWidth="1"/>
    <col min="11783" max="11783" width="12" style="65" customWidth="1"/>
    <col min="11784" max="11784" width="11.85546875" style="65" bestFit="1" customWidth="1"/>
    <col min="11785" max="11785" width="7" style="65"/>
    <col min="11786" max="11786" width="28.5703125" style="65" customWidth="1"/>
    <col min="11787" max="11787" width="4.42578125" style="65" customWidth="1"/>
    <col min="11788" max="11788" width="10" style="65" customWidth="1"/>
    <col min="11789" max="12029" width="7" style="65"/>
    <col min="12030" max="12030" width="3.5703125" style="65" customWidth="1"/>
    <col min="12031" max="12031" width="24.140625" style="65" customWidth="1"/>
    <col min="12032" max="12032" width="54.7109375" style="65" customWidth="1"/>
    <col min="12033" max="12033" width="18.28515625" style="65" customWidth="1"/>
    <col min="12034" max="12034" width="7" style="65" customWidth="1"/>
    <col min="12035" max="12035" width="9.85546875" style="65" bestFit="1" customWidth="1"/>
    <col min="12036" max="12036" width="15.5703125" style="65" customWidth="1"/>
    <col min="12037" max="12037" width="11.140625" style="65" bestFit="1" customWidth="1"/>
    <col min="12038" max="12038" width="14" style="65" customWidth="1"/>
    <col min="12039" max="12039" width="12" style="65" customWidth="1"/>
    <col min="12040" max="12040" width="11.85546875" style="65" bestFit="1" customWidth="1"/>
    <col min="12041" max="12041" width="7" style="65"/>
    <col min="12042" max="12042" width="28.5703125" style="65" customWidth="1"/>
    <col min="12043" max="12043" width="4.42578125" style="65" customWidth="1"/>
    <col min="12044" max="12044" width="10" style="65" customWidth="1"/>
    <col min="12045" max="12285" width="7" style="65"/>
    <col min="12286" max="12286" width="3.5703125" style="65" customWidth="1"/>
    <col min="12287" max="12287" width="24.140625" style="65" customWidth="1"/>
    <col min="12288" max="12288" width="54.7109375" style="65" customWidth="1"/>
    <col min="12289" max="12289" width="18.28515625" style="65" customWidth="1"/>
    <col min="12290" max="12290" width="7" style="65" customWidth="1"/>
    <col min="12291" max="12291" width="9.85546875" style="65" bestFit="1" customWidth="1"/>
    <col min="12292" max="12292" width="15.5703125" style="65" customWidth="1"/>
    <col min="12293" max="12293" width="11.140625" style="65" bestFit="1" customWidth="1"/>
    <col min="12294" max="12294" width="14" style="65" customWidth="1"/>
    <col min="12295" max="12295" width="12" style="65" customWidth="1"/>
    <col min="12296" max="12296" width="11.85546875" style="65" bestFit="1" customWidth="1"/>
    <col min="12297" max="12297" width="7" style="65"/>
    <col min="12298" max="12298" width="28.5703125" style="65" customWidth="1"/>
    <col min="12299" max="12299" width="4.42578125" style="65" customWidth="1"/>
    <col min="12300" max="12300" width="10" style="65" customWidth="1"/>
    <col min="12301" max="12541" width="7" style="65"/>
    <col min="12542" max="12542" width="3.5703125" style="65" customWidth="1"/>
    <col min="12543" max="12543" width="24.140625" style="65" customWidth="1"/>
    <col min="12544" max="12544" width="54.7109375" style="65" customWidth="1"/>
    <col min="12545" max="12545" width="18.28515625" style="65" customWidth="1"/>
    <col min="12546" max="12546" width="7" style="65" customWidth="1"/>
    <col min="12547" max="12547" width="9.85546875" style="65" bestFit="1" customWidth="1"/>
    <col min="12548" max="12548" width="15.5703125" style="65" customWidth="1"/>
    <col min="12549" max="12549" width="11.140625" style="65" bestFit="1" customWidth="1"/>
    <col min="12550" max="12550" width="14" style="65" customWidth="1"/>
    <col min="12551" max="12551" width="12" style="65" customWidth="1"/>
    <col min="12552" max="12552" width="11.85546875" style="65" bestFit="1" customWidth="1"/>
    <col min="12553" max="12553" width="7" style="65"/>
    <col min="12554" max="12554" width="28.5703125" style="65" customWidth="1"/>
    <col min="12555" max="12555" width="4.42578125" style="65" customWidth="1"/>
    <col min="12556" max="12556" width="10" style="65" customWidth="1"/>
    <col min="12557" max="12797" width="7" style="65"/>
    <col min="12798" max="12798" width="3.5703125" style="65" customWidth="1"/>
    <col min="12799" max="12799" width="24.140625" style="65" customWidth="1"/>
    <col min="12800" max="12800" width="54.7109375" style="65" customWidth="1"/>
    <col min="12801" max="12801" width="18.28515625" style="65" customWidth="1"/>
    <col min="12802" max="12802" width="7" style="65" customWidth="1"/>
    <col min="12803" max="12803" width="9.85546875" style="65" bestFit="1" customWidth="1"/>
    <col min="12804" max="12804" width="15.5703125" style="65" customWidth="1"/>
    <col min="12805" max="12805" width="11.140625" style="65" bestFit="1" customWidth="1"/>
    <col min="12806" max="12806" width="14" style="65" customWidth="1"/>
    <col min="12807" max="12807" width="12" style="65" customWidth="1"/>
    <col min="12808" max="12808" width="11.85546875" style="65" bestFit="1" customWidth="1"/>
    <col min="12809" max="12809" width="7" style="65"/>
    <col min="12810" max="12810" width="28.5703125" style="65" customWidth="1"/>
    <col min="12811" max="12811" width="4.42578125" style="65" customWidth="1"/>
    <col min="12812" max="12812" width="10" style="65" customWidth="1"/>
    <col min="12813" max="13053" width="7" style="65"/>
    <col min="13054" max="13054" width="3.5703125" style="65" customWidth="1"/>
    <col min="13055" max="13055" width="24.140625" style="65" customWidth="1"/>
    <col min="13056" max="13056" width="54.7109375" style="65" customWidth="1"/>
    <col min="13057" max="13057" width="18.28515625" style="65" customWidth="1"/>
    <col min="13058" max="13058" width="7" style="65" customWidth="1"/>
    <col min="13059" max="13059" width="9.85546875" style="65" bestFit="1" customWidth="1"/>
    <col min="13060" max="13060" width="15.5703125" style="65" customWidth="1"/>
    <col min="13061" max="13061" width="11.140625" style="65" bestFit="1" customWidth="1"/>
    <col min="13062" max="13062" width="14" style="65" customWidth="1"/>
    <col min="13063" max="13063" width="12" style="65" customWidth="1"/>
    <col min="13064" max="13064" width="11.85546875" style="65" bestFit="1" customWidth="1"/>
    <col min="13065" max="13065" width="7" style="65"/>
    <col min="13066" max="13066" width="28.5703125" style="65" customWidth="1"/>
    <col min="13067" max="13067" width="4.42578125" style="65" customWidth="1"/>
    <col min="13068" max="13068" width="10" style="65" customWidth="1"/>
    <col min="13069" max="13309" width="7" style="65"/>
    <col min="13310" max="13310" width="3.5703125" style="65" customWidth="1"/>
    <col min="13311" max="13311" width="24.140625" style="65" customWidth="1"/>
    <col min="13312" max="13312" width="54.7109375" style="65" customWidth="1"/>
    <col min="13313" max="13313" width="18.28515625" style="65" customWidth="1"/>
    <col min="13314" max="13314" width="7" style="65" customWidth="1"/>
    <col min="13315" max="13315" width="9.85546875" style="65" bestFit="1" customWidth="1"/>
    <col min="13316" max="13316" width="15.5703125" style="65" customWidth="1"/>
    <col min="13317" max="13317" width="11.140625" style="65" bestFit="1" customWidth="1"/>
    <col min="13318" max="13318" width="14" style="65" customWidth="1"/>
    <col min="13319" max="13319" width="12" style="65" customWidth="1"/>
    <col min="13320" max="13320" width="11.85546875" style="65" bestFit="1" customWidth="1"/>
    <col min="13321" max="13321" width="7" style="65"/>
    <col min="13322" max="13322" width="28.5703125" style="65" customWidth="1"/>
    <col min="13323" max="13323" width="4.42578125" style="65" customWidth="1"/>
    <col min="13324" max="13324" width="10" style="65" customWidth="1"/>
    <col min="13325" max="13565" width="7" style="65"/>
    <col min="13566" max="13566" width="3.5703125" style="65" customWidth="1"/>
    <col min="13567" max="13567" width="24.140625" style="65" customWidth="1"/>
    <col min="13568" max="13568" width="54.7109375" style="65" customWidth="1"/>
    <col min="13569" max="13569" width="18.28515625" style="65" customWidth="1"/>
    <col min="13570" max="13570" width="7" style="65" customWidth="1"/>
    <col min="13571" max="13571" width="9.85546875" style="65" bestFit="1" customWidth="1"/>
    <col min="13572" max="13572" width="15.5703125" style="65" customWidth="1"/>
    <col min="13573" max="13573" width="11.140625" style="65" bestFit="1" customWidth="1"/>
    <col min="13574" max="13574" width="14" style="65" customWidth="1"/>
    <col min="13575" max="13575" width="12" style="65" customWidth="1"/>
    <col min="13576" max="13576" width="11.85546875" style="65" bestFit="1" customWidth="1"/>
    <col min="13577" max="13577" width="7" style="65"/>
    <col min="13578" max="13578" width="28.5703125" style="65" customWidth="1"/>
    <col min="13579" max="13579" width="4.42578125" style="65" customWidth="1"/>
    <col min="13580" max="13580" width="10" style="65" customWidth="1"/>
    <col min="13581" max="13821" width="7" style="65"/>
    <col min="13822" max="13822" width="3.5703125" style="65" customWidth="1"/>
    <col min="13823" max="13823" width="24.140625" style="65" customWidth="1"/>
    <col min="13824" max="13824" width="54.7109375" style="65" customWidth="1"/>
    <col min="13825" max="13825" width="18.28515625" style="65" customWidth="1"/>
    <col min="13826" max="13826" width="7" style="65" customWidth="1"/>
    <col min="13827" max="13827" width="9.85546875" style="65" bestFit="1" customWidth="1"/>
    <col min="13828" max="13828" width="15.5703125" style="65" customWidth="1"/>
    <col min="13829" max="13829" width="11.140625" style="65" bestFit="1" customWidth="1"/>
    <col min="13830" max="13830" width="14" style="65" customWidth="1"/>
    <col min="13831" max="13831" width="12" style="65" customWidth="1"/>
    <col min="13832" max="13832" width="11.85546875" style="65" bestFit="1" customWidth="1"/>
    <col min="13833" max="13833" width="7" style="65"/>
    <col min="13834" max="13834" width="28.5703125" style="65" customWidth="1"/>
    <col min="13835" max="13835" width="4.42578125" style="65" customWidth="1"/>
    <col min="13836" max="13836" width="10" style="65" customWidth="1"/>
    <col min="13837" max="14077" width="7" style="65"/>
    <col min="14078" max="14078" width="3.5703125" style="65" customWidth="1"/>
    <col min="14079" max="14079" width="24.140625" style="65" customWidth="1"/>
    <col min="14080" max="14080" width="54.7109375" style="65" customWidth="1"/>
    <col min="14081" max="14081" width="18.28515625" style="65" customWidth="1"/>
    <col min="14082" max="14082" width="7" style="65" customWidth="1"/>
    <col min="14083" max="14083" width="9.85546875" style="65" bestFit="1" customWidth="1"/>
    <col min="14084" max="14084" width="15.5703125" style="65" customWidth="1"/>
    <col min="14085" max="14085" width="11.140625" style="65" bestFit="1" customWidth="1"/>
    <col min="14086" max="14086" width="14" style="65" customWidth="1"/>
    <col min="14087" max="14087" width="12" style="65" customWidth="1"/>
    <col min="14088" max="14088" width="11.85546875" style="65" bestFit="1" customWidth="1"/>
    <col min="14089" max="14089" width="7" style="65"/>
    <col min="14090" max="14090" width="28.5703125" style="65" customWidth="1"/>
    <col min="14091" max="14091" width="4.42578125" style="65" customWidth="1"/>
    <col min="14092" max="14092" width="10" style="65" customWidth="1"/>
    <col min="14093" max="14333" width="7" style="65"/>
    <col min="14334" max="14334" width="3.5703125" style="65" customWidth="1"/>
    <col min="14335" max="14335" width="24.140625" style="65" customWidth="1"/>
    <col min="14336" max="14336" width="54.7109375" style="65" customWidth="1"/>
    <col min="14337" max="14337" width="18.28515625" style="65" customWidth="1"/>
    <col min="14338" max="14338" width="7" style="65" customWidth="1"/>
    <col min="14339" max="14339" width="9.85546875" style="65" bestFit="1" customWidth="1"/>
    <col min="14340" max="14340" width="15.5703125" style="65" customWidth="1"/>
    <col min="14341" max="14341" width="11.140625" style="65" bestFit="1" customWidth="1"/>
    <col min="14342" max="14342" width="14" style="65" customWidth="1"/>
    <col min="14343" max="14343" width="12" style="65" customWidth="1"/>
    <col min="14344" max="14344" width="11.85546875" style="65" bestFit="1" customWidth="1"/>
    <col min="14345" max="14345" width="7" style="65"/>
    <col min="14346" max="14346" width="28.5703125" style="65" customWidth="1"/>
    <col min="14347" max="14347" width="4.42578125" style="65" customWidth="1"/>
    <col min="14348" max="14348" width="10" style="65" customWidth="1"/>
    <col min="14349" max="14589" width="7" style="65"/>
    <col min="14590" max="14590" width="3.5703125" style="65" customWidth="1"/>
    <col min="14591" max="14591" width="24.140625" style="65" customWidth="1"/>
    <col min="14592" max="14592" width="54.7109375" style="65" customWidth="1"/>
    <col min="14593" max="14593" width="18.28515625" style="65" customWidth="1"/>
    <col min="14594" max="14594" width="7" style="65" customWidth="1"/>
    <col min="14595" max="14595" width="9.85546875" style="65" bestFit="1" customWidth="1"/>
    <col min="14596" max="14596" width="15.5703125" style="65" customWidth="1"/>
    <col min="14597" max="14597" width="11.140625" style="65" bestFit="1" customWidth="1"/>
    <col min="14598" max="14598" width="14" style="65" customWidth="1"/>
    <col min="14599" max="14599" width="12" style="65" customWidth="1"/>
    <col min="14600" max="14600" width="11.85546875" style="65" bestFit="1" customWidth="1"/>
    <col min="14601" max="14601" width="7" style="65"/>
    <col min="14602" max="14602" width="28.5703125" style="65" customWidth="1"/>
    <col min="14603" max="14603" width="4.42578125" style="65" customWidth="1"/>
    <col min="14604" max="14604" width="10" style="65" customWidth="1"/>
    <col min="14605" max="14845" width="7" style="65"/>
    <col min="14846" max="14846" width="3.5703125" style="65" customWidth="1"/>
    <col min="14847" max="14847" width="24.140625" style="65" customWidth="1"/>
    <col min="14848" max="14848" width="54.7109375" style="65" customWidth="1"/>
    <col min="14849" max="14849" width="18.28515625" style="65" customWidth="1"/>
    <col min="14850" max="14850" width="7" style="65" customWidth="1"/>
    <col min="14851" max="14851" width="9.85546875" style="65" bestFit="1" customWidth="1"/>
    <col min="14852" max="14852" width="15.5703125" style="65" customWidth="1"/>
    <col min="14853" max="14853" width="11.140625" style="65" bestFit="1" customWidth="1"/>
    <col min="14854" max="14854" width="14" style="65" customWidth="1"/>
    <col min="14855" max="14855" width="12" style="65" customWidth="1"/>
    <col min="14856" max="14856" width="11.85546875" style="65" bestFit="1" customWidth="1"/>
    <col min="14857" max="14857" width="7" style="65"/>
    <col min="14858" max="14858" width="28.5703125" style="65" customWidth="1"/>
    <col min="14859" max="14859" width="4.42578125" style="65" customWidth="1"/>
    <col min="14860" max="14860" width="10" style="65" customWidth="1"/>
    <col min="14861" max="15101" width="7" style="65"/>
    <col min="15102" max="15102" width="3.5703125" style="65" customWidth="1"/>
    <col min="15103" max="15103" width="24.140625" style="65" customWidth="1"/>
    <col min="15104" max="15104" width="54.7109375" style="65" customWidth="1"/>
    <col min="15105" max="15105" width="18.28515625" style="65" customWidth="1"/>
    <col min="15106" max="15106" width="7" style="65" customWidth="1"/>
    <col min="15107" max="15107" width="9.85546875" style="65" bestFit="1" customWidth="1"/>
    <col min="15108" max="15108" width="15.5703125" style="65" customWidth="1"/>
    <col min="15109" max="15109" width="11.140625" style="65" bestFit="1" customWidth="1"/>
    <col min="15110" max="15110" width="14" style="65" customWidth="1"/>
    <col min="15111" max="15111" width="12" style="65" customWidth="1"/>
    <col min="15112" max="15112" width="11.85546875" style="65" bestFit="1" customWidth="1"/>
    <col min="15113" max="15113" width="7" style="65"/>
    <col min="15114" max="15114" width="28.5703125" style="65" customWidth="1"/>
    <col min="15115" max="15115" width="4.42578125" style="65" customWidth="1"/>
    <col min="15116" max="15116" width="10" style="65" customWidth="1"/>
    <col min="15117" max="15357" width="7" style="65"/>
    <col min="15358" max="15358" width="3.5703125" style="65" customWidth="1"/>
    <col min="15359" max="15359" width="24.140625" style="65" customWidth="1"/>
    <col min="15360" max="15360" width="54.7109375" style="65" customWidth="1"/>
    <col min="15361" max="15361" width="18.28515625" style="65" customWidth="1"/>
    <col min="15362" max="15362" width="7" style="65" customWidth="1"/>
    <col min="15363" max="15363" width="9.85546875" style="65" bestFit="1" customWidth="1"/>
    <col min="15364" max="15364" width="15.5703125" style="65" customWidth="1"/>
    <col min="15365" max="15365" width="11.140625" style="65" bestFit="1" customWidth="1"/>
    <col min="15366" max="15366" width="14" style="65" customWidth="1"/>
    <col min="15367" max="15367" width="12" style="65" customWidth="1"/>
    <col min="15368" max="15368" width="11.85546875" style="65" bestFit="1" customWidth="1"/>
    <col min="15369" max="15369" width="7" style="65"/>
    <col min="15370" max="15370" width="28.5703125" style="65" customWidth="1"/>
    <col min="15371" max="15371" width="4.42578125" style="65" customWidth="1"/>
    <col min="15372" max="15372" width="10" style="65" customWidth="1"/>
    <col min="15373" max="15613" width="7" style="65"/>
    <col min="15614" max="15614" width="3.5703125" style="65" customWidth="1"/>
    <col min="15615" max="15615" width="24.140625" style="65" customWidth="1"/>
    <col min="15616" max="15616" width="54.7109375" style="65" customWidth="1"/>
    <col min="15617" max="15617" width="18.28515625" style="65" customWidth="1"/>
    <col min="15618" max="15618" width="7" style="65" customWidth="1"/>
    <col min="15619" max="15619" width="9.85546875" style="65" bestFit="1" customWidth="1"/>
    <col min="15620" max="15620" width="15.5703125" style="65" customWidth="1"/>
    <col min="15621" max="15621" width="11.140625" style="65" bestFit="1" customWidth="1"/>
    <col min="15622" max="15622" width="14" style="65" customWidth="1"/>
    <col min="15623" max="15623" width="12" style="65" customWidth="1"/>
    <col min="15624" max="15624" width="11.85546875" style="65" bestFit="1" customWidth="1"/>
    <col min="15625" max="15625" width="7" style="65"/>
    <col min="15626" max="15626" width="28.5703125" style="65" customWidth="1"/>
    <col min="15627" max="15627" width="4.42578125" style="65" customWidth="1"/>
    <col min="15628" max="15628" width="10" style="65" customWidth="1"/>
    <col min="15629" max="15869" width="7" style="65"/>
    <col min="15870" max="15870" width="3.5703125" style="65" customWidth="1"/>
    <col min="15871" max="15871" width="24.140625" style="65" customWidth="1"/>
    <col min="15872" max="15872" width="54.7109375" style="65" customWidth="1"/>
    <col min="15873" max="15873" width="18.28515625" style="65" customWidth="1"/>
    <col min="15874" max="15874" width="7" style="65" customWidth="1"/>
    <col min="15875" max="15875" width="9.85546875" style="65" bestFit="1" customWidth="1"/>
    <col min="15876" max="15876" width="15.5703125" style="65" customWidth="1"/>
    <col min="15877" max="15877" width="11.140625" style="65" bestFit="1" customWidth="1"/>
    <col min="15878" max="15878" width="14" style="65" customWidth="1"/>
    <col min="15879" max="15879" width="12" style="65" customWidth="1"/>
    <col min="15880" max="15880" width="11.85546875" style="65" bestFit="1" customWidth="1"/>
    <col min="15881" max="15881" width="7" style="65"/>
    <col min="15882" max="15882" width="28.5703125" style="65" customWidth="1"/>
    <col min="15883" max="15883" width="4.42578125" style="65" customWidth="1"/>
    <col min="15884" max="15884" width="10" style="65" customWidth="1"/>
    <col min="15885" max="16125" width="7" style="65"/>
    <col min="16126" max="16126" width="3.5703125" style="65" customWidth="1"/>
    <col min="16127" max="16127" width="24.140625" style="65" customWidth="1"/>
    <col min="16128" max="16128" width="54.7109375" style="65" customWidth="1"/>
    <col min="16129" max="16129" width="18.28515625" style="65" customWidth="1"/>
    <col min="16130" max="16130" width="7" style="65" customWidth="1"/>
    <col min="16131" max="16131" width="9.85546875" style="65" bestFit="1" customWidth="1"/>
    <col min="16132" max="16132" width="15.5703125" style="65" customWidth="1"/>
    <col min="16133" max="16133" width="11.140625" style="65" bestFit="1" customWidth="1"/>
    <col min="16134" max="16134" width="14" style="65" customWidth="1"/>
    <col min="16135" max="16135" width="12" style="65" customWidth="1"/>
    <col min="16136" max="16136" width="11.85546875" style="65" bestFit="1" customWidth="1"/>
    <col min="16137" max="16137" width="7" style="65"/>
    <col min="16138" max="16138" width="28.5703125" style="65" customWidth="1"/>
    <col min="16139" max="16139" width="4.42578125" style="65" customWidth="1"/>
    <col min="16140" max="16140" width="10" style="65" customWidth="1"/>
    <col min="16141" max="16384" width="7" style="65"/>
  </cols>
  <sheetData>
    <row r="1" spans="1:218" ht="14.25">
      <c r="A1" s="382" t="s">
        <v>2</v>
      </c>
    </row>
    <row r="2" spans="1:218" ht="14.25">
      <c r="A2" s="67"/>
    </row>
    <row r="3" spans="1:218" ht="21" customHeight="1">
      <c r="A3" s="359" t="str">
        <f>'1-Inschrijfstaat'!A3</f>
        <v>Naam opdrachtgever</v>
      </c>
      <c r="B3" s="494" t="str">
        <f>'1-Inschrijfstaat'!B3</f>
        <v>GVB Infra B.V.</v>
      </c>
    </row>
    <row r="4" spans="1:218" ht="21" customHeight="1">
      <c r="A4" s="359" t="str">
        <f>'1-Inschrijfstaat'!A4</f>
        <v>Calculatie onderdeel</v>
      </c>
      <c r="B4" s="494" t="str">
        <f ca="1">MID(CELL("bestandsnaam",$B$10),SEARCH("]",CELL("bestandsnaam",$B$10),1)+1,256)</f>
        <v>13b-Afroep RVS kraaiennest</v>
      </c>
    </row>
    <row r="5" spans="1:218" ht="17.25">
      <c r="A5" s="359" t="str">
        <f>'13a- Afroepprijs'!A5</f>
        <v>Gebouw/plaats</v>
      </c>
      <c r="B5" s="494" t="str">
        <f>'1-Inschrijfstaat'!B5</f>
        <v>Diverse</v>
      </c>
    </row>
    <row r="6" spans="1:218" ht="17.25">
      <c r="A6" s="359" t="str">
        <f>'13a- Afroepprijs'!A6</f>
        <v>Besteknummer</v>
      </c>
      <c r="B6" s="494" t="str">
        <f>'1-Inschrijfstaat'!B6</f>
        <v>2021-03</v>
      </c>
    </row>
    <row r="7" spans="1:218" ht="17.25">
      <c r="A7" s="359" t="str">
        <f>'13a- Afroepprijs'!A7</f>
        <v>Naam leverancier</v>
      </c>
      <c r="B7" s="494" t="str">
        <f>'1-Inschrijfstaat'!B7:D7</f>
        <v>Naam dienstverlener</v>
      </c>
    </row>
    <row r="8" spans="1:218" ht="16.5">
      <c r="A8" s="359" t="str">
        <f>'13a- Afroepprijs'!A8</f>
        <v>Prijspeil</v>
      </c>
      <c r="B8" s="15" t="str">
        <f>'1-Inschrijfstaat'!B8</f>
        <v>1 juni 2021</v>
      </c>
    </row>
    <row r="9" spans="1:218" ht="16.5">
      <c r="A9" s="359" t="str">
        <f>'13a- Afroepprijs'!A9</f>
        <v>Perceel</v>
      </c>
      <c r="B9" s="68" t="str">
        <f>'1-Inschrijfstaat'!B9</f>
        <v>2 Technische schoonmaak</v>
      </c>
    </row>
    <row r="10" spans="1:218" ht="17.25">
      <c r="A10" s="370" t="s">
        <v>1087</v>
      </c>
      <c r="B10" s="52" t="s">
        <v>2068</v>
      </c>
      <c r="C10" s="504"/>
      <c r="D10" s="504"/>
      <c r="E10" s="504"/>
      <c r="F10" s="504"/>
      <c r="G10" s="504"/>
    </row>
    <row r="11" spans="1:218" ht="17.25">
      <c r="A11" s="51"/>
      <c r="B11" s="92"/>
    </row>
    <row r="12" spans="1:218" ht="12" customHeight="1">
      <c r="A12" s="69"/>
      <c r="B12" s="69"/>
      <c r="C12" s="69"/>
      <c r="D12" s="70"/>
      <c r="E12" s="70"/>
    </row>
    <row r="13" spans="1:218" ht="25.5">
      <c r="A13" s="386" t="s">
        <v>1711</v>
      </c>
      <c r="B13" s="368" t="s">
        <v>2061</v>
      </c>
      <c r="C13" s="387" t="s">
        <v>1708</v>
      </c>
      <c r="I13" s="71"/>
      <c r="J13" s="71"/>
      <c r="K13" s="71"/>
      <c r="L13" s="72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71"/>
      <c r="HB13" s="71"/>
      <c r="HC13" s="71"/>
      <c r="HD13" s="71"/>
      <c r="HE13" s="71"/>
      <c r="HF13" s="71"/>
      <c r="HG13" s="71"/>
      <c r="HH13" s="71"/>
      <c r="HI13" s="71"/>
      <c r="HJ13" s="71"/>
    </row>
    <row r="14" spans="1:218" ht="14.25">
      <c r="A14" s="73" t="s">
        <v>1709</v>
      </c>
      <c r="B14" s="605" t="s">
        <v>2062</v>
      </c>
      <c r="C14" s="505">
        <v>0</v>
      </c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</row>
    <row r="15" spans="1:218" ht="14.25">
      <c r="A15" s="73" t="s">
        <v>1709</v>
      </c>
      <c r="B15" s="605" t="s">
        <v>2063</v>
      </c>
      <c r="C15" s="505">
        <v>0</v>
      </c>
      <c r="D15" s="70"/>
      <c r="E15" s="70"/>
      <c r="I15" s="71"/>
      <c r="J15" s="71"/>
      <c r="K15" s="71"/>
      <c r="L15" s="72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</row>
    <row r="16" spans="1:218" ht="14.25">
      <c r="A16" s="73" t="s">
        <v>1710</v>
      </c>
      <c r="B16" s="605" t="s">
        <v>2062</v>
      </c>
      <c r="C16" s="505">
        <v>0</v>
      </c>
      <c r="D16" s="70"/>
      <c r="E16" s="70"/>
      <c r="I16" s="71"/>
      <c r="J16" s="71"/>
      <c r="K16" s="71"/>
      <c r="L16" s="72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</row>
    <row r="17" spans="1:218" ht="14.25">
      <c r="A17" s="73" t="s">
        <v>1710</v>
      </c>
      <c r="B17" s="605" t="s">
        <v>2063</v>
      </c>
      <c r="C17" s="505">
        <v>0</v>
      </c>
      <c r="D17" s="70"/>
      <c r="E17" s="70"/>
      <c r="I17" s="71"/>
      <c r="J17" s="71"/>
      <c r="K17" s="71"/>
      <c r="L17" s="72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</row>
    <row r="19" spans="1:218" ht="14.25">
      <c r="B19" s="25"/>
    </row>
    <row r="20" spans="1:218" ht="25.5">
      <c r="A20" s="501" t="s">
        <v>1368</v>
      </c>
      <c r="B20" s="502" t="s">
        <v>1126</v>
      </c>
      <c r="C20" s="502" t="s">
        <v>1099</v>
      </c>
      <c r="D20" s="502" t="s">
        <v>1390</v>
      </c>
      <c r="E20" s="502" t="s">
        <v>1100</v>
      </c>
      <c r="F20" s="502" t="s">
        <v>1367</v>
      </c>
      <c r="G20" s="610" t="s">
        <v>1708</v>
      </c>
      <c r="H20" s="503" t="s">
        <v>1127</v>
      </c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</row>
    <row r="21" spans="1:218">
      <c r="A21" s="74" t="s">
        <v>1129</v>
      </c>
      <c r="B21" s="75" t="s">
        <v>1130</v>
      </c>
      <c r="C21" s="76" t="s">
        <v>1131</v>
      </c>
      <c r="D21" s="506">
        <v>0</v>
      </c>
      <c r="E21" s="93">
        <v>560</v>
      </c>
      <c r="F21" s="94">
        <v>1</v>
      </c>
      <c r="G21" s="94">
        <f>C14</f>
        <v>0</v>
      </c>
      <c r="H21" s="83">
        <f t="shared" ref="H21:H23" si="0">F21*G21</f>
        <v>0</v>
      </c>
      <c r="I21" s="71"/>
      <c r="J21" s="71"/>
      <c r="K21" s="71"/>
      <c r="L21" s="72"/>
      <c r="M21" s="71"/>
    </row>
    <row r="22" spans="1:218">
      <c r="A22" s="74" t="s">
        <v>1129</v>
      </c>
      <c r="B22" s="75" t="s">
        <v>1132</v>
      </c>
      <c r="C22" s="76" t="s">
        <v>1131</v>
      </c>
      <c r="D22" s="506">
        <v>0</v>
      </c>
      <c r="E22" s="93">
        <v>560</v>
      </c>
      <c r="F22" s="94">
        <f>E22*D22</f>
        <v>0</v>
      </c>
      <c r="G22" s="94">
        <f>C14</f>
        <v>0</v>
      </c>
      <c r="H22" s="83">
        <f t="shared" si="0"/>
        <v>0</v>
      </c>
      <c r="M22" s="71"/>
    </row>
    <row r="23" spans="1:218">
      <c r="A23" s="74" t="s">
        <v>1129</v>
      </c>
      <c r="B23" s="75" t="s">
        <v>1133</v>
      </c>
      <c r="C23" s="76" t="s">
        <v>1131</v>
      </c>
      <c r="D23" s="506">
        <v>0</v>
      </c>
      <c r="E23" s="93">
        <v>665</v>
      </c>
      <c r="F23" s="94">
        <f>E23*D23</f>
        <v>0</v>
      </c>
      <c r="G23" s="94">
        <f>C14</f>
        <v>0</v>
      </c>
      <c r="H23" s="83">
        <f t="shared" si="0"/>
        <v>0</v>
      </c>
      <c r="I23" s="71"/>
      <c r="J23" s="71"/>
      <c r="K23" s="71"/>
      <c r="L23" s="72"/>
      <c r="M23" s="71"/>
    </row>
    <row r="24" spans="1:218">
      <c r="A24" s="74"/>
      <c r="B24" s="75"/>
      <c r="C24" s="76"/>
      <c r="D24" s="95"/>
      <c r="E24" s="93"/>
      <c r="F24" s="96"/>
      <c r="G24" s="611"/>
      <c r="H24" s="79"/>
      <c r="M24" s="71"/>
    </row>
    <row r="25" spans="1:218">
      <c r="A25" s="74" t="s">
        <v>1134</v>
      </c>
      <c r="B25" s="75" t="s">
        <v>1135</v>
      </c>
      <c r="C25" s="76" t="s">
        <v>1131</v>
      </c>
      <c r="D25" s="507">
        <v>0</v>
      </c>
      <c r="E25" s="93">
        <v>320</v>
      </c>
      <c r="F25" s="78">
        <f>E25*D25</f>
        <v>0</v>
      </c>
      <c r="G25" s="94">
        <f>C15</f>
        <v>0</v>
      </c>
      <c r="H25" s="83">
        <f t="shared" ref="H25:H28" si="1">F25*G25</f>
        <v>0</v>
      </c>
      <c r="I25" s="71"/>
      <c r="J25" s="71"/>
      <c r="K25" s="71"/>
      <c r="L25" s="72"/>
      <c r="M25" s="71"/>
    </row>
    <row r="26" spans="1:218">
      <c r="A26" s="74" t="s">
        <v>1134</v>
      </c>
      <c r="B26" s="75" t="s">
        <v>1136</v>
      </c>
      <c r="C26" s="76" t="s">
        <v>1131</v>
      </c>
      <c r="D26" s="507">
        <v>0</v>
      </c>
      <c r="E26" s="93">
        <v>320</v>
      </c>
      <c r="F26" s="78">
        <f>E26*D26</f>
        <v>0</v>
      </c>
      <c r="G26" s="94">
        <f>C15</f>
        <v>0</v>
      </c>
      <c r="H26" s="83">
        <f t="shared" si="1"/>
        <v>0</v>
      </c>
      <c r="I26" s="71"/>
      <c r="J26" s="71"/>
      <c r="M26" s="71"/>
    </row>
    <row r="27" spans="1:218">
      <c r="A27" s="74" t="s">
        <v>1134</v>
      </c>
      <c r="B27" s="75" t="s">
        <v>1137</v>
      </c>
      <c r="C27" s="76" t="s">
        <v>1131</v>
      </c>
      <c r="D27" s="507">
        <v>0</v>
      </c>
      <c r="E27" s="93">
        <v>22</v>
      </c>
      <c r="F27" s="78">
        <f>E27*D27</f>
        <v>0</v>
      </c>
      <c r="G27" s="94">
        <f>C15</f>
        <v>0</v>
      </c>
      <c r="H27" s="83">
        <f t="shared" si="1"/>
        <v>0</v>
      </c>
      <c r="I27" s="71"/>
      <c r="J27" s="71"/>
      <c r="K27" s="71"/>
      <c r="L27" s="72"/>
      <c r="M27" s="71"/>
    </row>
    <row r="28" spans="1:218">
      <c r="A28" s="74" t="s">
        <v>1134</v>
      </c>
      <c r="B28" s="75" t="s">
        <v>1138</v>
      </c>
      <c r="C28" s="76" t="s">
        <v>1131</v>
      </c>
      <c r="D28" s="507">
        <v>0</v>
      </c>
      <c r="E28" s="93">
        <v>22</v>
      </c>
      <c r="F28" s="78">
        <f>E28*D28</f>
        <v>0</v>
      </c>
      <c r="G28" s="94">
        <f>C15</f>
        <v>0</v>
      </c>
      <c r="H28" s="83">
        <f t="shared" si="1"/>
        <v>0</v>
      </c>
      <c r="I28" s="71"/>
      <c r="J28" s="71"/>
      <c r="M28" s="71"/>
    </row>
    <row r="29" spans="1:218">
      <c r="A29" s="74"/>
      <c r="B29" s="75"/>
      <c r="C29" s="75"/>
      <c r="D29" s="80"/>
      <c r="E29" s="81"/>
      <c r="F29" s="82"/>
      <c r="G29" s="612"/>
      <c r="H29" s="83"/>
      <c r="I29" s="71"/>
      <c r="J29" s="71"/>
      <c r="K29" s="71"/>
      <c r="L29" s="72"/>
      <c r="M29" s="71"/>
    </row>
    <row r="30" spans="1:218" ht="25.5">
      <c r="A30" s="501"/>
      <c r="B30" s="502" t="s">
        <v>1379</v>
      </c>
      <c r="C30" s="502" t="s">
        <v>1099</v>
      </c>
      <c r="D30" s="502" t="s">
        <v>1100</v>
      </c>
      <c r="E30" s="502" t="s">
        <v>1128</v>
      </c>
      <c r="F30" s="502"/>
      <c r="G30" s="610"/>
      <c r="H30" s="503" t="s">
        <v>1127</v>
      </c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71"/>
      <c r="HB30" s="71"/>
      <c r="HC30" s="71"/>
      <c r="HD30" s="71"/>
      <c r="HE30" s="71"/>
      <c r="HF30" s="71"/>
      <c r="HG30" s="71"/>
      <c r="HH30" s="71"/>
      <c r="HI30" s="71"/>
    </row>
    <row r="31" spans="1:218">
      <c r="A31" s="74"/>
      <c r="B31" s="97" t="s">
        <v>1380</v>
      </c>
      <c r="C31" s="98" t="s">
        <v>1378</v>
      </c>
      <c r="D31" s="508" t="s">
        <v>1371</v>
      </c>
      <c r="E31" s="668">
        <v>0</v>
      </c>
      <c r="F31" s="84"/>
      <c r="G31" s="94"/>
      <c r="H31" s="83">
        <f>E31*D31</f>
        <v>0</v>
      </c>
      <c r="I31" s="71"/>
      <c r="J31" s="71"/>
      <c r="K31" s="71"/>
      <c r="L31" s="72"/>
    </row>
    <row r="32" spans="1:218">
      <c r="A32" s="74"/>
      <c r="B32" s="97" t="s">
        <v>1381</v>
      </c>
      <c r="C32" s="98" t="s">
        <v>1378</v>
      </c>
      <c r="D32" s="508" t="s">
        <v>1371</v>
      </c>
      <c r="E32" s="668">
        <v>0</v>
      </c>
      <c r="F32" s="84"/>
      <c r="G32" s="94"/>
      <c r="H32" s="83">
        <f t="shared" ref="H32:H33" si="2">E32*D32</f>
        <v>0</v>
      </c>
    </row>
    <row r="33" spans="1:217">
      <c r="A33" s="74"/>
      <c r="B33" s="97" t="s">
        <v>1382</v>
      </c>
      <c r="C33" s="98" t="s">
        <v>1378</v>
      </c>
      <c r="D33" s="508" t="s">
        <v>1371</v>
      </c>
      <c r="E33" s="668">
        <v>0</v>
      </c>
      <c r="F33" s="84"/>
      <c r="G33" s="94"/>
      <c r="H33" s="83">
        <f t="shared" si="2"/>
        <v>0</v>
      </c>
      <c r="I33" s="71"/>
      <c r="J33" s="71"/>
      <c r="K33" s="71"/>
      <c r="L33" s="72"/>
    </row>
    <row r="34" spans="1:217">
      <c r="A34" s="74"/>
      <c r="B34" s="75"/>
      <c r="C34" s="75"/>
      <c r="D34" s="80"/>
      <c r="E34" s="81"/>
      <c r="F34" s="82"/>
      <c r="G34" s="612"/>
      <c r="H34" s="83"/>
      <c r="M34" s="71"/>
    </row>
    <row r="35" spans="1:217" ht="25.5">
      <c r="A35" s="501"/>
      <c r="B35" s="502" t="s">
        <v>1383</v>
      </c>
      <c r="C35" s="502" t="s">
        <v>1099</v>
      </c>
      <c r="D35" s="502" t="s">
        <v>1100</v>
      </c>
      <c r="E35" s="502" t="s">
        <v>1128</v>
      </c>
      <c r="F35" s="502"/>
      <c r="G35" s="610"/>
      <c r="H35" s="503" t="s">
        <v>1127</v>
      </c>
      <c r="I35" s="71"/>
      <c r="J35" s="71"/>
      <c r="K35" s="71"/>
      <c r="L35" s="72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</row>
    <row r="36" spans="1:217">
      <c r="A36" s="74"/>
      <c r="B36" s="509"/>
      <c r="C36" s="510"/>
      <c r="D36" s="510" t="s">
        <v>1371</v>
      </c>
      <c r="E36" s="668">
        <v>0</v>
      </c>
      <c r="F36" s="84"/>
      <c r="G36" s="94"/>
      <c r="H36" s="83">
        <f t="shared" ref="H36:H41" si="3">E36*D36</f>
        <v>0</v>
      </c>
    </row>
    <row r="37" spans="1:217">
      <c r="A37" s="74"/>
      <c r="B37" s="509"/>
      <c r="C37" s="510"/>
      <c r="D37" s="510" t="s">
        <v>1371</v>
      </c>
      <c r="E37" s="668">
        <v>0</v>
      </c>
      <c r="F37" s="84"/>
      <c r="G37" s="94"/>
      <c r="H37" s="83">
        <f t="shared" si="3"/>
        <v>0</v>
      </c>
      <c r="I37" s="71"/>
      <c r="J37" s="71"/>
      <c r="K37" s="71"/>
      <c r="L37" s="72"/>
    </row>
    <row r="38" spans="1:217">
      <c r="A38" s="74"/>
      <c r="B38" s="509"/>
      <c r="C38" s="510"/>
      <c r="D38" s="510" t="s">
        <v>1371</v>
      </c>
      <c r="E38" s="511">
        <v>0</v>
      </c>
      <c r="F38" s="84"/>
      <c r="G38" s="94"/>
      <c r="H38" s="83">
        <f t="shared" si="3"/>
        <v>0</v>
      </c>
    </row>
    <row r="39" spans="1:217">
      <c r="A39" s="74"/>
      <c r="B39" s="509"/>
      <c r="C39" s="510"/>
      <c r="D39" s="510" t="s">
        <v>1371</v>
      </c>
      <c r="E39" s="511">
        <v>0</v>
      </c>
      <c r="F39" s="84"/>
      <c r="G39" s="94"/>
      <c r="H39" s="83">
        <f t="shared" si="3"/>
        <v>0</v>
      </c>
      <c r="I39" s="71"/>
      <c r="J39" s="71"/>
      <c r="K39" s="71"/>
      <c r="L39" s="72"/>
    </row>
    <row r="40" spans="1:217">
      <c r="A40" s="74"/>
      <c r="B40" s="509"/>
      <c r="C40" s="510"/>
      <c r="D40" s="510" t="s">
        <v>1371</v>
      </c>
      <c r="E40" s="511">
        <v>0</v>
      </c>
      <c r="F40" s="84"/>
      <c r="G40" s="94"/>
      <c r="H40" s="83">
        <f t="shared" si="3"/>
        <v>0</v>
      </c>
    </row>
    <row r="41" spans="1:217">
      <c r="A41" s="74"/>
      <c r="B41" s="509"/>
      <c r="C41" s="509"/>
      <c r="D41" s="510" t="s">
        <v>1371</v>
      </c>
      <c r="E41" s="511">
        <v>0</v>
      </c>
      <c r="F41" s="84"/>
      <c r="G41" s="94"/>
      <c r="H41" s="83">
        <f t="shared" si="3"/>
        <v>0</v>
      </c>
      <c r="I41" s="71"/>
      <c r="J41" s="71"/>
      <c r="K41" s="71"/>
      <c r="L41" s="72"/>
    </row>
    <row r="42" spans="1:217">
      <c r="A42" s="85"/>
      <c r="B42" s="86"/>
      <c r="C42" s="86"/>
      <c r="D42" s="87"/>
      <c r="E42" s="88"/>
      <c r="F42" s="89"/>
      <c r="G42" s="89"/>
      <c r="H42" s="83"/>
    </row>
    <row r="43" spans="1:217" ht="25.5">
      <c r="A43" s="501" t="s">
        <v>1369</v>
      </c>
      <c r="B43" s="502" t="s">
        <v>1102</v>
      </c>
      <c r="C43" s="368"/>
      <c r="D43" s="502"/>
      <c r="E43" s="368" t="s">
        <v>2061</v>
      </c>
      <c r="F43" s="502" t="s">
        <v>1367</v>
      </c>
      <c r="G43" s="610" t="s">
        <v>1708</v>
      </c>
      <c r="H43" s="503" t="s">
        <v>1127</v>
      </c>
      <c r="I43" s="71"/>
      <c r="J43" s="71"/>
      <c r="K43" s="71"/>
      <c r="L43" s="72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71"/>
      <c r="HB43" s="71"/>
      <c r="HC43" s="71"/>
      <c r="HD43" s="71"/>
      <c r="HE43" s="71"/>
      <c r="HF43" s="71"/>
      <c r="HG43" s="71"/>
      <c r="HH43" s="71"/>
      <c r="HI43" s="71"/>
    </row>
    <row r="44" spans="1:217" ht="14.25">
      <c r="A44" s="74" t="s">
        <v>1139</v>
      </c>
      <c r="B44" s="75" t="s">
        <v>1363</v>
      </c>
      <c r="C44" s="605"/>
      <c r="D44" s="80"/>
      <c r="E44" s="667" t="s">
        <v>2062</v>
      </c>
      <c r="F44" s="512">
        <v>0</v>
      </c>
      <c r="G44" s="94">
        <f>C16</f>
        <v>0</v>
      </c>
      <c r="H44" s="83">
        <f>F44*G44</f>
        <v>0</v>
      </c>
    </row>
    <row r="45" spans="1:217" ht="14.25">
      <c r="A45" s="74" t="s">
        <v>1139</v>
      </c>
      <c r="B45" s="75" t="s">
        <v>1363</v>
      </c>
      <c r="C45" s="605"/>
      <c r="D45" s="80"/>
      <c r="E45" s="667" t="s">
        <v>2063</v>
      </c>
      <c r="F45" s="512">
        <v>0</v>
      </c>
      <c r="G45" s="94">
        <f>C17</f>
        <v>0</v>
      </c>
      <c r="H45" s="83">
        <f>F45*G45</f>
        <v>0</v>
      </c>
    </row>
    <row r="46" spans="1:217">
      <c r="F46" s="90" t="s">
        <v>5</v>
      </c>
      <c r="G46" s="613"/>
      <c r="H46" s="91">
        <f>SUM(H21:H45)</f>
        <v>0</v>
      </c>
      <c r="I46" s="71"/>
      <c r="J46" s="71"/>
      <c r="K46" s="71"/>
      <c r="L46" s="72"/>
    </row>
    <row r="47" spans="1:217">
      <c r="A47" s="503" t="s">
        <v>1387</v>
      </c>
    </row>
    <row r="48" spans="1:217">
      <c r="A48" s="99" t="s">
        <v>1384</v>
      </c>
      <c r="I48" s="71"/>
      <c r="J48" s="71"/>
      <c r="K48" s="71"/>
      <c r="L48" s="72"/>
    </row>
    <row r="49" spans="1:1">
      <c r="A49" s="99" t="s">
        <v>1389</v>
      </c>
    </row>
    <row r="50" spans="1:1">
      <c r="A50" s="99" t="s">
        <v>1385</v>
      </c>
    </row>
    <row r="51" spans="1:1">
      <c r="A51" s="99" t="s">
        <v>1386</v>
      </c>
    </row>
    <row r="52" spans="1:1">
      <c r="A52" s="99" t="s">
        <v>1388</v>
      </c>
    </row>
  </sheetData>
  <pageMargins left="0.7" right="0.7" top="0.75" bottom="0.75" header="0.3" footer="0.3"/>
  <pageSetup paperSize="9" scale="6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 tint="-0.14999847407452621"/>
  </sheetPr>
  <dimension ref="A1:HK43"/>
  <sheetViews>
    <sheetView showGridLines="0" zoomScaleNormal="100" workbookViewId="0">
      <pane ySplit="11" topLeftCell="A12" activePane="bottomLeft" state="frozen"/>
      <selection pane="bottomLeft" activeCell="B29" sqref="B29"/>
    </sheetView>
  </sheetViews>
  <sheetFormatPr defaultColWidth="7" defaultRowHeight="13.5"/>
  <cols>
    <col min="1" max="1" width="26.140625" style="66" bestFit="1" customWidth="1"/>
    <col min="2" max="2" width="54.7109375" style="65" customWidth="1"/>
    <col min="3" max="3" width="9.5703125" style="65" customWidth="1"/>
    <col min="4" max="4" width="9.28515625" style="65" customWidth="1"/>
    <col min="5" max="5" width="14.85546875" style="65" customWidth="1"/>
    <col min="6" max="7" width="12.140625" style="65" customWidth="1"/>
    <col min="8" max="8" width="14" style="65" customWidth="1"/>
    <col min="9" max="9" width="11.85546875" style="65" bestFit="1" customWidth="1"/>
    <col min="10" max="10" width="13.5703125" style="65" customWidth="1"/>
    <col min="11" max="11" width="28.5703125" style="65" customWidth="1"/>
    <col min="12" max="12" width="4.42578125" style="65" customWidth="1"/>
    <col min="13" max="13" width="10" style="66" customWidth="1"/>
    <col min="14" max="254" width="7" style="65"/>
    <col min="255" max="255" width="3.5703125" style="65" customWidth="1"/>
    <col min="256" max="256" width="24.140625" style="65" customWidth="1"/>
    <col min="257" max="257" width="54.7109375" style="65" customWidth="1"/>
    <col min="258" max="258" width="18.28515625" style="65" customWidth="1"/>
    <col min="259" max="259" width="7" style="65" customWidth="1"/>
    <col min="260" max="260" width="9.85546875" style="65" bestFit="1" customWidth="1"/>
    <col min="261" max="261" width="15.5703125" style="65" customWidth="1"/>
    <col min="262" max="262" width="11.140625" style="65" bestFit="1" customWidth="1"/>
    <col min="263" max="263" width="14" style="65" customWidth="1"/>
    <col min="264" max="264" width="12" style="65" customWidth="1"/>
    <col min="265" max="265" width="11.85546875" style="65" bestFit="1" customWidth="1"/>
    <col min="266" max="266" width="7" style="65"/>
    <col min="267" max="267" width="28.5703125" style="65" customWidth="1"/>
    <col min="268" max="268" width="4.42578125" style="65" customWidth="1"/>
    <col min="269" max="269" width="10" style="65" customWidth="1"/>
    <col min="270" max="510" width="7" style="65"/>
    <col min="511" max="511" width="3.5703125" style="65" customWidth="1"/>
    <col min="512" max="512" width="24.140625" style="65" customWidth="1"/>
    <col min="513" max="513" width="54.7109375" style="65" customWidth="1"/>
    <col min="514" max="514" width="18.28515625" style="65" customWidth="1"/>
    <col min="515" max="515" width="7" style="65" customWidth="1"/>
    <col min="516" max="516" width="9.85546875" style="65" bestFit="1" customWidth="1"/>
    <col min="517" max="517" width="15.5703125" style="65" customWidth="1"/>
    <col min="518" max="518" width="11.140625" style="65" bestFit="1" customWidth="1"/>
    <col min="519" max="519" width="14" style="65" customWidth="1"/>
    <col min="520" max="520" width="12" style="65" customWidth="1"/>
    <col min="521" max="521" width="11.85546875" style="65" bestFit="1" customWidth="1"/>
    <col min="522" max="522" width="7" style="65"/>
    <col min="523" max="523" width="28.5703125" style="65" customWidth="1"/>
    <col min="524" max="524" width="4.42578125" style="65" customWidth="1"/>
    <col min="525" max="525" width="10" style="65" customWidth="1"/>
    <col min="526" max="766" width="7" style="65"/>
    <col min="767" max="767" width="3.5703125" style="65" customWidth="1"/>
    <col min="768" max="768" width="24.140625" style="65" customWidth="1"/>
    <col min="769" max="769" width="54.7109375" style="65" customWidth="1"/>
    <col min="770" max="770" width="18.28515625" style="65" customWidth="1"/>
    <col min="771" max="771" width="7" style="65" customWidth="1"/>
    <col min="772" max="772" width="9.85546875" style="65" bestFit="1" customWidth="1"/>
    <col min="773" max="773" width="15.5703125" style="65" customWidth="1"/>
    <col min="774" max="774" width="11.140625" style="65" bestFit="1" customWidth="1"/>
    <col min="775" max="775" width="14" style="65" customWidth="1"/>
    <col min="776" max="776" width="12" style="65" customWidth="1"/>
    <col min="777" max="777" width="11.85546875" style="65" bestFit="1" customWidth="1"/>
    <col min="778" max="778" width="7" style="65"/>
    <col min="779" max="779" width="28.5703125" style="65" customWidth="1"/>
    <col min="780" max="780" width="4.42578125" style="65" customWidth="1"/>
    <col min="781" max="781" width="10" style="65" customWidth="1"/>
    <col min="782" max="1022" width="7" style="65"/>
    <col min="1023" max="1023" width="3.5703125" style="65" customWidth="1"/>
    <col min="1024" max="1024" width="24.140625" style="65" customWidth="1"/>
    <col min="1025" max="1025" width="54.7109375" style="65" customWidth="1"/>
    <col min="1026" max="1026" width="18.28515625" style="65" customWidth="1"/>
    <col min="1027" max="1027" width="7" style="65" customWidth="1"/>
    <col min="1028" max="1028" width="9.85546875" style="65" bestFit="1" customWidth="1"/>
    <col min="1029" max="1029" width="15.5703125" style="65" customWidth="1"/>
    <col min="1030" max="1030" width="11.140625" style="65" bestFit="1" customWidth="1"/>
    <col min="1031" max="1031" width="14" style="65" customWidth="1"/>
    <col min="1032" max="1032" width="12" style="65" customWidth="1"/>
    <col min="1033" max="1033" width="11.85546875" style="65" bestFit="1" customWidth="1"/>
    <col min="1034" max="1034" width="7" style="65"/>
    <col min="1035" max="1035" width="28.5703125" style="65" customWidth="1"/>
    <col min="1036" max="1036" width="4.42578125" style="65" customWidth="1"/>
    <col min="1037" max="1037" width="10" style="65" customWidth="1"/>
    <col min="1038" max="1278" width="7" style="65"/>
    <col min="1279" max="1279" width="3.5703125" style="65" customWidth="1"/>
    <col min="1280" max="1280" width="24.140625" style="65" customWidth="1"/>
    <col min="1281" max="1281" width="54.7109375" style="65" customWidth="1"/>
    <col min="1282" max="1282" width="18.28515625" style="65" customWidth="1"/>
    <col min="1283" max="1283" width="7" style="65" customWidth="1"/>
    <col min="1284" max="1284" width="9.85546875" style="65" bestFit="1" customWidth="1"/>
    <col min="1285" max="1285" width="15.5703125" style="65" customWidth="1"/>
    <col min="1286" max="1286" width="11.140625" style="65" bestFit="1" customWidth="1"/>
    <col min="1287" max="1287" width="14" style="65" customWidth="1"/>
    <col min="1288" max="1288" width="12" style="65" customWidth="1"/>
    <col min="1289" max="1289" width="11.85546875" style="65" bestFit="1" customWidth="1"/>
    <col min="1290" max="1290" width="7" style="65"/>
    <col min="1291" max="1291" width="28.5703125" style="65" customWidth="1"/>
    <col min="1292" max="1292" width="4.42578125" style="65" customWidth="1"/>
    <col min="1293" max="1293" width="10" style="65" customWidth="1"/>
    <col min="1294" max="1534" width="7" style="65"/>
    <col min="1535" max="1535" width="3.5703125" style="65" customWidth="1"/>
    <col min="1536" max="1536" width="24.140625" style="65" customWidth="1"/>
    <col min="1537" max="1537" width="54.7109375" style="65" customWidth="1"/>
    <col min="1538" max="1538" width="18.28515625" style="65" customWidth="1"/>
    <col min="1539" max="1539" width="7" style="65" customWidth="1"/>
    <col min="1540" max="1540" width="9.85546875" style="65" bestFit="1" customWidth="1"/>
    <col min="1541" max="1541" width="15.5703125" style="65" customWidth="1"/>
    <col min="1542" max="1542" width="11.140625" style="65" bestFit="1" customWidth="1"/>
    <col min="1543" max="1543" width="14" style="65" customWidth="1"/>
    <col min="1544" max="1544" width="12" style="65" customWidth="1"/>
    <col min="1545" max="1545" width="11.85546875" style="65" bestFit="1" customWidth="1"/>
    <col min="1546" max="1546" width="7" style="65"/>
    <col min="1547" max="1547" width="28.5703125" style="65" customWidth="1"/>
    <col min="1548" max="1548" width="4.42578125" style="65" customWidth="1"/>
    <col min="1549" max="1549" width="10" style="65" customWidth="1"/>
    <col min="1550" max="1790" width="7" style="65"/>
    <col min="1791" max="1791" width="3.5703125" style="65" customWidth="1"/>
    <col min="1792" max="1792" width="24.140625" style="65" customWidth="1"/>
    <col min="1793" max="1793" width="54.7109375" style="65" customWidth="1"/>
    <col min="1794" max="1794" width="18.28515625" style="65" customWidth="1"/>
    <col min="1795" max="1795" width="7" style="65" customWidth="1"/>
    <col min="1796" max="1796" width="9.85546875" style="65" bestFit="1" customWidth="1"/>
    <col min="1797" max="1797" width="15.5703125" style="65" customWidth="1"/>
    <col min="1798" max="1798" width="11.140625" style="65" bestFit="1" customWidth="1"/>
    <col min="1799" max="1799" width="14" style="65" customWidth="1"/>
    <col min="1800" max="1800" width="12" style="65" customWidth="1"/>
    <col min="1801" max="1801" width="11.85546875" style="65" bestFit="1" customWidth="1"/>
    <col min="1802" max="1802" width="7" style="65"/>
    <col min="1803" max="1803" width="28.5703125" style="65" customWidth="1"/>
    <col min="1804" max="1804" width="4.42578125" style="65" customWidth="1"/>
    <col min="1805" max="1805" width="10" style="65" customWidth="1"/>
    <col min="1806" max="2046" width="7" style="65"/>
    <col min="2047" max="2047" width="3.5703125" style="65" customWidth="1"/>
    <col min="2048" max="2048" width="24.140625" style="65" customWidth="1"/>
    <col min="2049" max="2049" width="54.7109375" style="65" customWidth="1"/>
    <col min="2050" max="2050" width="18.28515625" style="65" customWidth="1"/>
    <col min="2051" max="2051" width="7" style="65" customWidth="1"/>
    <col min="2052" max="2052" width="9.85546875" style="65" bestFit="1" customWidth="1"/>
    <col min="2053" max="2053" width="15.5703125" style="65" customWidth="1"/>
    <col min="2054" max="2054" width="11.140625" style="65" bestFit="1" customWidth="1"/>
    <col min="2055" max="2055" width="14" style="65" customWidth="1"/>
    <col min="2056" max="2056" width="12" style="65" customWidth="1"/>
    <col min="2057" max="2057" width="11.85546875" style="65" bestFit="1" customWidth="1"/>
    <col min="2058" max="2058" width="7" style="65"/>
    <col min="2059" max="2059" width="28.5703125" style="65" customWidth="1"/>
    <col min="2060" max="2060" width="4.42578125" style="65" customWidth="1"/>
    <col min="2061" max="2061" width="10" style="65" customWidth="1"/>
    <col min="2062" max="2302" width="7" style="65"/>
    <col min="2303" max="2303" width="3.5703125" style="65" customWidth="1"/>
    <col min="2304" max="2304" width="24.140625" style="65" customWidth="1"/>
    <col min="2305" max="2305" width="54.7109375" style="65" customWidth="1"/>
    <col min="2306" max="2306" width="18.28515625" style="65" customWidth="1"/>
    <col min="2307" max="2307" width="7" style="65" customWidth="1"/>
    <col min="2308" max="2308" width="9.85546875" style="65" bestFit="1" customWidth="1"/>
    <col min="2309" max="2309" width="15.5703125" style="65" customWidth="1"/>
    <col min="2310" max="2310" width="11.140625" style="65" bestFit="1" customWidth="1"/>
    <col min="2311" max="2311" width="14" style="65" customWidth="1"/>
    <col min="2312" max="2312" width="12" style="65" customWidth="1"/>
    <col min="2313" max="2313" width="11.85546875" style="65" bestFit="1" customWidth="1"/>
    <col min="2314" max="2314" width="7" style="65"/>
    <col min="2315" max="2315" width="28.5703125" style="65" customWidth="1"/>
    <col min="2316" max="2316" width="4.42578125" style="65" customWidth="1"/>
    <col min="2317" max="2317" width="10" style="65" customWidth="1"/>
    <col min="2318" max="2558" width="7" style="65"/>
    <col min="2559" max="2559" width="3.5703125" style="65" customWidth="1"/>
    <col min="2560" max="2560" width="24.140625" style="65" customWidth="1"/>
    <col min="2561" max="2561" width="54.7109375" style="65" customWidth="1"/>
    <col min="2562" max="2562" width="18.28515625" style="65" customWidth="1"/>
    <col min="2563" max="2563" width="7" style="65" customWidth="1"/>
    <col min="2564" max="2564" width="9.85546875" style="65" bestFit="1" customWidth="1"/>
    <col min="2565" max="2565" width="15.5703125" style="65" customWidth="1"/>
    <col min="2566" max="2566" width="11.140625" style="65" bestFit="1" customWidth="1"/>
    <col min="2567" max="2567" width="14" style="65" customWidth="1"/>
    <col min="2568" max="2568" width="12" style="65" customWidth="1"/>
    <col min="2569" max="2569" width="11.85546875" style="65" bestFit="1" customWidth="1"/>
    <col min="2570" max="2570" width="7" style="65"/>
    <col min="2571" max="2571" width="28.5703125" style="65" customWidth="1"/>
    <col min="2572" max="2572" width="4.42578125" style="65" customWidth="1"/>
    <col min="2573" max="2573" width="10" style="65" customWidth="1"/>
    <col min="2574" max="2814" width="7" style="65"/>
    <col min="2815" max="2815" width="3.5703125" style="65" customWidth="1"/>
    <col min="2816" max="2816" width="24.140625" style="65" customWidth="1"/>
    <col min="2817" max="2817" width="54.7109375" style="65" customWidth="1"/>
    <col min="2818" max="2818" width="18.28515625" style="65" customWidth="1"/>
    <col min="2819" max="2819" width="7" style="65" customWidth="1"/>
    <col min="2820" max="2820" width="9.85546875" style="65" bestFit="1" customWidth="1"/>
    <col min="2821" max="2821" width="15.5703125" style="65" customWidth="1"/>
    <col min="2822" max="2822" width="11.140625" style="65" bestFit="1" customWidth="1"/>
    <col min="2823" max="2823" width="14" style="65" customWidth="1"/>
    <col min="2824" max="2824" width="12" style="65" customWidth="1"/>
    <col min="2825" max="2825" width="11.85546875" style="65" bestFit="1" customWidth="1"/>
    <col min="2826" max="2826" width="7" style="65"/>
    <col min="2827" max="2827" width="28.5703125" style="65" customWidth="1"/>
    <col min="2828" max="2828" width="4.42578125" style="65" customWidth="1"/>
    <col min="2829" max="2829" width="10" style="65" customWidth="1"/>
    <col min="2830" max="3070" width="7" style="65"/>
    <col min="3071" max="3071" width="3.5703125" style="65" customWidth="1"/>
    <col min="3072" max="3072" width="24.140625" style="65" customWidth="1"/>
    <col min="3073" max="3073" width="54.7109375" style="65" customWidth="1"/>
    <col min="3074" max="3074" width="18.28515625" style="65" customWidth="1"/>
    <col min="3075" max="3075" width="7" style="65" customWidth="1"/>
    <col min="3076" max="3076" width="9.85546875" style="65" bestFit="1" customWidth="1"/>
    <col min="3077" max="3077" width="15.5703125" style="65" customWidth="1"/>
    <col min="3078" max="3078" width="11.140625" style="65" bestFit="1" customWidth="1"/>
    <col min="3079" max="3079" width="14" style="65" customWidth="1"/>
    <col min="3080" max="3080" width="12" style="65" customWidth="1"/>
    <col min="3081" max="3081" width="11.85546875" style="65" bestFit="1" customWidth="1"/>
    <col min="3082" max="3082" width="7" style="65"/>
    <col min="3083" max="3083" width="28.5703125" style="65" customWidth="1"/>
    <col min="3084" max="3084" width="4.42578125" style="65" customWidth="1"/>
    <col min="3085" max="3085" width="10" style="65" customWidth="1"/>
    <col min="3086" max="3326" width="7" style="65"/>
    <col min="3327" max="3327" width="3.5703125" style="65" customWidth="1"/>
    <col min="3328" max="3328" width="24.140625" style="65" customWidth="1"/>
    <col min="3329" max="3329" width="54.7109375" style="65" customWidth="1"/>
    <col min="3330" max="3330" width="18.28515625" style="65" customWidth="1"/>
    <col min="3331" max="3331" width="7" style="65" customWidth="1"/>
    <col min="3332" max="3332" width="9.85546875" style="65" bestFit="1" customWidth="1"/>
    <col min="3333" max="3333" width="15.5703125" style="65" customWidth="1"/>
    <col min="3334" max="3334" width="11.140625" style="65" bestFit="1" customWidth="1"/>
    <col min="3335" max="3335" width="14" style="65" customWidth="1"/>
    <col min="3336" max="3336" width="12" style="65" customWidth="1"/>
    <col min="3337" max="3337" width="11.85546875" style="65" bestFit="1" customWidth="1"/>
    <col min="3338" max="3338" width="7" style="65"/>
    <col min="3339" max="3339" width="28.5703125" style="65" customWidth="1"/>
    <col min="3340" max="3340" width="4.42578125" style="65" customWidth="1"/>
    <col min="3341" max="3341" width="10" style="65" customWidth="1"/>
    <col min="3342" max="3582" width="7" style="65"/>
    <col min="3583" max="3583" width="3.5703125" style="65" customWidth="1"/>
    <col min="3584" max="3584" width="24.140625" style="65" customWidth="1"/>
    <col min="3585" max="3585" width="54.7109375" style="65" customWidth="1"/>
    <col min="3586" max="3586" width="18.28515625" style="65" customWidth="1"/>
    <col min="3587" max="3587" width="7" style="65" customWidth="1"/>
    <col min="3588" max="3588" width="9.85546875" style="65" bestFit="1" customWidth="1"/>
    <col min="3589" max="3589" width="15.5703125" style="65" customWidth="1"/>
    <col min="3590" max="3590" width="11.140625" style="65" bestFit="1" customWidth="1"/>
    <col min="3591" max="3591" width="14" style="65" customWidth="1"/>
    <col min="3592" max="3592" width="12" style="65" customWidth="1"/>
    <col min="3593" max="3593" width="11.85546875" style="65" bestFit="1" customWidth="1"/>
    <col min="3594" max="3594" width="7" style="65"/>
    <col min="3595" max="3595" width="28.5703125" style="65" customWidth="1"/>
    <col min="3596" max="3596" width="4.42578125" style="65" customWidth="1"/>
    <col min="3597" max="3597" width="10" style="65" customWidth="1"/>
    <col min="3598" max="3838" width="7" style="65"/>
    <col min="3839" max="3839" width="3.5703125" style="65" customWidth="1"/>
    <col min="3840" max="3840" width="24.140625" style="65" customWidth="1"/>
    <col min="3841" max="3841" width="54.7109375" style="65" customWidth="1"/>
    <col min="3842" max="3842" width="18.28515625" style="65" customWidth="1"/>
    <col min="3843" max="3843" width="7" style="65" customWidth="1"/>
    <col min="3844" max="3844" width="9.85546875" style="65" bestFit="1" customWidth="1"/>
    <col min="3845" max="3845" width="15.5703125" style="65" customWidth="1"/>
    <col min="3846" max="3846" width="11.140625" style="65" bestFit="1" customWidth="1"/>
    <col min="3847" max="3847" width="14" style="65" customWidth="1"/>
    <col min="3848" max="3848" width="12" style="65" customWidth="1"/>
    <col min="3849" max="3849" width="11.85546875" style="65" bestFit="1" customWidth="1"/>
    <col min="3850" max="3850" width="7" style="65"/>
    <col min="3851" max="3851" width="28.5703125" style="65" customWidth="1"/>
    <col min="3852" max="3852" width="4.42578125" style="65" customWidth="1"/>
    <col min="3853" max="3853" width="10" style="65" customWidth="1"/>
    <col min="3854" max="4094" width="7" style="65"/>
    <col min="4095" max="4095" width="3.5703125" style="65" customWidth="1"/>
    <col min="4096" max="4096" width="24.140625" style="65" customWidth="1"/>
    <col min="4097" max="4097" width="54.7109375" style="65" customWidth="1"/>
    <col min="4098" max="4098" width="18.28515625" style="65" customWidth="1"/>
    <col min="4099" max="4099" width="7" style="65" customWidth="1"/>
    <col min="4100" max="4100" width="9.85546875" style="65" bestFit="1" customWidth="1"/>
    <col min="4101" max="4101" width="15.5703125" style="65" customWidth="1"/>
    <col min="4102" max="4102" width="11.140625" style="65" bestFit="1" customWidth="1"/>
    <col min="4103" max="4103" width="14" style="65" customWidth="1"/>
    <col min="4104" max="4104" width="12" style="65" customWidth="1"/>
    <col min="4105" max="4105" width="11.85546875" style="65" bestFit="1" customWidth="1"/>
    <col min="4106" max="4106" width="7" style="65"/>
    <col min="4107" max="4107" width="28.5703125" style="65" customWidth="1"/>
    <col min="4108" max="4108" width="4.42578125" style="65" customWidth="1"/>
    <col min="4109" max="4109" width="10" style="65" customWidth="1"/>
    <col min="4110" max="4350" width="7" style="65"/>
    <col min="4351" max="4351" width="3.5703125" style="65" customWidth="1"/>
    <col min="4352" max="4352" width="24.140625" style="65" customWidth="1"/>
    <col min="4353" max="4353" width="54.7109375" style="65" customWidth="1"/>
    <col min="4354" max="4354" width="18.28515625" style="65" customWidth="1"/>
    <col min="4355" max="4355" width="7" style="65" customWidth="1"/>
    <col min="4356" max="4356" width="9.85546875" style="65" bestFit="1" customWidth="1"/>
    <col min="4357" max="4357" width="15.5703125" style="65" customWidth="1"/>
    <col min="4358" max="4358" width="11.140625" style="65" bestFit="1" customWidth="1"/>
    <col min="4359" max="4359" width="14" style="65" customWidth="1"/>
    <col min="4360" max="4360" width="12" style="65" customWidth="1"/>
    <col min="4361" max="4361" width="11.85546875" style="65" bestFit="1" customWidth="1"/>
    <col min="4362" max="4362" width="7" style="65"/>
    <col min="4363" max="4363" width="28.5703125" style="65" customWidth="1"/>
    <col min="4364" max="4364" width="4.42578125" style="65" customWidth="1"/>
    <col min="4365" max="4365" width="10" style="65" customWidth="1"/>
    <col min="4366" max="4606" width="7" style="65"/>
    <col min="4607" max="4607" width="3.5703125" style="65" customWidth="1"/>
    <col min="4608" max="4608" width="24.140625" style="65" customWidth="1"/>
    <col min="4609" max="4609" width="54.7109375" style="65" customWidth="1"/>
    <col min="4610" max="4610" width="18.28515625" style="65" customWidth="1"/>
    <col min="4611" max="4611" width="7" style="65" customWidth="1"/>
    <col min="4612" max="4612" width="9.85546875" style="65" bestFit="1" customWidth="1"/>
    <col min="4613" max="4613" width="15.5703125" style="65" customWidth="1"/>
    <col min="4614" max="4614" width="11.140625" style="65" bestFit="1" customWidth="1"/>
    <col min="4615" max="4615" width="14" style="65" customWidth="1"/>
    <col min="4616" max="4616" width="12" style="65" customWidth="1"/>
    <col min="4617" max="4617" width="11.85546875" style="65" bestFit="1" customWidth="1"/>
    <col min="4618" max="4618" width="7" style="65"/>
    <col min="4619" max="4619" width="28.5703125" style="65" customWidth="1"/>
    <col min="4620" max="4620" width="4.42578125" style="65" customWidth="1"/>
    <col min="4621" max="4621" width="10" style="65" customWidth="1"/>
    <col min="4622" max="4862" width="7" style="65"/>
    <col min="4863" max="4863" width="3.5703125" style="65" customWidth="1"/>
    <col min="4864" max="4864" width="24.140625" style="65" customWidth="1"/>
    <col min="4865" max="4865" width="54.7109375" style="65" customWidth="1"/>
    <col min="4866" max="4866" width="18.28515625" style="65" customWidth="1"/>
    <col min="4867" max="4867" width="7" style="65" customWidth="1"/>
    <col min="4868" max="4868" width="9.85546875" style="65" bestFit="1" customWidth="1"/>
    <col min="4869" max="4869" width="15.5703125" style="65" customWidth="1"/>
    <col min="4870" max="4870" width="11.140625" style="65" bestFit="1" customWidth="1"/>
    <col min="4871" max="4871" width="14" style="65" customWidth="1"/>
    <col min="4872" max="4872" width="12" style="65" customWidth="1"/>
    <col min="4873" max="4873" width="11.85546875" style="65" bestFit="1" customWidth="1"/>
    <col min="4874" max="4874" width="7" style="65"/>
    <col min="4875" max="4875" width="28.5703125" style="65" customWidth="1"/>
    <col min="4876" max="4876" width="4.42578125" style="65" customWidth="1"/>
    <col min="4877" max="4877" width="10" style="65" customWidth="1"/>
    <col min="4878" max="5118" width="7" style="65"/>
    <col min="5119" max="5119" width="3.5703125" style="65" customWidth="1"/>
    <col min="5120" max="5120" width="24.140625" style="65" customWidth="1"/>
    <col min="5121" max="5121" width="54.7109375" style="65" customWidth="1"/>
    <col min="5122" max="5122" width="18.28515625" style="65" customWidth="1"/>
    <col min="5123" max="5123" width="7" style="65" customWidth="1"/>
    <col min="5124" max="5124" width="9.85546875" style="65" bestFit="1" customWidth="1"/>
    <col min="5125" max="5125" width="15.5703125" style="65" customWidth="1"/>
    <col min="5126" max="5126" width="11.140625" style="65" bestFit="1" customWidth="1"/>
    <col min="5127" max="5127" width="14" style="65" customWidth="1"/>
    <col min="5128" max="5128" width="12" style="65" customWidth="1"/>
    <col min="5129" max="5129" width="11.85546875" style="65" bestFit="1" customWidth="1"/>
    <col min="5130" max="5130" width="7" style="65"/>
    <col min="5131" max="5131" width="28.5703125" style="65" customWidth="1"/>
    <col min="5132" max="5132" width="4.42578125" style="65" customWidth="1"/>
    <col min="5133" max="5133" width="10" style="65" customWidth="1"/>
    <col min="5134" max="5374" width="7" style="65"/>
    <col min="5375" max="5375" width="3.5703125" style="65" customWidth="1"/>
    <col min="5376" max="5376" width="24.140625" style="65" customWidth="1"/>
    <col min="5377" max="5377" width="54.7109375" style="65" customWidth="1"/>
    <col min="5378" max="5378" width="18.28515625" style="65" customWidth="1"/>
    <col min="5379" max="5379" width="7" style="65" customWidth="1"/>
    <col min="5380" max="5380" width="9.85546875" style="65" bestFit="1" customWidth="1"/>
    <col min="5381" max="5381" width="15.5703125" style="65" customWidth="1"/>
    <col min="5382" max="5382" width="11.140625" style="65" bestFit="1" customWidth="1"/>
    <col min="5383" max="5383" width="14" style="65" customWidth="1"/>
    <col min="5384" max="5384" width="12" style="65" customWidth="1"/>
    <col min="5385" max="5385" width="11.85546875" style="65" bestFit="1" customWidth="1"/>
    <col min="5386" max="5386" width="7" style="65"/>
    <col min="5387" max="5387" width="28.5703125" style="65" customWidth="1"/>
    <col min="5388" max="5388" width="4.42578125" style="65" customWidth="1"/>
    <col min="5389" max="5389" width="10" style="65" customWidth="1"/>
    <col min="5390" max="5630" width="7" style="65"/>
    <col min="5631" max="5631" width="3.5703125" style="65" customWidth="1"/>
    <col min="5632" max="5632" width="24.140625" style="65" customWidth="1"/>
    <col min="5633" max="5633" width="54.7109375" style="65" customWidth="1"/>
    <col min="5634" max="5634" width="18.28515625" style="65" customWidth="1"/>
    <col min="5635" max="5635" width="7" style="65" customWidth="1"/>
    <col min="5636" max="5636" width="9.85546875" style="65" bestFit="1" customWidth="1"/>
    <col min="5637" max="5637" width="15.5703125" style="65" customWidth="1"/>
    <col min="5638" max="5638" width="11.140625" style="65" bestFit="1" customWidth="1"/>
    <col min="5639" max="5639" width="14" style="65" customWidth="1"/>
    <col min="5640" max="5640" width="12" style="65" customWidth="1"/>
    <col min="5641" max="5641" width="11.85546875" style="65" bestFit="1" customWidth="1"/>
    <col min="5642" max="5642" width="7" style="65"/>
    <col min="5643" max="5643" width="28.5703125" style="65" customWidth="1"/>
    <col min="5644" max="5644" width="4.42578125" style="65" customWidth="1"/>
    <col min="5645" max="5645" width="10" style="65" customWidth="1"/>
    <col min="5646" max="5886" width="7" style="65"/>
    <col min="5887" max="5887" width="3.5703125" style="65" customWidth="1"/>
    <col min="5888" max="5888" width="24.140625" style="65" customWidth="1"/>
    <col min="5889" max="5889" width="54.7109375" style="65" customWidth="1"/>
    <col min="5890" max="5890" width="18.28515625" style="65" customWidth="1"/>
    <col min="5891" max="5891" width="7" style="65" customWidth="1"/>
    <col min="5892" max="5892" width="9.85546875" style="65" bestFit="1" customWidth="1"/>
    <col min="5893" max="5893" width="15.5703125" style="65" customWidth="1"/>
    <col min="5894" max="5894" width="11.140625" style="65" bestFit="1" customWidth="1"/>
    <col min="5895" max="5895" width="14" style="65" customWidth="1"/>
    <col min="5896" max="5896" width="12" style="65" customWidth="1"/>
    <col min="5897" max="5897" width="11.85546875" style="65" bestFit="1" customWidth="1"/>
    <col min="5898" max="5898" width="7" style="65"/>
    <col min="5899" max="5899" width="28.5703125" style="65" customWidth="1"/>
    <col min="5900" max="5900" width="4.42578125" style="65" customWidth="1"/>
    <col min="5901" max="5901" width="10" style="65" customWidth="1"/>
    <col min="5902" max="6142" width="7" style="65"/>
    <col min="6143" max="6143" width="3.5703125" style="65" customWidth="1"/>
    <col min="6144" max="6144" width="24.140625" style="65" customWidth="1"/>
    <col min="6145" max="6145" width="54.7109375" style="65" customWidth="1"/>
    <col min="6146" max="6146" width="18.28515625" style="65" customWidth="1"/>
    <col min="6147" max="6147" width="7" style="65" customWidth="1"/>
    <col min="6148" max="6148" width="9.85546875" style="65" bestFit="1" customWidth="1"/>
    <col min="6149" max="6149" width="15.5703125" style="65" customWidth="1"/>
    <col min="6150" max="6150" width="11.140625" style="65" bestFit="1" customWidth="1"/>
    <col min="6151" max="6151" width="14" style="65" customWidth="1"/>
    <col min="6152" max="6152" width="12" style="65" customWidth="1"/>
    <col min="6153" max="6153" width="11.85546875" style="65" bestFit="1" customWidth="1"/>
    <col min="6154" max="6154" width="7" style="65"/>
    <col min="6155" max="6155" width="28.5703125" style="65" customWidth="1"/>
    <col min="6156" max="6156" width="4.42578125" style="65" customWidth="1"/>
    <col min="6157" max="6157" width="10" style="65" customWidth="1"/>
    <col min="6158" max="6398" width="7" style="65"/>
    <col min="6399" max="6399" width="3.5703125" style="65" customWidth="1"/>
    <col min="6400" max="6400" width="24.140625" style="65" customWidth="1"/>
    <col min="6401" max="6401" width="54.7109375" style="65" customWidth="1"/>
    <col min="6402" max="6402" width="18.28515625" style="65" customWidth="1"/>
    <col min="6403" max="6403" width="7" style="65" customWidth="1"/>
    <col min="6404" max="6404" width="9.85546875" style="65" bestFit="1" customWidth="1"/>
    <col min="6405" max="6405" width="15.5703125" style="65" customWidth="1"/>
    <col min="6406" max="6406" width="11.140625" style="65" bestFit="1" customWidth="1"/>
    <col min="6407" max="6407" width="14" style="65" customWidth="1"/>
    <col min="6408" max="6408" width="12" style="65" customWidth="1"/>
    <col min="6409" max="6409" width="11.85546875" style="65" bestFit="1" customWidth="1"/>
    <col min="6410" max="6410" width="7" style="65"/>
    <col min="6411" max="6411" width="28.5703125" style="65" customWidth="1"/>
    <col min="6412" max="6412" width="4.42578125" style="65" customWidth="1"/>
    <col min="6413" max="6413" width="10" style="65" customWidth="1"/>
    <col min="6414" max="6654" width="7" style="65"/>
    <col min="6655" max="6655" width="3.5703125" style="65" customWidth="1"/>
    <col min="6656" max="6656" width="24.140625" style="65" customWidth="1"/>
    <col min="6657" max="6657" width="54.7109375" style="65" customWidth="1"/>
    <col min="6658" max="6658" width="18.28515625" style="65" customWidth="1"/>
    <col min="6659" max="6659" width="7" style="65" customWidth="1"/>
    <col min="6660" max="6660" width="9.85546875" style="65" bestFit="1" customWidth="1"/>
    <col min="6661" max="6661" width="15.5703125" style="65" customWidth="1"/>
    <col min="6662" max="6662" width="11.140625" style="65" bestFit="1" customWidth="1"/>
    <col min="6663" max="6663" width="14" style="65" customWidth="1"/>
    <col min="6664" max="6664" width="12" style="65" customWidth="1"/>
    <col min="6665" max="6665" width="11.85546875" style="65" bestFit="1" customWidth="1"/>
    <col min="6666" max="6666" width="7" style="65"/>
    <col min="6667" max="6667" width="28.5703125" style="65" customWidth="1"/>
    <col min="6668" max="6668" width="4.42578125" style="65" customWidth="1"/>
    <col min="6669" max="6669" width="10" style="65" customWidth="1"/>
    <col min="6670" max="6910" width="7" style="65"/>
    <col min="6911" max="6911" width="3.5703125" style="65" customWidth="1"/>
    <col min="6912" max="6912" width="24.140625" style="65" customWidth="1"/>
    <col min="6913" max="6913" width="54.7109375" style="65" customWidth="1"/>
    <col min="6914" max="6914" width="18.28515625" style="65" customWidth="1"/>
    <col min="6915" max="6915" width="7" style="65" customWidth="1"/>
    <col min="6916" max="6916" width="9.85546875" style="65" bestFit="1" customWidth="1"/>
    <col min="6917" max="6917" width="15.5703125" style="65" customWidth="1"/>
    <col min="6918" max="6918" width="11.140625" style="65" bestFit="1" customWidth="1"/>
    <col min="6919" max="6919" width="14" style="65" customWidth="1"/>
    <col min="6920" max="6920" width="12" style="65" customWidth="1"/>
    <col min="6921" max="6921" width="11.85546875" style="65" bestFit="1" customWidth="1"/>
    <col min="6922" max="6922" width="7" style="65"/>
    <col min="6923" max="6923" width="28.5703125" style="65" customWidth="1"/>
    <col min="6924" max="6924" width="4.42578125" style="65" customWidth="1"/>
    <col min="6925" max="6925" width="10" style="65" customWidth="1"/>
    <col min="6926" max="7166" width="7" style="65"/>
    <col min="7167" max="7167" width="3.5703125" style="65" customWidth="1"/>
    <col min="7168" max="7168" width="24.140625" style="65" customWidth="1"/>
    <col min="7169" max="7169" width="54.7109375" style="65" customWidth="1"/>
    <col min="7170" max="7170" width="18.28515625" style="65" customWidth="1"/>
    <col min="7171" max="7171" width="7" style="65" customWidth="1"/>
    <col min="7172" max="7172" width="9.85546875" style="65" bestFit="1" customWidth="1"/>
    <col min="7173" max="7173" width="15.5703125" style="65" customWidth="1"/>
    <col min="7174" max="7174" width="11.140625" style="65" bestFit="1" customWidth="1"/>
    <col min="7175" max="7175" width="14" style="65" customWidth="1"/>
    <col min="7176" max="7176" width="12" style="65" customWidth="1"/>
    <col min="7177" max="7177" width="11.85546875" style="65" bestFit="1" customWidth="1"/>
    <col min="7178" max="7178" width="7" style="65"/>
    <col min="7179" max="7179" width="28.5703125" style="65" customWidth="1"/>
    <col min="7180" max="7180" width="4.42578125" style="65" customWidth="1"/>
    <col min="7181" max="7181" width="10" style="65" customWidth="1"/>
    <col min="7182" max="7422" width="7" style="65"/>
    <col min="7423" max="7423" width="3.5703125" style="65" customWidth="1"/>
    <col min="7424" max="7424" width="24.140625" style="65" customWidth="1"/>
    <col min="7425" max="7425" width="54.7109375" style="65" customWidth="1"/>
    <col min="7426" max="7426" width="18.28515625" style="65" customWidth="1"/>
    <col min="7427" max="7427" width="7" style="65" customWidth="1"/>
    <col min="7428" max="7428" width="9.85546875" style="65" bestFit="1" customWidth="1"/>
    <col min="7429" max="7429" width="15.5703125" style="65" customWidth="1"/>
    <col min="7430" max="7430" width="11.140625" style="65" bestFit="1" customWidth="1"/>
    <col min="7431" max="7431" width="14" style="65" customWidth="1"/>
    <col min="7432" max="7432" width="12" style="65" customWidth="1"/>
    <col min="7433" max="7433" width="11.85546875" style="65" bestFit="1" customWidth="1"/>
    <col min="7434" max="7434" width="7" style="65"/>
    <col min="7435" max="7435" width="28.5703125" style="65" customWidth="1"/>
    <col min="7436" max="7436" width="4.42578125" style="65" customWidth="1"/>
    <col min="7437" max="7437" width="10" style="65" customWidth="1"/>
    <col min="7438" max="7678" width="7" style="65"/>
    <col min="7679" max="7679" width="3.5703125" style="65" customWidth="1"/>
    <col min="7680" max="7680" width="24.140625" style="65" customWidth="1"/>
    <col min="7681" max="7681" width="54.7109375" style="65" customWidth="1"/>
    <col min="7682" max="7682" width="18.28515625" style="65" customWidth="1"/>
    <col min="7683" max="7683" width="7" style="65" customWidth="1"/>
    <col min="7684" max="7684" width="9.85546875" style="65" bestFit="1" customWidth="1"/>
    <col min="7685" max="7685" width="15.5703125" style="65" customWidth="1"/>
    <col min="7686" max="7686" width="11.140625" style="65" bestFit="1" customWidth="1"/>
    <col min="7687" max="7687" width="14" style="65" customWidth="1"/>
    <col min="7688" max="7688" width="12" style="65" customWidth="1"/>
    <col min="7689" max="7689" width="11.85546875" style="65" bestFit="1" customWidth="1"/>
    <col min="7690" max="7690" width="7" style="65"/>
    <col min="7691" max="7691" width="28.5703125" style="65" customWidth="1"/>
    <col min="7692" max="7692" width="4.42578125" style="65" customWidth="1"/>
    <col min="7693" max="7693" width="10" style="65" customWidth="1"/>
    <col min="7694" max="7934" width="7" style="65"/>
    <col min="7935" max="7935" width="3.5703125" style="65" customWidth="1"/>
    <col min="7936" max="7936" width="24.140625" style="65" customWidth="1"/>
    <col min="7937" max="7937" width="54.7109375" style="65" customWidth="1"/>
    <col min="7938" max="7938" width="18.28515625" style="65" customWidth="1"/>
    <col min="7939" max="7939" width="7" style="65" customWidth="1"/>
    <col min="7940" max="7940" width="9.85546875" style="65" bestFit="1" customWidth="1"/>
    <col min="7941" max="7941" width="15.5703125" style="65" customWidth="1"/>
    <col min="7942" max="7942" width="11.140625" style="65" bestFit="1" customWidth="1"/>
    <col min="7943" max="7943" width="14" style="65" customWidth="1"/>
    <col min="7944" max="7944" width="12" style="65" customWidth="1"/>
    <col min="7945" max="7945" width="11.85546875" style="65" bestFit="1" customWidth="1"/>
    <col min="7946" max="7946" width="7" style="65"/>
    <col min="7947" max="7947" width="28.5703125" style="65" customWidth="1"/>
    <col min="7948" max="7948" width="4.42578125" style="65" customWidth="1"/>
    <col min="7949" max="7949" width="10" style="65" customWidth="1"/>
    <col min="7950" max="8190" width="7" style="65"/>
    <col min="8191" max="8191" width="3.5703125" style="65" customWidth="1"/>
    <col min="8192" max="8192" width="24.140625" style="65" customWidth="1"/>
    <col min="8193" max="8193" width="54.7109375" style="65" customWidth="1"/>
    <col min="8194" max="8194" width="18.28515625" style="65" customWidth="1"/>
    <col min="8195" max="8195" width="7" style="65" customWidth="1"/>
    <col min="8196" max="8196" width="9.85546875" style="65" bestFit="1" customWidth="1"/>
    <col min="8197" max="8197" width="15.5703125" style="65" customWidth="1"/>
    <col min="8198" max="8198" width="11.140625" style="65" bestFit="1" customWidth="1"/>
    <col min="8199" max="8199" width="14" style="65" customWidth="1"/>
    <col min="8200" max="8200" width="12" style="65" customWidth="1"/>
    <col min="8201" max="8201" width="11.85546875" style="65" bestFit="1" customWidth="1"/>
    <col min="8202" max="8202" width="7" style="65"/>
    <col min="8203" max="8203" width="28.5703125" style="65" customWidth="1"/>
    <col min="8204" max="8204" width="4.42578125" style="65" customWidth="1"/>
    <col min="8205" max="8205" width="10" style="65" customWidth="1"/>
    <col min="8206" max="8446" width="7" style="65"/>
    <col min="8447" max="8447" width="3.5703125" style="65" customWidth="1"/>
    <col min="8448" max="8448" width="24.140625" style="65" customWidth="1"/>
    <col min="8449" max="8449" width="54.7109375" style="65" customWidth="1"/>
    <col min="8450" max="8450" width="18.28515625" style="65" customWidth="1"/>
    <col min="8451" max="8451" width="7" style="65" customWidth="1"/>
    <col min="8452" max="8452" width="9.85546875" style="65" bestFit="1" customWidth="1"/>
    <col min="8453" max="8453" width="15.5703125" style="65" customWidth="1"/>
    <col min="8454" max="8454" width="11.140625" style="65" bestFit="1" customWidth="1"/>
    <col min="8455" max="8455" width="14" style="65" customWidth="1"/>
    <col min="8456" max="8456" width="12" style="65" customWidth="1"/>
    <col min="8457" max="8457" width="11.85546875" style="65" bestFit="1" customWidth="1"/>
    <col min="8458" max="8458" width="7" style="65"/>
    <col min="8459" max="8459" width="28.5703125" style="65" customWidth="1"/>
    <col min="8460" max="8460" width="4.42578125" style="65" customWidth="1"/>
    <col min="8461" max="8461" width="10" style="65" customWidth="1"/>
    <col min="8462" max="8702" width="7" style="65"/>
    <col min="8703" max="8703" width="3.5703125" style="65" customWidth="1"/>
    <col min="8704" max="8704" width="24.140625" style="65" customWidth="1"/>
    <col min="8705" max="8705" width="54.7109375" style="65" customWidth="1"/>
    <col min="8706" max="8706" width="18.28515625" style="65" customWidth="1"/>
    <col min="8707" max="8707" width="7" style="65" customWidth="1"/>
    <col min="8708" max="8708" width="9.85546875" style="65" bestFit="1" customWidth="1"/>
    <col min="8709" max="8709" width="15.5703125" style="65" customWidth="1"/>
    <col min="8710" max="8710" width="11.140625" style="65" bestFit="1" customWidth="1"/>
    <col min="8711" max="8711" width="14" style="65" customWidth="1"/>
    <col min="8712" max="8712" width="12" style="65" customWidth="1"/>
    <col min="8713" max="8713" width="11.85546875" style="65" bestFit="1" customWidth="1"/>
    <col min="8714" max="8714" width="7" style="65"/>
    <col min="8715" max="8715" width="28.5703125" style="65" customWidth="1"/>
    <col min="8716" max="8716" width="4.42578125" style="65" customWidth="1"/>
    <col min="8717" max="8717" width="10" style="65" customWidth="1"/>
    <col min="8718" max="8958" width="7" style="65"/>
    <col min="8959" max="8959" width="3.5703125" style="65" customWidth="1"/>
    <col min="8960" max="8960" width="24.140625" style="65" customWidth="1"/>
    <col min="8961" max="8961" width="54.7109375" style="65" customWidth="1"/>
    <col min="8962" max="8962" width="18.28515625" style="65" customWidth="1"/>
    <col min="8963" max="8963" width="7" style="65" customWidth="1"/>
    <col min="8964" max="8964" width="9.85546875" style="65" bestFit="1" customWidth="1"/>
    <col min="8965" max="8965" width="15.5703125" style="65" customWidth="1"/>
    <col min="8966" max="8966" width="11.140625" style="65" bestFit="1" customWidth="1"/>
    <col min="8967" max="8967" width="14" style="65" customWidth="1"/>
    <col min="8968" max="8968" width="12" style="65" customWidth="1"/>
    <col min="8969" max="8969" width="11.85546875" style="65" bestFit="1" customWidth="1"/>
    <col min="8970" max="8970" width="7" style="65"/>
    <col min="8971" max="8971" width="28.5703125" style="65" customWidth="1"/>
    <col min="8972" max="8972" width="4.42578125" style="65" customWidth="1"/>
    <col min="8973" max="8973" width="10" style="65" customWidth="1"/>
    <col min="8974" max="9214" width="7" style="65"/>
    <col min="9215" max="9215" width="3.5703125" style="65" customWidth="1"/>
    <col min="9216" max="9216" width="24.140625" style="65" customWidth="1"/>
    <col min="9217" max="9217" width="54.7109375" style="65" customWidth="1"/>
    <col min="9218" max="9218" width="18.28515625" style="65" customWidth="1"/>
    <col min="9219" max="9219" width="7" style="65" customWidth="1"/>
    <col min="9220" max="9220" width="9.85546875" style="65" bestFit="1" customWidth="1"/>
    <col min="9221" max="9221" width="15.5703125" style="65" customWidth="1"/>
    <col min="9222" max="9222" width="11.140625" style="65" bestFit="1" customWidth="1"/>
    <col min="9223" max="9223" width="14" style="65" customWidth="1"/>
    <col min="9224" max="9224" width="12" style="65" customWidth="1"/>
    <col min="9225" max="9225" width="11.85546875" style="65" bestFit="1" customWidth="1"/>
    <col min="9226" max="9226" width="7" style="65"/>
    <col min="9227" max="9227" width="28.5703125" style="65" customWidth="1"/>
    <col min="9228" max="9228" width="4.42578125" style="65" customWidth="1"/>
    <col min="9229" max="9229" width="10" style="65" customWidth="1"/>
    <col min="9230" max="9470" width="7" style="65"/>
    <col min="9471" max="9471" width="3.5703125" style="65" customWidth="1"/>
    <col min="9472" max="9472" width="24.140625" style="65" customWidth="1"/>
    <col min="9473" max="9473" width="54.7109375" style="65" customWidth="1"/>
    <col min="9474" max="9474" width="18.28515625" style="65" customWidth="1"/>
    <col min="9475" max="9475" width="7" style="65" customWidth="1"/>
    <col min="9476" max="9476" width="9.85546875" style="65" bestFit="1" customWidth="1"/>
    <col min="9477" max="9477" width="15.5703125" style="65" customWidth="1"/>
    <col min="9478" max="9478" width="11.140625" style="65" bestFit="1" customWidth="1"/>
    <col min="9479" max="9479" width="14" style="65" customWidth="1"/>
    <col min="9480" max="9480" width="12" style="65" customWidth="1"/>
    <col min="9481" max="9481" width="11.85546875" style="65" bestFit="1" customWidth="1"/>
    <col min="9482" max="9482" width="7" style="65"/>
    <col min="9483" max="9483" width="28.5703125" style="65" customWidth="1"/>
    <col min="9484" max="9484" width="4.42578125" style="65" customWidth="1"/>
    <col min="9485" max="9485" width="10" style="65" customWidth="1"/>
    <col min="9486" max="9726" width="7" style="65"/>
    <col min="9727" max="9727" width="3.5703125" style="65" customWidth="1"/>
    <col min="9728" max="9728" width="24.140625" style="65" customWidth="1"/>
    <col min="9729" max="9729" width="54.7109375" style="65" customWidth="1"/>
    <col min="9730" max="9730" width="18.28515625" style="65" customWidth="1"/>
    <col min="9731" max="9731" width="7" style="65" customWidth="1"/>
    <col min="9732" max="9732" width="9.85546875" style="65" bestFit="1" customWidth="1"/>
    <col min="9733" max="9733" width="15.5703125" style="65" customWidth="1"/>
    <col min="9734" max="9734" width="11.140625" style="65" bestFit="1" customWidth="1"/>
    <col min="9735" max="9735" width="14" style="65" customWidth="1"/>
    <col min="9736" max="9736" width="12" style="65" customWidth="1"/>
    <col min="9737" max="9737" width="11.85546875" style="65" bestFit="1" customWidth="1"/>
    <col min="9738" max="9738" width="7" style="65"/>
    <col min="9739" max="9739" width="28.5703125" style="65" customWidth="1"/>
    <col min="9740" max="9740" width="4.42578125" style="65" customWidth="1"/>
    <col min="9741" max="9741" width="10" style="65" customWidth="1"/>
    <col min="9742" max="9982" width="7" style="65"/>
    <col min="9983" max="9983" width="3.5703125" style="65" customWidth="1"/>
    <col min="9984" max="9984" width="24.140625" style="65" customWidth="1"/>
    <col min="9985" max="9985" width="54.7109375" style="65" customWidth="1"/>
    <col min="9986" max="9986" width="18.28515625" style="65" customWidth="1"/>
    <col min="9987" max="9987" width="7" style="65" customWidth="1"/>
    <col min="9988" max="9988" width="9.85546875" style="65" bestFit="1" customWidth="1"/>
    <col min="9989" max="9989" width="15.5703125" style="65" customWidth="1"/>
    <col min="9990" max="9990" width="11.140625" style="65" bestFit="1" customWidth="1"/>
    <col min="9991" max="9991" width="14" style="65" customWidth="1"/>
    <col min="9992" max="9992" width="12" style="65" customWidth="1"/>
    <col min="9993" max="9993" width="11.85546875" style="65" bestFit="1" customWidth="1"/>
    <col min="9994" max="9994" width="7" style="65"/>
    <col min="9995" max="9995" width="28.5703125" style="65" customWidth="1"/>
    <col min="9996" max="9996" width="4.42578125" style="65" customWidth="1"/>
    <col min="9997" max="9997" width="10" style="65" customWidth="1"/>
    <col min="9998" max="10238" width="7" style="65"/>
    <col min="10239" max="10239" width="3.5703125" style="65" customWidth="1"/>
    <col min="10240" max="10240" width="24.140625" style="65" customWidth="1"/>
    <col min="10241" max="10241" width="54.7109375" style="65" customWidth="1"/>
    <col min="10242" max="10242" width="18.28515625" style="65" customWidth="1"/>
    <col min="10243" max="10243" width="7" style="65" customWidth="1"/>
    <col min="10244" max="10244" width="9.85546875" style="65" bestFit="1" customWidth="1"/>
    <col min="10245" max="10245" width="15.5703125" style="65" customWidth="1"/>
    <col min="10246" max="10246" width="11.140625" style="65" bestFit="1" customWidth="1"/>
    <col min="10247" max="10247" width="14" style="65" customWidth="1"/>
    <col min="10248" max="10248" width="12" style="65" customWidth="1"/>
    <col min="10249" max="10249" width="11.85546875" style="65" bestFit="1" customWidth="1"/>
    <col min="10250" max="10250" width="7" style="65"/>
    <col min="10251" max="10251" width="28.5703125" style="65" customWidth="1"/>
    <col min="10252" max="10252" width="4.42578125" style="65" customWidth="1"/>
    <col min="10253" max="10253" width="10" style="65" customWidth="1"/>
    <col min="10254" max="10494" width="7" style="65"/>
    <col min="10495" max="10495" width="3.5703125" style="65" customWidth="1"/>
    <col min="10496" max="10496" width="24.140625" style="65" customWidth="1"/>
    <col min="10497" max="10497" width="54.7109375" style="65" customWidth="1"/>
    <col min="10498" max="10498" width="18.28515625" style="65" customWidth="1"/>
    <col min="10499" max="10499" width="7" style="65" customWidth="1"/>
    <col min="10500" max="10500" width="9.85546875" style="65" bestFit="1" customWidth="1"/>
    <col min="10501" max="10501" width="15.5703125" style="65" customWidth="1"/>
    <col min="10502" max="10502" width="11.140625" style="65" bestFit="1" customWidth="1"/>
    <col min="10503" max="10503" width="14" style="65" customWidth="1"/>
    <col min="10504" max="10504" width="12" style="65" customWidth="1"/>
    <col min="10505" max="10505" width="11.85546875" style="65" bestFit="1" customWidth="1"/>
    <col min="10506" max="10506" width="7" style="65"/>
    <col min="10507" max="10507" width="28.5703125" style="65" customWidth="1"/>
    <col min="10508" max="10508" width="4.42578125" style="65" customWidth="1"/>
    <col min="10509" max="10509" width="10" style="65" customWidth="1"/>
    <col min="10510" max="10750" width="7" style="65"/>
    <col min="10751" max="10751" width="3.5703125" style="65" customWidth="1"/>
    <col min="10752" max="10752" width="24.140625" style="65" customWidth="1"/>
    <col min="10753" max="10753" width="54.7109375" style="65" customWidth="1"/>
    <col min="10754" max="10754" width="18.28515625" style="65" customWidth="1"/>
    <col min="10755" max="10755" width="7" style="65" customWidth="1"/>
    <col min="10756" max="10756" width="9.85546875" style="65" bestFit="1" customWidth="1"/>
    <col min="10757" max="10757" width="15.5703125" style="65" customWidth="1"/>
    <col min="10758" max="10758" width="11.140625" style="65" bestFit="1" customWidth="1"/>
    <col min="10759" max="10759" width="14" style="65" customWidth="1"/>
    <col min="10760" max="10760" width="12" style="65" customWidth="1"/>
    <col min="10761" max="10761" width="11.85546875" style="65" bestFit="1" customWidth="1"/>
    <col min="10762" max="10762" width="7" style="65"/>
    <col min="10763" max="10763" width="28.5703125" style="65" customWidth="1"/>
    <col min="10764" max="10764" width="4.42578125" style="65" customWidth="1"/>
    <col min="10765" max="10765" width="10" style="65" customWidth="1"/>
    <col min="10766" max="11006" width="7" style="65"/>
    <col min="11007" max="11007" width="3.5703125" style="65" customWidth="1"/>
    <col min="11008" max="11008" width="24.140625" style="65" customWidth="1"/>
    <col min="11009" max="11009" width="54.7109375" style="65" customWidth="1"/>
    <col min="11010" max="11010" width="18.28515625" style="65" customWidth="1"/>
    <col min="11011" max="11011" width="7" style="65" customWidth="1"/>
    <col min="11012" max="11012" width="9.85546875" style="65" bestFit="1" customWidth="1"/>
    <col min="11013" max="11013" width="15.5703125" style="65" customWidth="1"/>
    <col min="11014" max="11014" width="11.140625" style="65" bestFit="1" customWidth="1"/>
    <col min="11015" max="11015" width="14" style="65" customWidth="1"/>
    <col min="11016" max="11016" width="12" style="65" customWidth="1"/>
    <col min="11017" max="11017" width="11.85546875" style="65" bestFit="1" customWidth="1"/>
    <col min="11018" max="11018" width="7" style="65"/>
    <col min="11019" max="11019" width="28.5703125" style="65" customWidth="1"/>
    <col min="11020" max="11020" width="4.42578125" style="65" customWidth="1"/>
    <col min="11021" max="11021" width="10" style="65" customWidth="1"/>
    <col min="11022" max="11262" width="7" style="65"/>
    <col min="11263" max="11263" width="3.5703125" style="65" customWidth="1"/>
    <col min="11264" max="11264" width="24.140625" style="65" customWidth="1"/>
    <col min="11265" max="11265" width="54.7109375" style="65" customWidth="1"/>
    <col min="11266" max="11266" width="18.28515625" style="65" customWidth="1"/>
    <col min="11267" max="11267" width="7" style="65" customWidth="1"/>
    <col min="11268" max="11268" width="9.85546875" style="65" bestFit="1" customWidth="1"/>
    <col min="11269" max="11269" width="15.5703125" style="65" customWidth="1"/>
    <col min="11270" max="11270" width="11.140625" style="65" bestFit="1" customWidth="1"/>
    <col min="11271" max="11271" width="14" style="65" customWidth="1"/>
    <col min="11272" max="11272" width="12" style="65" customWidth="1"/>
    <col min="11273" max="11273" width="11.85546875" style="65" bestFit="1" customWidth="1"/>
    <col min="11274" max="11274" width="7" style="65"/>
    <col min="11275" max="11275" width="28.5703125" style="65" customWidth="1"/>
    <col min="11276" max="11276" width="4.42578125" style="65" customWidth="1"/>
    <col min="11277" max="11277" width="10" style="65" customWidth="1"/>
    <col min="11278" max="11518" width="7" style="65"/>
    <col min="11519" max="11519" width="3.5703125" style="65" customWidth="1"/>
    <col min="11520" max="11520" width="24.140625" style="65" customWidth="1"/>
    <col min="11521" max="11521" width="54.7109375" style="65" customWidth="1"/>
    <col min="11522" max="11522" width="18.28515625" style="65" customWidth="1"/>
    <col min="11523" max="11523" width="7" style="65" customWidth="1"/>
    <col min="11524" max="11524" width="9.85546875" style="65" bestFit="1" customWidth="1"/>
    <col min="11525" max="11525" width="15.5703125" style="65" customWidth="1"/>
    <col min="11526" max="11526" width="11.140625" style="65" bestFit="1" customWidth="1"/>
    <col min="11527" max="11527" width="14" style="65" customWidth="1"/>
    <col min="11528" max="11528" width="12" style="65" customWidth="1"/>
    <col min="11529" max="11529" width="11.85546875" style="65" bestFit="1" customWidth="1"/>
    <col min="11530" max="11530" width="7" style="65"/>
    <col min="11531" max="11531" width="28.5703125" style="65" customWidth="1"/>
    <col min="11532" max="11532" width="4.42578125" style="65" customWidth="1"/>
    <col min="11533" max="11533" width="10" style="65" customWidth="1"/>
    <col min="11534" max="11774" width="7" style="65"/>
    <col min="11775" max="11775" width="3.5703125" style="65" customWidth="1"/>
    <col min="11776" max="11776" width="24.140625" style="65" customWidth="1"/>
    <col min="11777" max="11777" width="54.7109375" style="65" customWidth="1"/>
    <col min="11778" max="11778" width="18.28515625" style="65" customWidth="1"/>
    <col min="11779" max="11779" width="7" style="65" customWidth="1"/>
    <col min="11780" max="11780" width="9.85546875" style="65" bestFit="1" customWidth="1"/>
    <col min="11781" max="11781" width="15.5703125" style="65" customWidth="1"/>
    <col min="11782" max="11782" width="11.140625" style="65" bestFit="1" customWidth="1"/>
    <col min="11783" max="11783" width="14" style="65" customWidth="1"/>
    <col min="11784" max="11784" width="12" style="65" customWidth="1"/>
    <col min="11785" max="11785" width="11.85546875" style="65" bestFit="1" customWidth="1"/>
    <col min="11786" max="11786" width="7" style="65"/>
    <col min="11787" max="11787" width="28.5703125" style="65" customWidth="1"/>
    <col min="11788" max="11788" width="4.42578125" style="65" customWidth="1"/>
    <col min="11789" max="11789" width="10" style="65" customWidth="1"/>
    <col min="11790" max="12030" width="7" style="65"/>
    <col min="12031" max="12031" width="3.5703125" style="65" customWidth="1"/>
    <col min="12032" max="12032" width="24.140625" style="65" customWidth="1"/>
    <col min="12033" max="12033" width="54.7109375" style="65" customWidth="1"/>
    <col min="12034" max="12034" width="18.28515625" style="65" customWidth="1"/>
    <col min="12035" max="12035" width="7" style="65" customWidth="1"/>
    <col min="12036" max="12036" width="9.85546875" style="65" bestFit="1" customWidth="1"/>
    <col min="12037" max="12037" width="15.5703125" style="65" customWidth="1"/>
    <col min="12038" max="12038" width="11.140625" style="65" bestFit="1" customWidth="1"/>
    <col min="12039" max="12039" width="14" style="65" customWidth="1"/>
    <col min="12040" max="12040" width="12" style="65" customWidth="1"/>
    <col min="12041" max="12041" width="11.85546875" style="65" bestFit="1" customWidth="1"/>
    <col min="12042" max="12042" width="7" style="65"/>
    <col min="12043" max="12043" width="28.5703125" style="65" customWidth="1"/>
    <col min="12044" max="12044" width="4.42578125" style="65" customWidth="1"/>
    <col min="12045" max="12045" width="10" style="65" customWidth="1"/>
    <col min="12046" max="12286" width="7" style="65"/>
    <col min="12287" max="12287" width="3.5703125" style="65" customWidth="1"/>
    <col min="12288" max="12288" width="24.140625" style="65" customWidth="1"/>
    <col min="12289" max="12289" width="54.7109375" style="65" customWidth="1"/>
    <col min="12290" max="12290" width="18.28515625" style="65" customWidth="1"/>
    <col min="12291" max="12291" width="7" style="65" customWidth="1"/>
    <col min="12292" max="12292" width="9.85546875" style="65" bestFit="1" customWidth="1"/>
    <col min="12293" max="12293" width="15.5703125" style="65" customWidth="1"/>
    <col min="12294" max="12294" width="11.140625" style="65" bestFit="1" customWidth="1"/>
    <col min="12295" max="12295" width="14" style="65" customWidth="1"/>
    <col min="12296" max="12296" width="12" style="65" customWidth="1"/>
    <col min="12297" max="12297" width="11.85546875" style="65" bestFit="1" customWidth="1"/>
    <col min="12298" max="12298" width="7" style="65"/>
    <col min="12299" max="12299" width="28.5703125" style="65" customWidth="1"/>
    <col min="12300" max="12300" width="4.42578125" style="65" customWidth="1"/>
    <col min="12301" max="12301" width="10" style="65" customWidth="1"/>
    <col min="12302" max="12542" width="7" style="65"/>
    <col min="12543" max="12543" width="3.5703125" style="65" customWidth="1"/>
    <col min="12544" max="12544" width="24.140625" style="65" customWidth="1"/>
    <col min="12545" max="12545" width="54.7109375" style="65" customWidth="1"/>
    <col min="12546" max="12546" width="18.28515625" style="65" customWidth="1"/>
    <col min="12547" max="12547" width="7" style="65" customWidth="1"/>
    <col min="12548" max="12548" width="9.85546875" style="65" bestFit="1" customWidth="1"/>
    <col min="12549" max="12549" width="15.5703125" style="65" customWidth="1"/>
    <col min="12550" max="12550" width="11.140625" style="65" bestFit="1" customWidth="1"/>
    <col min="12551" max="12551" width="14" style="65" customWidth="1"/>
    <col min="12552" max="12552" width="12" style="65" customWidth="1"/>
    <col min="12553" max="12553" width="11.85546875" style="65" bestFit="1" customWidth="1"/>
    <col min="12554" max="12554" width="7" style="65"/>
    <col min="12555" max="12555" width="28.5703125" style="65" customWidth="1"/>
    <col min="12556" max="12556" width="4.42578125" style="65" customWidth="1"/>
    <col min="12557" max="12557" width="10" style="65" customWidth="1"/>
    <col min="12558" max="12798" width="7" style="65"/>
    <col min="12799" max="12799" width="3.5703125" style="65" customWidth="1"/>
    <col min="12800" max="12800" width="24.140625" style="65" customWidth="1"/>
    <col min="12801" max="12801" width="54.7109375" style="65" customWidth="1"/>
    <col min="12802" max="12802" width="18.28515625" style="65" customWidth="1"/>
    <col min="12803" max="12803" width="7" style="65" customWidth="1"/>
    <col min="12804" max="12804" width="9.85546875" style="65" bestFit="1" customWidth="1"/>
    <col min="12805" max="12805" width="15.5703125" style="65" customWidth="1"/>
    <col min="12806" max="12806" width="11.140625" style="65" bestFit="1" customWidth="1"/>
    <col min="12807" max="12807" width="14" style="65" customWidth="1"/>
    <col min="12808" max="12808" width="12" style="65" customWidth="1"/>
    <col min="12809" max="12809" width="11.85546875" style="65" bestFit="1" customWidth="1"/>
    <col min="12810" max="12810" width="7" style="65"/>
    <col min="12811" max="12811" width="28.5703125" style="65" customWidth="1"/>
    <col min="12812" max="12812" width="4.42578125" style="65" customWidth="1"/>
    <col min="12813" max="12813" width="10" style="65" customWidth="1"/>
    <col min="12814" max="13054" width="7" style="65"/>
    <col min="13055" max="13055" width="3.5703125" style="65" customWidth="1"/>
    <col min="13056" max="13056" width="24.140625" style="65" customWidth="1"/>
    <col min="13057" max="13057" width="54.7109375" style="65" customWidth="1"/>
    <col min="13058" max="13058" width="18.28515625" style="65" customWidth="1"/>
    <col min="13059" max="13059" width="7" style="65" customWidth="1"/>
    <col min="13060" max="13060" width="9.85546875" style="65" bestFit="1" customWidth="1"/>
    <col min="13061" max="13061" width="15.5703125" style="65" customWidth="1"/>
    <col min="13062" max="13062" width="11.140625" style="65" bestFit="1" customWidth="1"/>
    <col min="13063" max="13063" width="14" style="65" customWidth="1"/>
    <col min="13064" max="13064" width="12" style="65" customWidth="1"/>
    <col min="13065" max="13065" width="11.85546875" style="65" bestFit="1" customWidth="1"/>
    <col min="13066" max="13066" width="7" style="65"/>
    <col min="13067" max="13067" width="28.5703125" style="65" customWidth="1"/>
    <col min="13068" max="13068" width="4.42578125" style="65" customWidth="1"/>
    <col min="13069" max="13069" width="10" style="65" customWidth="1"/>
    <col min="13070" max="13310" width="7" style="65"/>
    <col min="13311" max="13311" width="3.5703125" style="65" customWidth="1"/>
    <col min="13312" max="13312" width="24.140625" style="65" customWidth="1"/>
    <col min="13313" max="13313" width="54.7109375" style="65" customWidth="1"/>
    <col min="13314" max="13314" width="18.28515625" style="65" customWidth="1"/>
    <col min="13315" max="13315" width="7" style="65" customWidth="1"/>
    <col min="13316" max="13316" width="9.85546875" style="65" bestFit="1" customWidth="1"/>
    <col min="13317" max="13317" width="15.5703125" style="65" customWidth="1"/>
    <col min="13318" max="13318" width="11.140625" style="65" bestFit="1" customWidth="1"/>
    <col min="13319" max="13319" width="14" style="65" customWidth="1"/>
    <col min="13320" max="13320" width="12" style="65" customWidth="1"/>
    <col min="13321" max="13321" width="11.85546875" style="65" bestFit="1" customWidth="1"/>
    <col min="13322" max="13322" width="7" style="65"/>
    <col min="13323" max="13323" width="28.5703125" style="65" customWidth="1"/>
    <col min="13324" max="13324" width="4.42578125" style="65" customWidth="1"/>
    <col min="13325" max="13325" width="10" style="65" customWidth="1"/>
    <col min="13326" max="13566" width="7" style="65"/>
    <col min="13567" max="13567" width="3.5703125" style="65" customWidth="1"/>
    <col min="13568" max="13568" width="24.140625" style="65" customWidth="1"/>
    <col min="13569" max="13569" width="54.7109375" style="65" customWidth="1"/>
    <col min="13570" max="13570" width="18.28515625" style="65" customWidth="1"/>
    <col min="13571" max="13571" width="7" style="65" customWidth="1"/>
    <col min="13572" max="13572" width="9.85546875" style="65" bestFit="1" customWidth="1"/>
    <col min="13573" max="13573" width="15.5703125" style="65" customWidth="1"/>
    <col min="13574" max="13574" width="11.140625" style="65" bestFit="1" customWidth="1"/>
    <col min="13575" max="13575" width="14" style="65" customWidth="1"/>
    <col min="13576" max="13576" width="12" style="65" customWidth="1"/>
    <col min="13577" max="13577" width="11.85546875" style="65" bestFit="1" customWidth="1"/>
    <col min="13578" max="13578" width="7" style="65"/>
    <col min="13579" max="13579" width="28.5703125" style="65" customWidth="1"/>
    <col min="13580" max="13580" width="4.42578125" style="65" customWidth="1"/>
    <col min="13581" max="13581" width="10" style="65" customWidth="1"/>
    <col min="13582" max="13822" width="7" style="65"/>
    <col min="13823" max="13823" width="3.5703125" style="65" customWidth="1"/>
    <col min="13824" max="13824" width="24.140625" style="65" customWidth="1"/>
    <col min="13825" max="13825" width="54.7109375" style="65" customWidth="1"/>
    <col min="13826" max="13826" width="18.28515625" style="65" customWidth="1"/>
    <col min="13827" max="13827" width="7" style="65" customWidth="1"/>
    <col min="13828" max="13828" width="9.85546875" style="65" bestFit="1" customWidth="1"/>
    <col min="13829" max="13829" width="15.5703125" style="65" customWidth="1"/>
    <col min="13830" max="13830" width="11.140625" style="65" bestFit="1" customWidth="1"/>
    <col min="13831" max="13831" width="14" style="65" customWidth="1"/>
    <col min="13832" max="13832" width="12" style="65" customWidth="1"/>
    <col min="13833" max="13833" width="11.85546875" style="65" bestFit="1" customWidth="1"/>
    <col min="13834" max="13834" width="7" style="65"/>
    <col min="13835" max="13835" width="28.5703125" style="65" customWidth="1"/>
    <col min="13836" max="13836" width="4.42578125" style="65" customWidth="1"/>
    <col min="13837" max="13837" width="10" style="65" customWidth="1"/>
    <col min="13838" max="14078" width="7" style="65"/>
    <col min="14079" max="14079" width="3.5703125" style="65" customWidth="1"/>
    <col min="14080" max="14080" width="24.140625" style="65" customWidth="1"/>
    <col min="14081" max="14081" width="54.7109375" style="65" customWidth="1"/>
    <col min="14082" max="14082" width="18.28515625" style="65" customWidth="1"/>
    <col min="14083" max="14083" width="7" style="65" customWidth="1"/>
    <col min="14084" max="14084" width="9.85546875" style="65" bestFit="1" customWidth="1"/>
    <col min="14085" max="14085" width="15.5703125" style="65" customWidth="1"/>
    <col min="14086" max="14086" width="11.140625" style="65" bestFit="1" customWidth="1"/>
    <col min="14087" max="14087" width="14" style="65" customWidth="1"/>
    <col min="14088" max="14088" width="12" style="65" customWidth="1"/>
    <col min="14089" max="14089" width="11.85546875" style="65" bestFit="1" customWidth="1"/>
    <col min="14090" max="14090" width="7" style="65"/>
    <col min="14091" max="14091" width="28.5703125" style="65" customWidth="1"/>
    <col min="14092" max="14092" width="4.42578125" style="65" customWidth="1"/>
    <col min="14093" max="14093" width="10" style="65" customWidth="1"/>
    <col min="14094" max="14334" width="7" style="65"/>
    <col min="14335" max="14335" width="3.5703125" style="65" customWidth="1"/>
    <col min="14336" max="14336" width="24.140625" style="65" customWidth="1"/>
    <col min="14337" max="14337" width="54.7109375" style="65" customWidth="1"/>
    <col min="14338" max="14338" width="18.28515625" style="65" customWidth="1"/>
    <col min="14339" max="14339" width="7" style="65" customWidth="1"/>
    <col min="14340" max="14340" width="9.85546875" style="65" bestFit="1" customWidth="1"/>
    <col min="14341" max="14341" width="15.5703125" style="65" customWidth="1"/>
    <col min="14342" max="14342" width="11.140625" style="65" bestFit="1" customWidth="1"/>
    <col min="14343" max="14343" width="14" style="65" customWidth="1"/>
    <col min="14344" max="14344" width="12" style="65" customWidth="1"/>
    <col min="14345" max="14345" width="11.85546875" style="65" bestFit="1" customWidth="1"/>
    <col min="14346" max="14346" width="7" style="65"/>
    <col min="14347" max="14347" width="28.5703125" style="65" customWidth="1"/>
    <col min="14348" max="14348" width="4.42578125" style="65" customWidth="1"/>
    <col min="14349" max="14349" width="10" style="65" customWidth="1"/>
    <col min="14350" max="14590" width="7" style="65"/>
    <col min="14591" max="14591" width="3.5703125" style="65" customWidth="1"/>
    <col min="14592" max="14592" width="24.140625" style="65" customWidth="1"/>
    <col min="14593" max="14593" width="54.7109375" style="65" customWidth="1"/>
    <col min="14594" max="14594" width="18.28515625" style="65" customWidth="1"/>
    <col min="14595" max="14595" width="7" style="65" customWidth="1"/>
    <col min="14596" max="14596" width="9.85546875" style="65" bestFit="1" customWidth="1"/>
    <col min="14597" max="14597" width="15.5703125" style="65" customWidth="1"/>
    <col min="14598" max="14598" width="11.140625" style="65" bestFit="1" customWidth="1"/>
    <col min="14599" max="14599" width="14" style="65" customWidth="1"/>
    <col min="14600" max="14600" width="12" style="65" customWidth="1"/>
    <col min="14601" max="14601" width="11.85546875" style="65" bestFit="1" customWidth="1"/>
    <col min="14602" max="14602" width="7" style="65"/>
    <col min="14603" max="14603" width="28.5703125" style="65" customWidth="1"/>
    <col min="14604" max="14604" width="4.42578125" style="65" customWidth="1"/>
    <col min="14605" max="14605" width="10" style="65" customWidth="1"/>
    <col min="14606" max="14846" width="7" style="65"/>
    <col min="14847" max="14847" width="3.5703125" style="65" customWidth="1"/>
    <col min="14848" max="14848" width="24.140625" style="65" customWidth="1"/>
    <col min="14849" max="14849" width="54.7109375" style="65" customWidth="1"/>
    <col min="14850" max="14850" width="18.28515625" style="65" customWidth="1"/>
    <col min="14851" max="14851" width="7" style="65" customWidth="1"/>
    <col min="14852" max="14852" width="9.85546875" style="65" bestFit="1" customWidth="1"/>
    <col min="14853" max="14853" width="15.5703125" style="65" customWidth="1"/>
    <col min="14854" max="14854" width="11.140625" style="65" bestFit="1" customWidth="1"/>
    <col min="14855" max="14855" width="14" style="65" customWidth="1"/>
    <col min="14856" max="14856" width="12" style="65" customWidth="1"/>
    <col min="14857" max="14857" width="11.85546875" style="65" bestFit="1" customWidth="1"/>
    <col min="14858" max="14858" width="7" style="65"/>
    <col min="14859" max="14859" width="28.5703125" style="65" customWidth="1"/>
    <col min="14860" max="14860" width="4.42578125" style="65" customWidth="1"/>
    <col min="14861" max="14861" width="10" style="65" customWidth="1"/>
    <col min="14862" max="15102" width="7" style="65"/>
    <col min="15103" max="15103" width="3.5703125" style="65" customWidth="1"/>
    <col min="15104" max="15104" width="24.140625" style="65" customWidth="1"/>
    <col min="15105" max="15105" width="54.7109375" style="65" customWidth="1"/>
    <col min="15106" max="15106" width="18.28515625" style="65" customWidth="1"/>
    <col min="15107" max="15107" width="7" style="65" customWidth="1"/>
    <col min="15108" max="15108" width="9.85546875" style="65" bestFit="1" customWidth="1"/>
    <col min="15109" max="15109" width="15.5703125" style="65" customWidth="1"/>
    <col min="15110" max="15110" width="11.140625" style="65" bestFit="1" customWidth="1"/>
    <col min="15111" max="15111" width="14" style="65" customWidth="1"/>
    <col min="15112" max="15112" width="12" style="65" customWidth="1"/>
    <col min="15113" max="15113" width="11.85546875" style="65" bestFit="1" customWidth="1"/>
    <col min="15114" max="15114" width="7" style="65"/>
    <col min="15115" max="15115" width="28.5703125" style="65" customWidth="1"/>
    <col min="15116" max="15116" width="4.42578125" style="65" customWidth="1"/>
    <col min="15117" max="15117" width="10" style="65" customWidth="1"/>
    <col min="15118" max="15358" width="7" style="65"/>
    <col min="15359" max="15359" width="3.5703125" style="65" customWidth="1"/>
    <col min="15360" max="15360" width="24.140625" style="65" customWidth="1"/>
    <col min="15361" max="15361" width="54.7109375" style="65" customWidth="1"/>
    <col min="15362" max="15362" width="18.28515625" style="65" customWidth="1"/>
    <col min="15363" max="15363" width="7" style="65" customWidth="1"/>
    <col min="15364" max="15364" width="9.85546875" style="65" bestFit="1" customWidth="1"/>
    <col min="15365" max="15365" width="15.5703125" style="65" customWidth="1"/>
    <col min="15366" max="15366" width="11.140625" style="65" bestFit="1" customWidth="1"/>
    <col min="15367" max="15367" width="14" style="65" customWidth="1"/>
    <col min="15368" max="15368" width="12" style="65" customWidth="1"/>
    <col min="15369" max="15369" width="11.85546875" style="65" bestFit="1" customWidth="1"/>
    <col min="15370" max="15370" width="7" style="65"/>
    <col min="15371" max="15371" width="28.5703125" style="65" customWidth="1"/>
    <col min="15372" max="15372" width="4.42578125" style="65" customWidth="1"/>
    <col min="15373" max="15373" width="10" style="65" customWidth="1"/>
    <col min="15374" max="15614" width="7" style="65"/>
    <col min="15615" max="15615" width="3.5703125" style="65" customWidth="1"/>
    <col min="15616" max="15616" width="24.140625" style="65" customWidth="1"/>
    <col min="15617" max="15617" width="54.7109375" style="65" customWidth="1"/>
    <col min="15618" max="15618" width="18.28515625" style="65" customWidth="1"/>
    <col min="15619" max="15619" width="7" style="65" customWidth="1"/>
    <col min="15620" max="15620" width="9.85546875" style="65" bestFit="1" customWidth="1"/>
    <col min="15621" max="15621" width="15.5703125" style="65" customWidth="1"/>
    <col min="15622" max="15622" width="11.140625" style="65" bestFit="1" customWidth="1"/>
    <col min="15623" max="15623" width="14" style="65" customWidth="1"/>
    <col min="15624" max="15624" width="12" style="65" customWidth="1"/>
    <col min="15625" max="15625" width="11.85546875" style="65" bestFit="1" customWidth="1"/>
    <col min="15626" max="15626" width="7" style="65"/>
    <col min="15627" max="15627" width="28.5703125" style="65" customWidth="1"/>
    <col min="15628" max="15628" width="4.42578125" style="65" customWidth="1"/>
    <col min="15629" max="15629" width="10" style="65" customWidth="1"/>
    <col min="15630" max="15870" width="7" style="65"/>
    <col min="15871" max="15871" width="3.5703125" style="65" customWidth="1"/>
    <col min="15872" max="15872" width="24.140625" style="65" customWidth="1"/>
    <col min="15873" max="15873" width="54.7109375" style="65" customWidth="1"/>
    <col min="15874" max="15874" width="18.28515625" style="65" customWidth="1"/>
    <col min="15875" max="15875" width="7" style="65" customWidth="1"/>
    <col min="15876" max="15876" width="9.85546875" style="65" bestFit="1" customWidth="1"/>
    <col min="15877" max="15877" width="15.5703125" style="65" customWidth="1"/>
    <col min="15878" max="15878" width="11.140625" style="65" bestFit="1" customWidth="1"/>
    <col min="15879" max="15879" width="14" style="65" customWidth="1"/>
    <col min="15880" max="15880" width="12" style="65" customWidth="1"/>
    <col min="15881" max="15881" width="11.85546875" style="65" bestFit="1" customWidth="1"/>
    <col min="15882" max="15882" width="7" style="65"/>
    <col min="15883" max="15883" width="28.5703125" style="65" customWidth="1"/>
    <col min="15884" max="15884" width="4.42578125" style="65" customWidth="1"/>
    <col min="15885" max="15885" width="10" style="65" customWidth="1"/>
    <col min="15886" max="16126" width="7" style="65"/>
    <col min="16127" max="16127" width="3.5703125" style="65" customWidth="1"/>
    <col min="16128" max="16128" width="24.140625" style="65" customWidth="1"/>
    <col min="16129" max="16129" width="54.7109375" style="65" customWidth="1"/>
    <col min="16130" max="16130" width="18.28515625" style="65" customWidth="1"/>
    <col min="16131" max="16131" width="7" style="65" customWidth="1"/>
    <col min="16132" max="16132" width="9.85546875" style="65" bestFit="1" customWidth="1"/>
    <col min="16133" max="16133" width="15.5703125" style="65" customWidth="1"/>
    <col min="16134" max="16134" width="11.140625" style="65" bestFit="1" customWidth="1"/>
    <col min="16135" max="16135" width="14" style="65" customWidth="1"/>
    <col min="16136" max="16136" width="12" style="65" customWidth="1"/>
    <col min="16137" max="16137" width="11.85546875" style="65" bestFit="1" customWidth="1"/>
    <col min="16138" max="16138" width="7" style="65"/>
    <col min="16139" max="16139" width="28.5703125" style="65" customWidth="1"/>
    <col min="16140" max="16140" width="4.42578125" style="65" customWidth="1"/>
    <col min="16141" max="16141" width="10" style="65" customWidth="1"/>
    <col min="16142" max="16384" width="7" style="65"/>
  </cols>
  <sheetData>
    <row r="1" spans="1:219" ht="14.25">
      <c r="A1" s="382" t="s">
        <v>2</v>
      </c>
    </row>
    <row r="2" spans="1:219" ht="14.25">
      <c r="A2" s="67"/>
    </row>
    <row r="3" spans="1:219" ht="21" customHeight="1">
      <c r="A3" s="359" t="str">
        <f>'1-Inschrijfstaat'!A3</f>
        <v>Naam opdrachtgever</v>
      </c>
      <c r="B3" s="494" t="str">
        <f>'1-Inschrijfstaat'!B3</f>
        <v>GVB Infra B.V.</v>
      </c>
    </row>
    <row r="4" spans="1:219" ht="21" customHeight="1">
      <c r="A4" s="359" t="str">
        <f>'1-Inschrijfstaat'!A4</f>
        <v>Calculatie onderdeel</v>
      </c>
      <c r="B4" s="494" t="str">
        <f ca="1">MID(CELL("bestandsnaam",$B$10),SEARCH("]",CELL("bestandsnaam",$B$10),1)+1,256)</f>
        <v>13c-Afroep Kap Bijlmer</v>
      </c>
    </row>
    <row r="5" spans="1:219" ht="17.25">
      <c r="A5" s="359" t="str">
        <f>'13a- Afroepprijs'!A5</f>
        <v>Gebouw/plaats</v>
      </c>
      <c r="B5" s="494" t="str">
        <f>'1-Inschrijfstaat'!B5</f>
        <v>Diverse</v>
      </c>
    </row>
    <row r="6" spans="1:219" ht="17.25">
      <c r="A6" s="359" t="str">
        <f>'13a- Afroepprijs'!A6</f>
        <v>Besteknummer</v>
      </c>
      <c r="B6" s="494" t="str">
        <f>'1-Inschrijfstaat'!B6</f>
        <v>2021-03</v>
      </c>
    </row>
    <row r="7" spans="1:219" ht="17.25">
      <c r="A7" s="359" t="str">
        <f>'13a- Afroepprijs'!A7</f>
        <v>Naam leverancier</v>
      </c>
      <c r="B7" s="494" t="str">
        <f>'1-Inschrijfstaat'!B7:D7</f>
        <v>Naam dienstverlener</v>
      </c>
    </row>
    <row r="8" spans="1:219" ht="16.5">
      <c r="A8" s="359" t="str">
        <f>'13a- Afroepprijs'!A8</f>
        <v>Prijspeil</v>
      </c>
      <c r="B8" s="15" t="str">
        <f>'1-Inschrijfstaat'!B8</f>
        <v>1 juni 2021</v>
      </c>
    </row>
    <row r="9" spans="1:219" ht="16.5">
      <c r="A9" s="359" t="str">
        <f>'13a- Afroepprijs'!A9</f>
        <v>Perceel</v>
      </c>
      <c r="B9" s="68" t="str">
        <f>'1-Inschrijfstaat'!B9</f>
        <v>2 Technische schoonmaak</v>
      </c>
    </row>
    <row r="10" spans="1:219" ht="17.25">
      <c r="A10" s="370" t="s">
        <v>1087</v>
      </c>
      <c r="B10" s="494" t="s">
        <v>2068</v>
      </c>
      <c r="C10" s="504"/>
      <c r="D10" s="504"/>
      <c r="E10" s="504"/>
      <c r="F10" s="504"/>
      <c r="G10" s="504"/>
    </row>
    <row r="11" spans="1:219" ht="12" customHeight="1">
      <c r="A11" s="69"/>
      <c r="B11" s="69"/>
      <c r="C11" s="69"/>
      <c r="D11" s="70"/>
      <c r="E11" s="70"/>
      <c r="X11" s="15"/>
    </row>
    <row r="12" spans="1:219" ht="12" customHeight="1">
      <c r="A12" s="69"/>
      <c r="B12" s="69"/>
      <c r="C12" s="69"/>
      <c r="D12" s="70"/>
      <c r="E12" s="70"/>
    </row>
    <row r="13" spans="1:219" ht="25.5">
      <c r="A13" s="386" t="s">
        <v>1711</v>
      </c>
      <c r="B13" s="368" t="s">
        <v>2061</v>
      </c>
      <c r="C13" s="550" t="s">
        <v>1708</v>
      </c>
      <c r="J13" s="71"/>
      <c r="K13" s="71"/>
      <c r="L13" s="71"/>
      <c r="M13" s="72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71"/>
      <c r="HB13" s="71"/>
      <c r="HC13" s="71"/>
      <c r="HD13" s="71"/>
      <c r="HE13" s="71"/>
      <c r="HF13" s="71"/>
      <c r="HG13" s="71"/>
      <c r="HH13" s="71"/>
      <c r="HI13" s="71"/>
      <c r="HJ13" s="71"/>
      <c r="HK13" s="71"/>
    </row>
    <row r="14" spans="1:219" ht="14.25">
      <c r="A14" s="73" t="s">
        <v>1709</v>
      </c>
      <c r="B14" s="605" t="s">
        <v>2062</v>
      </c>
      <c r="C14" s="505">
        <v>0</v>
      </c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</row>
    <row r="15" spans="1:219" ht="14.25">
      <c r="A15" s="73" t="s">
        <v>1709</v>
      </c>
      <c r="B15" s="605" t="s">
        <v>2063</v>
      </c>
      <c r="C15" s="505">
        <v>0</v>
      </c>
      <c r="D15" s="70"/>
      <c r="E15" s="70"/>
      <c r="J15" s="71"/>
      <c r="K15" s="71"/>
      <c r="L15" s="71"/>
      <c r="M15" s="72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</row>
    <row r="16" spans="1:219" ht="14.25">
      <c r="A16" s="73" t="s">
        <v>1710</v>
      </c>
      <c r="B16" s="605" t="s">
        <v>2062</v>
      </c>
      <c r="C16" s="505">
        <v>0</v>
      </c>
      <c r="D16" s="70"/>
      <c r="E16" s="70"/>
      <c r="J16" s="71"/>
      <c r="K16" s="71"/>
      <c r="L16" s="71"/>
      <c r="M16" s="72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</row>
    <row r="17" spans="1:219" ht="14.25">
      <c r="A17" s="73" t="s">
        <v>1710</v>
      </c>
      <c r="B17" s="605" t="s">
        <v>2063</v>
      </c>
      <c r="C17" s="505">
        <v>0</v>
      </c>
      <c r="D17" s="70"/>
      <c r="E17" s="70"/>
      <c r="J17" s="71"/>
      <c r="K17" s="71"/>
      <c r="L17" s="71"/>
      <c r="M17" s="72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</row>
    <row r="19" spans="1:219" ht="14.25">
      <c r="A19" s="69"/>
      <c r="B19" s="24"/>
      <c r="C19" s="69"/>
      <c r="D19" s="70"/>
      <c r="E19" s="70"/>
      <c r="J19" s="71"/>
      <c r="K19" s="71"/>
      <c r="L19" s="71"/>
      <c r="M19" s="72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</row>
    <row r="20" spans="1:219" ht="25.5">
      <c r="A20" s="501" t="s">
        <v>1368</v>
      </c>
      <c r="B20" s="502" t="s">
        <v>1126</v>
      </c>
      <c r="C20" s="502" t="s">
        <v>1099</v>
      </c>
      <c r="D20" s="502" t="s">
        <v>1390</v>
      </c>
      <c r="E20" s="502" t="s">
        <v>1100</v>
      </c>
      <c r="F20" s="502" t="s">
        <v>1367</v>
      </c>
      <c r="G20" s="610" t="s">
        <v>1708</v>
      </c>
      <c r="H20" s="503" t="s">
        <v>1127</v>
      </c>
      <c r="I20" s="71"/>
      <c r="J20" s="71"/>
      <c r="K20" s="71"/>
      <c r="L20" s="71"/>
      <c r="M20" s="72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</row>
    <row r="21" spans="1:219">
      <c r="A21" s="74" t="s">
        <v>1134</v>
      </c>
      <c r="B21" s="614" t="s">
        <v>1377</v>
      </c>
      <c r="C21" s="76" t="s">
        <v>1131</v>
      </c>
      <c r="D21" s="507">
        <v>0</v>
      </c>
      <c r="E21" s="77">
        <v>2190</v>
      </c>
      <c r="F21" s="78">
        <f>E21*D21</f>
        <v>0</v>
      </c>
      <c r="G21" s="94">
        <f>C15</f>
        <v>0</v>
      </c>
      <c r="H21" s="79">
        <f>G21*F21</f>
        <v>0</v>
      </c>
      <c r="I21" s="71"/>
      <c r="J21" s="71"/>
      <c r="K21" s="71"/>
      <c r="L21" s="71"/>
      <c r="M21" s="72"/>
      <c r="N21" s="71"/>
    </row>
    <row r="22" spans="1:219">
      <c r="A22" s="74" t="s">
        <v>1134</v>
      </c>
      <c r="B22" s="614" t="s">
        <v>1391</v>
      </c>
      <c r="C22" s="76" t="s">
        <v>1131</v>
      </c>
      <c r="D22" s="507">
        <v>0</v>
      </c>
      <c r="E22" s="77">
        <v>1032</v>
      </c>
      <c r="F22" s="78">
        <f>E22*D22</f>
        <v>0</v>
      </c>
      <c r="G22" s="94">
        <f>C15</f>
        <v>0</v>
      </c>
      <c r="H22" s="79">
        <f t="shared" ref="H22:H25" si="0">G22*F22</f>
        <v>0</v>
      </c>
      <c r="I22" s="71"/>
      <c r="J22" s="71"/>
      <c r="K22" s="71"/>
      <c r="L22" s="71"/>
      <c r="M22" s="72"/>
      <c r="N22" s="71"/>
    </row>
    <row r="23" spans="1:219">
      <c r="A23" s="74" t="s">
        <v>1134</v>
      </c>
      <c r="B23" s="614" t="s">
        <v>1392</v>
      </c>
      <c r="C23" s="76" t="s">
        <v>1131</v>
      </c>
      <c r="D23" s="507">
        <v>0</v>
      </c>
      <c r="E23" s="77">
        <v>959</v>
      </c>
      <c r="F23" s="78">
        <f>E23*D23</f>
        <v>0</v>
      </c>
      <c r="G23" s="94">
        <f>C15</f>
        <v>0</v>
      </c>
      <c r="H23" s="79">
        <f t="shared" si="0"/>
        <v>0</v>
      </c>
      <c r="I23" s="71"/>
      <c r="J23" s="71"/>
      <c r="K23" s="71"/>
      <c r="L23" s="71"/>
      <c r="M23" s="72"/>
      <c r="N23" s="71"/>
    </row>
    <row r="24" spans="1:219">
      <c r="A24" s="74" t="s">
        <v>1134</v>
      </c>
      <c r="B24" s="75" t="s">
        <v>1393</v>
      </c>
      <c r="C24" s="76" t="s">
        <v>1131</v>
      </c>
      <c r="D24" s="507">
        <v>0</v>
      </c>
      <c r="E24" s="77">
        <v>1032</v>
      </c>
      <c r="F24" s="78">
        <f>E24*D24</f>
        <v>0</v>
      </c>
      <c r="G24" s="94">
        <f>C14</f>
        <v>0</v>
      </c>
      <c r="H24" s="79">
        <f t="shared" si="0"/>
        <v>0</v>
      </c>
      <c r="I24" s="71"/>
      <c r="J24" s="71"/>
      <c r="K24" s="71"/>
      <c r="L24" s="71"/>
      <c r="M24" s="72"/>
      <c r="N24" s="71"/>
    </row>
    <row r="25" spans="1:219">
      <c r="A25" s="74" t="s">
        <v>1134</v>
      </c>
      <c r="B25" s="75" t="s">
        <v>1394</v>
      </c>
      <c r="C25" s="76" t="s">
        <v>1131</v>
      </c>
      <c r="D25" s="507">
        <v>0</v>
      </c>
      <c r="E25" s="77">
        <v>959</v>
      </c>
      <c r="F25" s="78">
        <f>E25*D25</f>
        <v>0</v>
      </c>
      <c r="G25" s="94">
        <f>C14</f>
        <v>0</v>
      </c>
      <c r="H25" s="79">
        <f t="shared" si="0"/>
        <v>0</v>
      </c>
      <c r="I25" s="71"/>
      <c r="J25" s="71"/>
      <c r="K25" s="71"/>
      <c r="L25" s="71"/>
      <c r="M25" s="72"/>
      <c r="N25" s="71"/>
    </row>
    <row r="26" spans="1:219">
      <c r="A26" s="74"/>
      <c r="B26" s="75"/>
      <c r="C26" s="75"/>
      <c r="D26" s="80"/>
      <c r="E26" s="81"/>
      <c r="F26" s="82"/>
      <c r="G26" s="612"/>
      <c r="H26" s="83"/>
      <c r="K26" s="71"/>
      <c r="L26" s="71"/>
      <c r="M26" s="72"/>
      <c r="N26" s="71"/>
    </row>
    <row r="27" spans="1:219" ht="25.5">
      <c r="A27" s="501"/>
      <c r="B27" s="502" t="s">
        <v>1383</v>
      </c>
      <c r="C27" s="502" t="s">
        <v>1099</v>
      </c>
      <c r="D27" s="502" t="s">
        <v>1100</v>
      </c>
      <c r="E27" s="502" t="s">
        <v>1128</v>
      </c>
      <c r="F27" s="502"/>
      <c r="G27" s="610"/>
      <c r="H27" s="503" t="s">
        <v>1127</v>
      </c>
      <c r="I27" s="71"/>
      <c r="J27" s="71"/>
      <c r="K27" s="71"/>
      <c r="L27" s="71"/>
      <c r="M27" s="72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71"/>
      <c r="HB27" s="71"/>
      <c r="HC27" s="71"/>
      <c r="HD27" s="71"/>
      <c r="HE27" s="71"/>
      <c r="HF27" s="71"/>
      <c r="HG27" s="71"/>
      <c r="HH27" s="71"/>
      <c r="HI27" s="71"/>
      <c r="HJ27" s="71"/>
    </row>
    <row r="28" spans="1:219">
      <c r="A28" s="74"/>
      <c r="B28" s="509"/>
      <c r="C28" s="513"/>
      <c r="D28" s="510" t="s">
        <v>1371</v>
      </c>
      <c r="E28" s="511">
        <v>0</v>
      </c>
      <c r="F28" s="84"/>
      <c r="G28" s="94"/>
      <c r="H28" s="83">
        <f>E28*D28</f>
        <v>0</v>
      </c>
    </row>
    <row r="29" spans="1:219">
      <c r="A29" s="74"/>
      <c r="B29" s="509"/>
      <c r="C29" s="510"/>
      <c r="D29" s="510" t="s">
        <v>1371</v>
      </c>
      <c r="E29" s="511">
        <v>0</v>
      </c>
      <c r="F29" s="84"/>
      <c r="G29" s="94"/>
      <c r="H29" s="83">
        <f t="shared" ref="H29:H33" si="1">E29*D29</f>
        <v>0</v>
      </c>
    </row>
    <row r="30" spans="1:219">
      <c r="A30" s="74"/>
      <c r="B30" s="509"/>
      <c r="C30" s="510"/>
      <c r="D30" s="510" t="s">
        <v>1371</v>
      </c>
      <c r="E30" s="511">
        <v>0</v>
      </c>
      <c r="F30" s="84"/>
      <c r="G30" s="94"/>
      <c r="H30" s="83">
        <f t="shared" si="1"/>
        <v>0</v>
      </c>
    </row>
    <row r="31" spans="1:219">
      <c r="A31" s="74"/>
      <c r="B31" s="509"/>
      <c r="C31" s="510"/>
      <c r="D31" s="510" t="s">
        <v>1371</v>
      </c>
      <c r="E31" s="511">
        <v>0</v>
      </c>
      <c r="F31" s="84"/>
      <c r="G31" s="94"/>
      <c r="H31" s="83">
        <f t="shared" si="1"/>
        <v>0</v>
      </c>
    </row>
    <row r="32" spans="1:219">
      <c r="A32" s="74"/>
      <c r="B32" s="509"/>
      <c r="C32" s="510"/>
      <c r="D32" s="510" t="s">
        <v>1371</v>
      </c>
      <c r="E32" s="511">
        <v>0</v>
      </c>
      <c r="F32" s="84"/>
      <c r="G32" s="94"/>
      <c r="H32" s="83">
        <f t="shared" si="1"/>
        <v>0</v>
      </c>
    </row>
    <row r="33" spans="1:218">
      <c r="A33" s="74"/>
      <c r="B33" s="509"/>
      <c r="C33" s="509"/>
      <c r="D33" s="510" t="s">
        <v>1371</v>
      </c>
      <c r="E33" s="511">
        <v>0</v>
      </c>
      <c r="F33" s="84"/>
      <c r="G33" s="94"/>
      <c r="H33" s="83">
        <f t="shared" si="1"/>
        <v>0</v>
      </c>
    </row>
    <row r="34" spans="1:218">
      <c r="A34" s="85"/>
      <c r="B34" s="86"/>
      <c r="C34" s="86"/>
      <c r="D34" s="87"/>
      <c r="E34" s="88"/>
      <c r="F34" s="89"/>
      <c r="G34" s="89"/>
      <c r="H34" s="83"/>
    </row>
    <row r="35" spans="1:218" ht="25.5">
      <c r="A35" s="501" t="s">
        <v>1369</v>
      </c>
      <c r="B35" s="502"/>
      <c r="C35" s="502"/>
      <c r="D35" s="502"/>
      <c r="E35" s="368" t="s">
        <v>2061</v>
      </c>
      <c r="F35" s="502" t="s">
        <v>1367</v>
      </c>
      <c r="G35" s="610" t="s">
        <v>1708</v>
      </c>
      <c r="H35" s="503" t="s">
        <v>1127</v>
      </c>
      <c r="I35" s="71"/>
      <c r="J35" s="71"/>
      <c r="K35" s="71"/>
      <c r="L35" s="71"/>
      <c r="M35" s="72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</row>
    <row r="36" spans="1:218">
      <c r="A36" s="74" t="s">
        <v>1139</v>
      </c>
      <c r="B36" s="75" t="s">
        <v>1363</v>
      </c>
      <c r="C36" s="75"/>
      <c r="D36" s="80"/>
      <c r="E36" s="667" t="s">
        <v>2062</v>
      </c>
      <c r="F36" s="512">
        <v>0</v>
      </c>
      <c r="G36" s="94">
        <f>C16</f>
        <v>0</v>
      </c>
      <c r="H36" s="79">
        <f t="shared" ref="H36:H37" si="2">G36*F36</f>
        <v>0</v>
      </c>
      <c r="I36" s="71"/>
      <c r="J36" s="71"/>
    </row>
    <row r="37" spans="1:218">
      <c r="A37" s="74" t="s">
        <v>1139</v>
      </c>
      <c r="B37" s="75" t="s">
        <v>1363</v>
      </c>
      <c r="C37" s="75"/>
      <c r="D37" s="80"/>
      <c r="E37" s="667" t="s">
        <v>2063</v>
      </c>
      <c r="F37" s="512">
        <v>0</v>
      </c>
      <c r="G37" s="94">
        <f>C17</f>
        <v>0</v>
      </c>
      <c r="H37" s="79">
        <f t="shared" si="2"/>
        <v>0</v>
      </c>
      <c r="J37" s="71"/>
    </row>
    <row r="38" spans="1:218">
      <c r="B38" s="66"/>
      <c r="C38" s="66"/>
      <c r="D38" s="66"/>
      <c r="E38" s="66"/>
      <c r="F38" s="90" t="s">
        <v>5</v>
      </c>
      <c r="G38" s="613"/>
      <c r="H38" s="91">
        <f>SUM(H21:H37)</f>
        <v>0</v>
      </c>
      <c r="J38" s="71"/>
      <c r="M38" s="65"/>
    </row>
    <row r="39" spans="1:218">
      <c r="J39" s="71"/>
    </row>
    <row r="40" spans="1:218">
      <c r="J40" s="71"/>
    </row>
    <row r="41" spans="1:218">
      <c r="J41" s="71"/>
    </row>
    <row r="42" spans="1:218">
      <c r="J42" s="71"/>
    </row>
    <row r="43" spans="1:218">
      <c r="J43" s="71"/>
    </row>
  </sheetData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83E1-4971-4C28-BA9D-7A8CC6FE626C}">
  <sheetPr>
    <tabColor theme="0" tint="-0.14999847407452621"/>
  </sheetPr>
  <dimension ref="A1:L175"/>
  <sheetViews>
    <sheetView showGridLines="0" workbookViewId="0">
      <pane ySplit="10" topLeftCell="A11" activePane="bottomLeft" state="frozen"/>
      <selection activeCell="E13" sqref="E13"/>
      <selection pane="bottomLeft" activeCell="I28" sqref="I28"/>
    </sheetView>
  </sheetViews>
  <sheetFormatPr defaultRowHeight="12.75"/>
  <cols>
    <col min="1" max="1" width="9.28515625" bestFit="1" customWidth="1"/>
    <col min="2" max="2" width="16.85546875" bestFit="1" customWidth="1"/>
    <col min="3" max="3" width="27.7109375" bestFit="1" customWidth="1"/>
    <col min="5" max="5" width="30.5703125" bestFit="1" customWidth="1"/>
    <col min="6" max="6" width="13.28515625" customWidth="1"/>
    <col min="7" max="7" width="25" bestFit="1" customWidth="1"/>
    <col min="8" max="8" width="16" customWidth="1"/>
    <col min="9" max="9" width="17" bestFit="1" customWidth="1"/>
    <col min="10" max="10" width="12.28515625" customWidth="1"/>
    <col min="11" max="11" width="10.42578125" customWidth="1"/>
    <col min="12" max="12" width="12.42578125" customWidth="1"/>
  </cols>
  <sheetData>
    <row r="1" spans="1:12" ht="13.5">
      <c r="A1" s="620" t="s">
        <v>2</v>
      </c>
      <c r="B1" s="294"/>
      <c r="C1" s="294"/>
      <c r="D1" s="295"/>
      <c r="E1" s="32"/>
      <c r="F1" s="32"/>
      <c r="G1" s="621"/>
      <c r="H1" s="32"/>
      <c r="I1" s="32"/>
      <c r="J1" s="32"/>
      <c r="K1" s="621"/>
      <c r="L1" s="296"/>
    </row>
    <row r="2" spans="1:12" ht="13.5">
      <c r="A2" s="302"/>
      <c r="B2" s="294"/>
      <c r="C2" s="300"/>
      <c r="D2" s="301"/>
      <c r="E2" s="302"/>
      <c r="F2" s="302"/>
      <c r="G2" s="622"/>
      <c r="H2" s="303"/>
      <c r="I2" s="303"/>
      <c r="J2" s="303"/>
      <c r="K2" s="622"/>
      <c r="L2" s="304"/>
    </row>
    <row r="3" spans="1:12" ht="17.25">
      <c r="A3" s="623" t="s">
        <v>3</v>
      </c>
      <c r="B3" s="294"/>
      <c r="C3" s="350" t="str">
        <f>'1-Inschrijfstaat'!B3</f>
        <v>GVB Infra B.V.</v>
      </c>
      <c r="D3" s="301"/>
      <c r="E3" s="32"/>
      <c r="F3" s="32"/>
      <c r="G3" s="621"/>
      <c r="H3" s="303"/>
      <c r="I3" s="303"/>
      <c r="J3" s="303"/>
      <c r="K3" s="622"/>
      <c r="L3" s="307"/>
    </row>
    <row r="4" spans="1:12" ht="17.25">
      <c r="A4" s="623" t="s">
        <v>8</v>
      </c>
      <c r="B4" s="294"/>
      <c r="C4" s="350" t="str">
        <f ca="1">MID(CELL("bestandsnaam",$B$9),SEARCH("]",CELL("bestandsnaam",$B$9),1)+1,256)</f>
        <v>14-Gelijkrichter stations</v>
      </c>
      <c r="D4" s="301"/>
      <c r="E4" s="32"/>
      <c r="F4" s="32"/>
      <c r="G4" s="621"/>
      <c r="H4" s="303"/>
      <c r="I4" s="303"/>
      <c r="J4" s="303"/>
      <c r="K4" s="622"/>
      <c r="L4" s="309"/>
    </row>
    <row r="5" spans="1:12" ht="17.25">
      <c r="A5" s="623" t="s">
        <v>4</v>
      </c>
      <c r="B5" s="294"/>
      <c r="C5" s="350" t="str">
        <f>'1-Inschrijfstaat'!B5</f>
        <v>Diverse</v>
      </c>
      <c r="D5" s="301"/>
      <c r="E5" s="32"/>
      <c r="F5" s="32"/>
      <c r="G5" s="621"/>
      <c r="H5" s="303"/>
      <c r="I5" s="303"/>
      <c r="J5" s="303"/>
      <c r="K5" s="622"/>
      <c r="L5" s="309"/>
    </row>
    <row r="6" spans="1:12" ht="17.25">
      <c r="A6" s="623" t="s">
        <v>9</v>
      </c>
      <c r="B6" s="294"/>
      <c r="C6" s="350" t="str">
        <f>'1-Inschrijfstaat'!B6</f>
        <v>2021-03</v>
      </c>
      <c r="D6" s="301"/>
      <c r="E6" s="32"/>
      <c r="F6" s="32"/>
      <c r="G6" s="621"/>
      <c r="H6" s="303"/>
      <c r="I6" s="303"/>
      <c r="J6" s="303"/>
      <c r="K6" s="622"/>
      <c r="L6" s="309"/>
    </row>
    <row r="7" spans="1:12" ht="17.25">
      <c r="A7" s="623" t="s">
        <v>6</v>
      </c>
      <c r="B7" s="294"/>
      <c r="C7" s="350" t="str">
        <f>'1-Inschrijfstaat'!B7</f>
        <v>Naam dienstverlener</v>
      </c>
      <c r="D7" s="301"/>
      <c r="E7" s="32"/>
      <c r="F7" s="32"/>
      <c r="G7" s="621"/>
      <c r="H7" s="303"/>
      <c r="I7" s="303"/>
      <c r="J7" s="303"/>
      <c r="K7" s="622"/>
      <c r="L7" s="309"/>
    </row>
    <row r="8" spans="1:12" ht="15.75">
      <c r="A8" s="623" t="s">
        <v>7</v>
      </c>
      <c r="B8" s="294"/>
      <c r="C8" s="15" t="str">
        <f>'1-Inschrijfstaat'!B8</f>
        <v>1 juni 2021</v>
      </c>
      <c r="D8" s="301"/>
      <c r="E8" s="32"/>
      <c r="F8" s="32"/>
      <c r="G8" s="621"/>
      <c r="H8" s="303"/>
      <c r="I8" s="303"/>
      <c r="J8" s="303"/>
      <c r="K8" s="622"/>
      <c r="L8" s="309"/>
    </row>
    <row r="9" spans="1:12" ht="15">
      <c r="A9" s="624" t="s">
        <v>0</v>
      </c>
      <c r="B9" s="294"/>
      <c r="C9" s="311" t="str">
        <f>'1-Inschrijfstaat'!B9</f>
        <v>2 Technische schoonmaak</v>
      </c>
      <c r="D9" s="312"/>
      <c r="E9" s="32"/>
      <c r="F9" s="32"/>
      <c r="G9" s="621"/>
      <c r="H9" s="303"/>
      <c r="I9" s="303"/>
      <c r="J9" s="303"/>
      <c r="K9" s="622"/>
      <c r="L9" s="309"/>
    </row>
    <row r="10" spans="1:12" ht="13.5">
      <c r="A10" s="313"/>
      <c r="B10" s="314"/>
      <c r="C10" s="32"/>
      <c r="D10" s="315"/>
      <c r="E10" s="32"/>
      <c r="F10" s="314"/>
      <c r="G10" s="625"/>
      <c r="H10" s="316"/>
      <c r="I10" s="316"/>
      <c r="J10" s="316"/>
      <c r="K10" s="625"/>
      <c r="L10" s="625"/>
    </row>
    <row r="11" spans="1:12" s="163" customFormat="1" ht="13.5"/>
    <row r="12" spans="1:12" s="163" customFormat="1" ht="25.5">
      <c r="A12" s="636" t="s">
        <v>1711</v>
      </c>
      <c r="B12" s="636"/>
      <c r="C12" s="616" t="s">
        <v>2061</v>
      </c>
      <c r="D12" s="616" t="s">
        <v>1708</v>
      </c>
    </row>
    <row r="13" spans="1:12" s="163" customFormat="1" ht="13.5">
      <c r="A13" s="273" t="s">
        <v>1709</v>
      </c>
      <c r="B13" s="637"/>
      <c r="C13" s="605" t="s">
        <v>2062</v>
      </c>
      <c r="D13" s="384">
        <v>0</v>
      </c>
    </row>
    <row r="15" spans="1:12" ht="38.25">
      <c r="A15" s="615" t="s">
        <v>290</v>
      </c>
      <c r="B15" s="647" t="s">
        <v>2110</v>
      </c>
      <c r="C15" s="650"/>
      <c r="D15" s="650"/>
      <c r="E15" s="650"/>
      <c r="F15" s="638" t="s">
        <v>2104</v>
      </c>
      <c r="G15" s="638" t="s">
        <v>2105</v>
      </c>
      <c r="H15" s="615" t="s">
        <v>2106</v>
      </c>
      <c r="I15" s="615" t="s">
        <v>2107</v>
      </c>
      <c r="J15" s="615" t="s">
        <v>2108</v>
      </c>
      <c r="K15" s="615" t="s">
        <v>2005</v>
      </c>
      <c r="L15" s="615" t="s">
        <v>2109</v>
      </c>
    </row>
    <row r="16" spans="1:12" ht="13.5">
      <c r="A16" s="33">
        <v>401</v>
      </c>
      <c r="B16" s="648" t="s">
        <v>1556</v>
      </c>
      <c r="C16" s="651"/>
      <c r="D16" s="651"/>
      <c r="E16" s="651"/>
      <c r="F16" s="639">
        <f t="shared" ref="F16:F30" si="0">SUMIFS($L$36:$L$175,$A$36:$A$175,$A16,$K$36:$K$175,12)</f>
        <v>3</v>
      </c>
      <c r="G16" s="639">
        <f t="shared" ref="G16:G30" si="1">SUMIFS($L$36:$L$175,$A$36:$A$175,$A16,$K$36:$K$175,2)</f>
        <v>57</v>
      </c>
      <c r="H16" s="640">
        <v>0</v>
      </c>
      <c r="I16" s="640">
        <v>0</v>
      </c>
      <c r="J16" s="641">
        <f t="shared" ref="J16:J30" si="2">(H16*12)+(I16*2)</f>
        <v>0</v>
      </c>
      <c r="K16" s="345">
        <f t="shared" ref="K16:K30" si="3">$D$13</f>
        <v>0</v>
      </c>
      <c r="L16" s="345">
        <f>K16*J16</f>
        <v>0</v>
      </c>
    </row>
    <row r="17" spans="1:12" ht="13.5">
      <c r="A17" s="33">
        <v>402</v>
      </c>
      <c r="B17" s="648" t="s">
        <v>289</v>
      </c>
      <c r="C17" s="651"/>
      <c r="D17" s="651"/>
      <c r="E17" s="651"/>
      <c r="F17" s="639">
        <f t="shared" si="0"/>
        <v>8</v>
      </c>
      <c r="G17" s="639">
        <f t="shared" si="1"/>
        <v>35</v>
      </c>
      <c r="H17" s="640">
        <v>0</v>
      </c>
      <c r="I17" s="640">
        <v>0</v>
      </c>
      <c r="J17" s="641">
        <f t="shared" si="2"/>
        <v>0</v>
      </c>
      <c r="K17" s="345">
        <f t="shared" si="3"/>
        <v>0</v>
      </c>
      <c r="L17" s="345">
        <f t="shared" ref="L17:L30" si="4">K17*J17</f>
        <v>0</v>
      </c>
    </row>
    <row r="18" spans="1:12" ht="13.5">
      <c r="A18" s="33">
        <v>403</v>
      </c>
      <c r="B18" s="648" t="s">
        <v>103</v>
      </c>
      <c r="C18" s="651"/>
      <c r="D18" s="651"/>
      <c r="E18" s="651"/>
      <c r="F18" s="639">
        <f t="shared" si="0"/>
        <v>0</v>
      </c>
      <c r="G18" s="639">
        <f t="shared" si="1"/>
        <v>0</v>
      </c>
      <c r="H18" s="641"/>
      <c r="I18" s="641"/>
      <c r="J18" s="641">
        <f t="shared" si="2"/>
        <v>0</v>
      </c>
      <c r="K18" s="345">
        <f t="shared" si="3"/>
        <v>0</v>
      </c>
      <c r="L18" s="345">
        <f t="shared" si="4"/>
        <v>0</v>
      </c>
    </row>
    <row r="19" spans="1:12" ht="13.5">
      <c r="A19" s="33">
        <v>404</v>
      </c>
      <c r="B19" s="648" t="s">
        <v>140</v>
      </c>
      <c r="C19" s="651"/>
      <c r="D19" s="651"/>
      <c r="E19" s="651"/>
      <c r="F19" s="639">
        <f t="shared" si="0"/>
        <v>0</v>
      </c>
      <c r="G19" s="639">
        <f t="shared" si="1"/>
        <v>11</v>
      </c>
      <c r="H19" s="641"/>
      <c r="I19" s="640">
        <v>0</v>
      </c>
      <c r="J19" s="641">
        <f t="shared" si="2"/>
        <v>0</v>
      </c>
      <c r="K19" s="345">
        <f t="shared" si="3"/>
        <v>0</v>
      </c>
      <c r="L19" s="345">
        <f t="shared" si="4"/>
        <v>0</v>
      </c>
    </row>
    <row r="20" spans="1:12" ht="13.5">
      <c r="A20" s="33">
        <v>405</v>
      </c>
      <c r="B20" s="648" t="s">
        <v>1666</v>
      </c>
      <c r="C20" s="651"/>
      <c r="D20" s="651"/>
      <c r="E20" s="651"/>
      <c r="F20" s="639">
        <f t="shared" si="0"/>
        <v>8</v>
      </c>
      <c r="G20" s="639">
        <f t="shared" si="1"/>
        <v>41</v>
      </c>
      <c r="H20" s="640">
        <v>0</v>
      </c>
      <c r="I20" s="640">
        <v>0</v>
      </c>
      <c r="J20" s="641">
        <f t="shared" si="2"/>
        <v>0</v>
      </c>
      <c r="K20" s="345">
        <f t="shared" si="3"/>
        <v>0</v>
      </c>
      <c r="L20" s="345">
        <f t="shared" si="4"/>
        <v>0</v>
      </c>
    </row>
    <row r="21" spans="1:12" ht="13.5">
      <c r="A21" s="33">
        <v>406</v>
      </c>
      <c r="B21" s="648" t="s">
        <v>301</v>
      </c>
      <c r="C21" s="651"/>
      <c r="D21" s="651"/>
      <c r="E21" s="651"/>
      <c r="F21" s="639">
        <f t="shared" si="0"/>
        <v>8</v>
      </c>
      <c r="G21" s="639">
        <f t="shared" si="1"/>
        <v>53</v>
      </c>
      <c r="H21" s="640">
        <v>0</v>
      </c>
      <c r="I21" s="640">
        <v>0</v>
      </c>
      <c r="J21" s="641">
        <f t="shared" si="2"/>
        <v>0</v>
      </c>
      <c r="K21" s="345">
        <f t="shared" si="3"/>
        <v>0</v>
      </c>
      <c r="L21" s="345">
        <f t="shared" si="4"/>
        <v>0</v>
      </c>
    </row>
    <row r="22" spans="1:12" ht="13.5">
      <c r="A22" s="33">
        <v>407</v>
      </c>
      <c r="B22" s="648" t="s">
        <v>198</v>
      </c>
      <c r="C22" s="651"/>
      <c r="D22" s="651"/>
      <c r="E22" s="651"/>
      <c r="F22" s="639">
        <f t="shared" si="0"/>
        <v>8</v>
      </c>
      <c r="G22" s="639">
        <f t="shared" si="1"/>
        <v>53</v>
      </c>
      <c r="H22" s="640">
        <v>0</v>
      </c>
      <c r="I22" s="640">
        <v>0</v>
      </c>
      <c r="J22" s="641">
        <f t="shared" si="2"/>
        <v>0</v>
      </c>
      <c r="K22" s="345">
        <f t="shared" si="3"/>
        <v>0</v>
      </c>
      <c r="L22" s="345">
        <f t="shared" si="4"/>
        <v>0</v>
      </c>
    </row>
    <row r="23" spans="1:12" ht="13.5">
      <c r="A23" s="33">
        <v>408</v>
      </c>
      <c r="B23" s="648" t="s">
        <v>238</v>
      </c>
      <c r="C23" s="651"/>
      <c r="D23" s="651"/>
      <c r="E23" s="651"/>
      <c r="F23" s="639">
        <f t="shared" si="0"/>
        <v>8</v>
      </c>
      <c r="G23" s="639">
        <f t="shared" si="1"/>
        <v>53</v>
      </c>
      <c r="H23" s="640">
        <v>0</v>
      </c>
      <c r="I23" s="640">
        <v>0</v>
      </c>
      <c r="J23" s="641">
        <f t="shared" si="2"/>
        <v>0</v>
      </c>
      <c r="K23" s="345">
        <f t="shared" si="3"/>
        <v>0</v>
      </c>
      <c r="L23" s="345">
        <f t="shared" si="4"/>
        <v>0</v>
      </c>
    </row>
    <row r="24" spans="1:12" ht="13.5">
      <c r="A24" s="33">
        <v>409</v>
      </c>
      <c r="B24" s="648" t="s">
        <v>133</v>
      </c>
      <c r="C24" s="651"/>
      <c r="D24" s="651"/>
      <c r="E24" s="651"/>
      <c r="F24" s="639">
        <f t="shared" si="0"/>
        <v>0</v>
      </c>
      <c r="G24" s="639">
        <f t="shared" si="1"/>
        <v>0</v>
      </c>
      <c r="H24" s="641"/>
      <c r="I24" s="641"/>
      <c r="J24" s="641">
        <f t="shared" si="2"/>
        <v>0</v>
      </c>
      <c r="K24" s="345">
        <f t="shared" si="3"/>
        <v>0</v>
      </c>
      <c r="L24" s="345">
        <f t="shared" si="4"/>
        <v>0</v>
      </c>
    </row>
    <row r="25" spans="1:12" ht="13.5">
      <c r="A25" s="33">
        <v>410</v>
      </c>
      <c r="B25" s="648" t="s">
        <v>1676</v>
      </c>
      <c r="C25" s="651"/>
      <c r="D25" s="651"/>
      <c r="E25" s="651"/>
      <c r="F25" s="639">
        <f t="shared" si="0"/>
        <v>0</v>
      </c>
      <c r="G25" s="639">
        <f t="shared" si="1"/>
        <v>68</v>
      </c>
      <c r="H25" s="641"/>
      <c r="I25" s="640">
        <v>0</v>
      </c>
      <c r="J25" s="641">
        <f t="shared" si="2"/>
        <v>0</v>
      </c>
      <c r="K25" s="345">
        <f t="shared" si="3"/>
        <v>0</v>
      </c>
      <c r="L25" s="345">
        <f t="shared" si="4"/>
        <v>0</v>
      </c>
    </row>
    <row r="26" spans="1:12" ht="13.5">
      <c r="A26" s="33">
        <v>411</v>
      </c>
      <c r="B26" s="648" t="s">
        <v>1679</v>
      </c>
      <c r="C26" s="651"/>
      <c r="D26" s="651"/>
      <c r="E26" s="651"/>
      <c r="F26" s="639">
        <f t="shared" si="0"/>
        <v>0</v>
      </c>
      <c r="G26" s="639">
        <f t="shared" si="1"/>
        <v>122</v>
      </c>
      <c r="H26" s="641"/>
      <c r="I26" s="640">
        <v>0</v>
      </c>
      <c r="J26" s="641">
        <f t="shared" si="2"/>
        <v>0</v>
      </c>
      <c r="K26" s="345">
        <f t="shared" si="3"/>
        <v>0</v>
      </c>
      <c r="L26" s="345">
        <f t="shared" si="4"/>
        <v>0</v>
      </c>
    </row>
    <row r="27" spans="1:12" ht="13.5">
      <c r="A27" s="33">
        <v>412</v>
      </c>
      <c r="B27" s="648" t="s">
        <v>1681</v>
      </c>
      <c r="C27" s="651"/>
      <c r="D27" s="651"/>
      <c r="E27" s="651"/>
      <c r="F27" s="639">
        <f t="shared" si="0"/>
        <v>0</v>
      </c>
      <c r="G27" s="639">
        <f t="shared" si="1"/>
        <v>65</v>
      </c>
      <c r="H27" s="641"/>
      <c r="I27" s="640">
        <v>0</v>
      </c>
      <c r="J27" s="641">
        <f t="shared" si="2"/>
        <v>0</v>
      </c>
      <c r="K27" s="345">
        <f t="shared" si="3"/>
        <v>0</v>
      </c>
      <c r="L27" s="345">
        <f t="shared" si="4"/>
        <v>0</v>
      </c>
    </row>
    <row r="28" spans="1:12" ht="13.5">
      <c r="A28" s="33">
        <v>413</v>
      </c>
      <c r="B28" s="648" t="s">
        <v>1418</v>
      </c>
      <c r="C28" s="651"/>
      <c r="D28" s="651"/>
      <c r="E28" s="651"/>
      <c r="F28" s="639">
        <f t="shared" si="0"/>
        <v>0</v>
      </c>
      <c r="G28" s="639">
        <f t="shared" si="1"/>
        <v>0</v>
      </c>
      <c r="H28" s="641"/>
      <c r="I28" s="641"/>
      <c r="J28" s="641">
        <f t="shared" si="2"/>
        <v>0</v>
      </c>
      <c r="K28" s="345">
        <f t="shared" si="3"/>
        <v>0</v>
      </c>
      <c r="L28" s="345">
        <f t="shared" si="4"/>
        <v>0</v>
      </c>
    </row>
    <row r="29" spans="1:12" ht="13.5">
      <c r="A29" s="33">
        <v>414</v>
      </c>
      <c r="B29" s="648" t="s">
        <v>1419</v>
      </c>
      <c r="C29" s="651"/>
      <c r="D29" s="651"/>
      <c r="E29" s="651"/>
      <c r="F29" s="639">
        <f t="shared" si="0"/>
        <v>0</v>
      </c>
      <c r="G29" s="639">
        <f t="shared" si="1"/>
        <v>0</v>
      </c>
      <c r="H29" s="641"/>
      <c r="I29" s="641"/>
      <c r="J29" s="641">
        <f t="shared" si="2"/>
        <v>0</v>
      </c>
      <c r="K29" s="345">
        <f t="shared" si="3"/>
        <v>0</v>
      </c>
      <c r="L29" s="345">
        <f t="shared" si="4"/>
        <v>0</v>
      </c>
    </row>
    <row r="30" spans="1:12" ht="14.25" thickBot="1">
      <c r="A30" s="410">
        <v>415</v>
      </c>
      <c r="B30" s="655" t="s">
        <v>1429</v>
      </c>
      <c r="C30" s="656"/>
      <c r="D30" s="656"/>
      <c r="E30" s="656"/>
      <c r="F30" s="657">
        <f t="shared" si="0"/>
        <v>0</v>
      </c>
      <c r="G30" s="657">
        <f t="shared" si="1"/>
        <v>0</v>
      </c>
      <c r="H30" s="658"/>
      <c r="I30" s="658"/>
      <c r="J30" s="658">
        <f t="shared" si="2"/>
        <v>0</v>
      </c>
      <c r="K30" s="659">
        <f t="shared" si="3"/>
        <v>0</v>
      </c>
      <c r="L30" s="659">
        <f t="shared" si="4"/>
        <v>0</v>
      </c>
    </row>
    <row r="31" spans="1:12" ht="14.25" thickBot="1">
      <c r="A31" s="642"/>
      <c r="B31" s="649" t="s">
        <v>2055</v>
      </c>
      <c r="C31" s="652"/>
      <c r="D31" s="652"/>
      <c r="E31" s="652"/>
      <c r="F31" s="643">
        <f>SUM(F16:F30)</f>
        <v>43</v>
      </c>
      <c r="G31" s="643">
        <f>SUM(G16:G30)</f>
        <v>558</v>
      </c>
      <c r="H31" s="644">
        <f>SUM(H16:H30)</f>
        <v>0</v>
      </c>
      <c r="I31" s="644">
        <f>SUM(I16:I30)</f>
        <v>0</v>
      </c>
      <c r="J31" s="644">
        <f>SUM(J16:J30)</f>
        <v>0</v>
      </c>
      <c r="K31" s="645"/>
      <c r="L31" s="646">
        <f>SUM(L16:L30)</f>
        <v>0</v>
      </c>
    </row>
    <row r="32" spans="1:12">
      <c r="C32" s="634"/>
      <c r="D32" s="634"/>
      <c r="E32" s="635"/>
      <c r="F32" s="635"/>
      <c r="G32" s="635"/>
    </row>
    <row r="33" spans="1:12">
      <c r="C33" s="634"/>
      <c r="D33" s="634"/>
      <c r="E33" s="635"/>
      <c r="F33" s="635"/>
      <c r="G33" s="635"/>
    </row>
    <row r="34" spans="1:12" ht="15">
      <c r="A34" s="623" t="s">
        <v>2102</v>
      </c>
    </row>
    <row r="35" spans="1:12" ht="38.25">
      <c r="A35" s="367" t="s">
        <v>290</v>
      </c>
      <c r="B35" s="367" t="s">
        <v>291</v>
      </c>
      <c r="C35" s="367" t="s">
        <v>13</v>
      </c>
      <c r="D35" s="367" t="s">
        <v>179</v>
      </c>
      <c r="E35" s="367" t="s">
        <v>1078</v>
      </c>
      <c r="F35" s="367" t="s">
        <v>1707</v>
      </c>
      <c r="G35" s="626" t="s">
        <v>2081</v>
      </c>
      <c r="H35" s="367" t="s">
        <v>1079</v>
      </c>
      <c r="I35" s="367" t="s">
        <v>2082</v>
      </c>
      <c r="J35" s="367" t="s">
        <v>2083</v>
      </c>
      <c r="K35" s="627" t="s">
        <v>2084</v>
      </c>
      <c r="L35" s="367" t="s">
        <v>2085</v>
      </c>
    </row>
    <row r="36" spans="1:12" ht="13.5">
      <c r="A36" s="23">
        <v>401</v>
      </c>
      <c r="B36" s="249" t="s">
        <v>1556</v>
      </c>
      <c r="C36" s="628" t="s">
        <v>1557</v>
      </c>
      <c r="D36" s="321"/>
      <c r="E36" s="33" t="s">
        <v>1629</v>
      </c>
      <c r="F36" s="629" t="s">
        <v>1822</v>
      </c>
      <c r="G36" s="630" t="s">
        <v>2090</v>
      </c>
      <c r="H36" s="33" t="s">
        <v>176</v>
      </c>
      <c r="I36" s="33" t="s">
        <v>2087</v>
      </c>
      <c r="J36" s="33" t="s">
        <v>2091</v>
      </c>
      <c r="K36" s="631">
        <v>2</v>
      </c>
      <c r="L36" s="324">
        <v>12</v>
      </c>
    </row>
    <row r="37" spans="1:12" ht="13.5">
      <c r="A37" s="23">
        <v>401</v>
      </c>
      <c r="B37" s="249" t="s">
        <v>1556</v>
      </c>
      <c r="C37" s="628" t="s">
        <v>1557</v>
      </c>
      <c r="D37" s="321"/>
      <c r="E37" s="33" t="s">
        <v>1611</v>
      </c>
      <c r="F37" s="629" t="s">
        <v>1768</v>
      </c>
      <c r="G37" s="630" t="s">
        <v>2092</v>
      </c>
      <c r="H37" s="33" t="s">
        <v>176</v>
      </c>
      <c r="I37" s="33" t="s">
        <v>2093</v>
      </c>
      <c r="J37" s="33" t="s">
        <v>2094</v>
      </c>
      <c r="K37" s="631">
        <v>12</v>
      </c>
      <c r="L37" s="324">
        <v>3</v>
      </c>
    </row>
    <row r="38" spans="1:12" ht="13.5">
      <c r="A38" s="23">
        <v>401</v>
      </c>
      <c r="B38" s="249" t="s">
        <v>1556</v>
      </c>
      <c r="C38" s="628" t="s">
        <v>1557</v>
      </c>
      <c r="D38" s="321"/>
      <c r="E38" s="33" t="s">
        <v>292</v>
      </c>
      <c r="F38" s="629" t="s">
        <v>16</v>
      </c>
      <c r="G38" s="630" t="s">
        <v>2095</v>
      </c>
      <c r="H38" s="33" t="s">
        <v>176</v>
      </c>
      <c r="I38" s="33" t="s">
        <v>2087</v>
      </c>
      <c r="J38" s="33" t="s">
        <v>2096</v>
      </c>
      <c r="K38" s="631">
        <v>2</v>
      </c>
      <c r="L38" s="324">
        <v>16</v>
      </c>
    </row>
    <row r="39" spans="1:12" ht="13.5">
      <c r="A39" s="23">
        <v>401</v>
      </c>
      <c r="B39" s="249" t="s">
        <v>1556</v>
      </c>
      <c r="C39" s="628" t="s">
        <v>1557</v>
      </c>
      <c r="D39" s="321"/>
      <c r="E39" s="33" t="s">
        <v>1630</v>
      </c>
      <c r="F39" s="629" t="s">
        <v>1922</v>
      </c>
      <c r="G39" s="630" t="s">
        <v>2090</v>
      </c>
      <c r="H39" s="33" t="s">
        <v>176</v>
      </c>
      <c r="I39" s="33" t="s">
        <v>2087</v>
      </c>
      <c r="J39" s="33" t="s">
        <v>2091</v>
      </c>
      <c r="K39" s="631">
        <v>2</v>
      </c>
      <c r="L39" s="324">
        <v>12</v>
      </c>
    </row>
    <row r="40" spans="1:12" ht="13.5">
      <c r="A40" s="23">
        <v>401</v>
      </c>
      <c r="B40" s="249" t="s">
        <v>1556</v>
      </c>
      <c r="C40" s="628" t="s">
        <v>1557</v>
      </c>
      <c r="D40" s="321"/>
      <c r="E40" s="33" t="s">
        <v>1631</v>
      </c>
      <c r="F40" s="629" t="s">
        <v>1923</v>
      </c>
      <c r="G40" s="630" t="s">
        <v>2090</v>
      </c>
      <c r="H40" s="33" t="s">
        <v>176</v>
      </c>
      <c r="I40" s="33" t="s">
        <v>2087</v>
      </c>
      <c r="J40" s="33" t="s">
        <v>2091</v>
      </c>
      <c r="K40" s="631">
        <v>2</v>
      </c>
      <c r="L40" s="324">
        <v>5</v>
      </c>
    </row>
    <row r="41" spans="1:12" ht="13.5">
      <c r="A41" s="23">
        <v>401</v>
      </c>
      <c r="B41" s="249" t="s">
        <v>1556</v>
      </c>
      <c r="C41" s="628" t="s">
        <v>1557</v>
      </c>
      <c r="D41" s="321"/>
      <c r="E41" s="33" t="s">
        <v>1585</v>
      </c>
      <c r="F41" s="629" t="s">
        <v>1854</v>
      </c>
      <c r="G41" s="630" t="s">
        <v>2086</v>
      </c>
      <c r="H41" s="33" t="s">
        <v>176</v>
      </c>
      <c r="I41" s="33" t="s">
        <v>2088</v>
      </c>
      <c r="J41" s="632" t="s">
        <v>2089</v>
      </c>
      <c r="K41" s="631">
        <v>0</v>
      </c>
      <c r="L41" s="324">
        <v>6</v>
      </c>
    </row>
    <row r="42" spans="1:12" ht="13.5">
      <c r="A42" s="23">
        <v>401</v>
      </c>
      <c r="B42" s="249" t="s">
        <v>1556</v>
      </c>
      <c r="C42" s="628" t="s">
        <v>1557</v>
      </c>
      <c r="D42" s="321"/>
      <c r="E42" s="33" t="s">
        <v>1632</v>
      </c>
      <c r="F42" s="629" t="s">
        <v>1924</v>
      </c>
      <c r="G42" s="630" t="s">
        <v>2086</v>
      </c>
      <c r="H42" s="33" t="s">
        <v>176</v>
      </c>
      <c r="I42" s="33" t="s">
        <v>2088</v>
      </c>
      <c r="J42" s="632" t="s">
        <v>2089</v>
      </c>
      <c r="K42" s="631">
        <v>0</v>
      </c>
      <c r="L42" s="324">
        <v>7</v>
      </c>
    </row>
    <row r="43" spans="1:12" ht="13.5">
      <c r="A43" s="23">
        <v>401</v>
      </c>
      <c r="B43" s="249" t="s">
        <v>1556</v>
      </c>
      <c r="C43" s="628" t="s">
        <v>1557</v>
      </c>
      <c r="D43" s="321"/>
      <c r="E43" s="33" t="s">
        <v>1632</v>
      </c>
      <c r="F43" s="629" t="s">
        <v>1925</v>
      </c>
      <c r="G43" s="630" t="s">
        <v>2086</v>
      </c>
      <c r="H43" s="33" t="s">
        <v>176</v>
      </c>
      <c r="I43" s="33" t="s">
        <v>2088</v>
      </c>
      <c r="J43" s="632" t="s">
        <v>2089</v>
      </c>
      <c r="K43" s="631">
        <v>0</v>
      </c>
      <c r="L43" s="324">
        <v>16</v>
      </c>
    </row>
    <row r="44" spans="1:12" ht="13.5">
      <c r="A44" s="23">
        <v>401</v>
      </c>
      <c r="B44" s="249" t="s">
        <v>1556</v>
      </c>
      <c r="C44" s="628" t="s">
        <v>1557</v>
      </c>
      <c r="D44" s="321"/>
      <c r="E44" s="33"/>
      <c r="F44" s="629" t="s">
        <v>1926</v>
      </c>
      <c r="G44" s="630" t="s">
        <v>2086</v>
      </c>
      <c r="H44" s="33" t="s">
        <v>176</v>
      </c>
      <c r="I44" s="33" t="s">
        <v>2088</v>
      </c>
      <c r="J44" s="632" t="s">
        <v>2089</v>
      </c>
      <c r="K44" s="631">
        <v>0</v>
      </c>
      <c r="L44" s="324">
        <v>85</v>
      </c>
    </row>
    <row r="45" spans="1:12" ht="13.5">
      <c r="A45" s="23">
        <v>401</v>
      </c>
      <c r="B45" s="249" t="s">
        <v>1556</v>
      </c>
      <c r="C45" s="628" t="s">
        <v>1557</v>
      </c>
      <c r="D45" s="321"/>
      <c r="E45" s="33" t="s">
        <v>292</v>
      </c>
      <c r="F45" s="629" t="s">
        <v>182</v>
      </c>
      <c r="G45" s="630" t="s">
        <v>2095</v>
      </c>
      <c r="H45" s="33" t="s">
        <v>176</v>
      </c>
      <c r="I45" s="33" t="s">
        <v>2087</v>
      </c>
      <c r="J45" s="33" t="s">
        <v>2096</v>
      </c>
      <c r="K45" s="631">
        <v>2</v>
      </c>
      <c r="L45" s="324">
        <v>6</v>
      </c>
    </row>
    <row r="46" spans="1:12" ht="13.5">
      <c r="A46" s="23">
        <v>401</v>
      </c>
      <c r="B46" s="249" t="s">
        <v>1556</v>
      </c>
      <c r="C46" s="628" t="s">
        <v>1557</v>
      </c>
      <c r="D46" s="321"/>
      <c r="E46" s="33" t="s">
        <v>1633</v>
      </c>
      <c r="F46" s="629" t="s">
        <v>1927</v>
      </c>
      <c r="G46" s="630" t="s">
        <v>2097</v>
      </c>
      <c r="H46" s="33" t="s">
        <v>176</v>
      </c>
      <c r="I46" s="33" t="s">
        <v>2087</v>
      </c>
      <c r="J46" s="33" t="s">
        <v>2098</v>
      </c>
      <c r="K46" s="631">
        <v>2</v>
      </c>
      <c r="L46" s="324">
        <v>2</v>
      </c>
    </row>
    <row r="47" spans="1:12" ht="13.5">
      <c r="A47" s="23">
        <v>401</v>
      </c>
      <c r="B47" s="249" t="s">
        <v>1556</v>
      </c>
      <c r="C47" s="628" t="s">
        <v>1557</v>
      </c>
      <c r="D47" s="321"/>
      <c r="E47" s="33" t="s">
        <v>1634</v>
      </c>
      <c r="F47" s="629" t="s">
        <v>183</v>
      </c>
      <c r="G47" s="630" t="s">
        <v>97</v>
      </c>
      <c r="H47" s="33" t="s">
        <v>12</v>
      </c>
      <c r="I47" s="33" t="s">
        <v>2087</v>
      </c>
      <c r="J47" s="33" t="s">
        <v>2099</v>
      </c>
      <c r="K47" s="631">
        <v>2</v>
      </c>
      <c r="L47" s="324">
        <v>4</v>
      </c>
    </row>
    <row r="48" spans="1:12" ht="13.5">
      <c r="A48" s="23">
        <v>401</v>
      </c>
      <c r="B48" s="249" t="s">
        <v>1556</v>
      </c>
      <c r="C48" s="628" t="s">
        <v>1557</v>
      </c>
      <c r="D48" s="321"/>
      <c r="E48" s="33" t="s">
        <v>1632</v>
      </c>
      <c r="F48" s="629" t="s">
        <v>1928</v>
      </c>
      <c r="G48" s="630" t="s">
        <v>2086</v>
      </c>
      <c r="H48" s="33" t="s">
        <v>12</v>
      </c>
      <c r="I48" s="33" t="s">
        <v>2088</v>
      </c>
      <c r="J48" s="632" t="s">
        <v>2089</v>
      </c>
      <c r="K48" s="631">
        <v>0</v>
      </c>
      <c r="L48" s="324">
        <v>27</v>
      </c>
    </row>
    <row r="49" spans="1:12" ht="13.5">
      <c r="A49" s="23">
        <v>401</v>
      </c>
      <c r="B49" s="249" t="s">
        <v>1556</v>
      </c>
      <c r="C49" s="628" t="s">
        <v>1557</v>
      </c>
      <c r="D49" s="321"/>
      <c r="E49" s="33" t="s">
        <v>1632</v>
      </c>
      <c r="F49" s="629" t="s">
        <v>1929</v>
      </c>
      <c r="G49" s="630" t="s">
        <v>2086</v>
      </c>
      <c r="H49" s="33" t="s">
        <v>12</v>
      </c>
      <c r="I49" s="33" t="s">
        <v>2088</v>
      </c>
      <c r="J49" s="632" t="s">
        <v>2089</v>
      </c>
      <c r="K49" s="631">
        <v>0</v>
      </c>
      <c r="L49" s="324">
        <v>12</v>
      </c>
    </row>
    <row r="50" spans="1:12" ht="13.5">
      <c r="A50" s="23">
        <v>401</v>
      </c>
      <c r="B50" s="249" t="s">
        <v>1556</v>
      </c>
      <c r="C50" s="628" t="s">
        <v>1557</v>
      </c>
      <c r="D50" s="321"/>
      <c r="E50" s="33" t="s">
        <v>1632</v>
      </c>
      <c r="F50" s="629" t="s">
        <v>1930</v>
      </c>
      <c r="G50" s="630" t="s">
        <v>2086</v>
      </c>
      <c r="H50" s="33" t="s">
        <v>12</v>
      </c>
      <c r="I50" s="33" t="s">
        <v>2088</v>
      </c>
      <c r="J50" s="632" t="s">
        <v>2089</v>
      </c>
      <c r="K50" s="631">
        <v>0</v>
      </c>
      <c r="L50" s="324">
        <v>12</v>
      </c>
    </row>
    <row r="51" spans="1:12" ht="13.5">
      <c r="A51" s="23">
        <v>401</v>
      </c>
      <c r="B51" s="249" t="s">
        <v>1556</v>
      </c>
      <c r="C51" s="628" t="s">
        <v>1557</v>
      </c>
      <c r="D51" s="321"/>
      <c r="E51" s="33" t="s">
        <v>320</v>
      </c>
      <c r="F51" s="629" t="s">
        <v>1931</v>
      </c>
      <c r="G51" s="630" t="s">
        <v>2086</v>
      </c>
      <c r="H51" s="33" t="s">
        <v>12</v>
      </c>
      <c r="I51" s="33" t="s">
        <v>2088</v>
      </c>
      <c r="J51" s="632" t="s">
        <v>2089</v>
      </c>
      <c r="K51" s="631">
        <v>0</v>
      </c>
      <c r="L51" s="324">
        <v>12</v>
      </c>
    </row>
    <row r="52" spans="1:12" ht="13.5">
      <c r="A52" s="23">
        <v>402</v>
      </c>
      <c r="B52" s="249" t="s">
        <v>289</v>
      </c>
      <c r="C52" s="628" t="s">
        <v>1557</v>
      </c>
      <c r="D52" s="321"/>
      <c r="E52" s="33" t="s">
        <v>111</v>
      </c>
      <c r="F52" s="629" t="s">
        <v>1500</v>
      </c>
      <c r="G52" s="630" t="s">
        <v>2095</v>
      </c>
      <c r="H52" s="33" t="s">
        <v>160</v>
      </c>
      <c r="I52" s="33" t="s">
        <v>2087</v>
      </c>
      <c r="J52" s="33" t="s">
        <v>2096</v>
      </c>
      <c r="K52" s="631">
        <v>2</v>
      </c>
      <c r="L52" s="324">
        <v>19</v>
      </c>
    </row>
    <row r="53" spans="1:12" ht="13.5">
      <c r="A53" s="23">
        <v>402</v>
      </c>
      <c r="B53" s="249" t="s">
        <v>289</v>
      </c>
      <c r="C53" s="628" t="s">
        <v>1557</v>
      </c>
      <c r="D53" s="321"/>
      <c r="E53" s="33" t="s">
        <v>1635</v>
      </c>
      <c r="F53" s="629" t="s">
        <v>1504</v>
      </c>
      <c r="G53" s="630" t="s">
        <v>2090</v>
      </c>
      <c r="H53" s="33" t="s">
        <v>160</v>
      </c>
      <c r="I53" s="33" t="s">
        <v>2087</v>
      </c>
      <c r="J53" s="33" t="s">
        <v>2091</v>
      </c>
      <c r="K53" s="631">
        <v>2</v>
      </c>
      <c r="L53" s="324">
        <v>12</v>
      </c>
    </row>
    <row r="54" spans="1:12" ht="13.5">
      <c r="A54" s="23">
        <v>402</v>
      </c>
      <c r="B54" s="249" t="s">
        <v>289</v>
      </c>
      <c r="C54" s="628" t="s">
        <v>1557</v>
      </c>
      <c r="D54" s="321"/>
      <c r="E54" s="33" t="s">
        <v>309</v>
      </c>
      <c r="F54" s="629" t="s">
        <v>1636</v>
      </c>
      <c r="G54" s="630" t="s">
        <v>2092</v>
      </c>
      <c r="H54" s="33" t="s">
        <v>160</v>
      </c>
      <c r="I54" s="33" t="s">
        <v>2093</v>
      </c>
      <c r="J54" s="33" t="s">
        <v>2094</v>
      </c>
      <c r="K54" s="631">
        <v>12</v>
      </c>
      <c r="L54" s="324">
        <v>1</v>
      </c>
    </row>
    <row r="55" spans="1:12" ht="13.5">
      <c r="A55" s="23">
        <v>402</v>
      </c>
      <c r="B55" s="249" t="s">
        <v>289</v>
      </c>
      <c r="C55" s="628" t="s">
        <v>1557</v>
      </c>
      <c r="D55" s="321"/>
      <c r="E55" s="33" t="s">
        <v>309</v>
      </c>
      <c r="F55" s="629" t="s">
        <v>1637</v>
      </c>
      <c r="G55" s="630" t="s">
        <v>2092</v>
      </c>
      <c r="H55" s="33" t="s">
        <v>160</v>
      </c>
      <c r="I55" s="33" t="s">
        <v>2093</v>
      </c>
      <c r="J55" s="33" t="s">
        <v>2094</v>
      </c>
      <c r="K55" s="631">
        <v>12</v>
      </c>
      <c r="L55" s="324">
        <v>1</v>
      </c>
    </row>
    <row r="56" spans="1:12" ht="13.5">
      <c r="A56" s="23">
        <v>402</v>
      </c>
      <c r="B56" s="249" t="s">
        <v>289</v>
      </c>
      <c r="C56" s="628" t="s">
        <v>1557</v>
      </c>
      <c r="D56" s="321"/>
      <c r="E56" s="33" t="s">
        <v>1638</v>
      </c>
      <c r="F56" s="629" t="s">
        <v>1502</v>
      </c>
      <c r="G56" s="630" t="s">
        <v>2086</v>
      </c>
      <c r="H56" s="33" t="s">
        <v>160</v>
      </c>
      <c r="I56" s="33" t="s">
        <v>2088</v>
      </c>
      <c r="J56" s="632" t="s">
        <v>2089</v>
      </c>
      <c r="K56" s="631">
        <v>0</v>
      </c>
      <c r="L56" s="324">
        <v>12</v>
      </c>
    </row>
    <row r="57" spans="1:12" ht="13.5">
      <c r="A57" s="23">
        <v>402</v>
      </c>
      <c r="B57" s="249" t="s">
        <v>289</v>
      </c>
      <c r="C57" s="628" t="s">
        <v>1557</v>
      </c>
      <c r="D57" s="321"/>
      <c r="E57" s="33" t="s">
        <v>1639</v>
      </c>
      <c r="F57" s="629" t="s">
        <v>1640</v>
      </c>
      <c r="G57" s="630" t="s">
        <v>2086</v>
      </c>
      <c r="H57" s="33" t="s">
        <v>160</v>
      </c>
      <c r="I57" s="33" t="s">
        <v>2088</v>
      </c>
      <c r="J57" s="632" t="s">
        <v>2089</v>
      </c>
      <c r="K57" s="631">
        <v>0</v>
      </c>
      <c r="L57" s="324">
        <v>6</v>
      </c>
    </row>
    <row r="58" spans="1:12" ht="13.5">
      <c r="A58" s="23">
        <v>402</v>
      </c>
      <c r="B58" s="249" t="s">
        <v>289</v>
      </c>
      <c r="C58" s="628" t="s">
        <v>1557</v>
      </c>
      <c r="D58" s="321"/>
      <c r="E58" s="33" t="s">
        <v>1641</v>
      </c>
      <c r="F58" s="629" t="s">
        <v>1642</v>
      </c>
      <c r="G58" s="630" t="s">
        <v>2086</v>
      </c>
      <c r="H58" s="33" t="s">
        <v>160</v>
      </c>
      <c r="I58" s="33" t="s">
        <v>2088</v>
      </c>
      <c r="J58" s="632" t="s">
        <v>2089</v>
      </c>
      <c r="K58" s="631">
        <v>0</v>
      </c>
      <c r="L58" s="324">
        <v>7</v>
      </c>
    </row>
    <row r="59" spans="1:12" ht="13.5">
      <c r="A59" s="23">
        <v>402</v>
      </c>
      <c r="B59" s="249" t="s">
        <v>289</v>
      </c>
      <c r="C59" s="628" t="s">
        <v>1557</v>
      </c>
      <c r="D59" s="321"/>
      <c r="E59" s="33" t="s">
        <v>1643</v>
      </c>
      <c r="F59" s="629" t="s">
        <v>1644</v>
      </c>
      <c r="G59" s="630" t="s">
        <v>2086</v>
      </c>
      <c r="H59" s="33" t="s">
        <v>160</v>
      </c>
      <c r="I59" s="33" t="s">
        <v>2088</v>
      </c>
      <c r="J59" s="632" t="s">
        <v>2089</v>
      </c>
      <c r="K59" s="631">
        <v>0</v>
      </c>
      <c r="L59" s="324">
        <v>22</v>
      </c>
    </row>
    <row r="60" spans="1:12" ht="13.5">
      <c r="A60" s="23">
        <v>402</v>
      </c>
      <c r="B60" s="249" t="s">
        <v>289</v>
      </c>
      <c r="C60" s="628" t="s">
        <v>1557</v>
      </c>
      <c r="D60" s="321"/>
      <c r="E60" s="33" t="s">
        <v>1645</v>
      </c>
      <c r="F60" s="629" t="s">
        <v>1646</v>
      </c>
      <c r="G60" s="630" t="s">
        <v>2086</v>
      </c>
      <c r="H60" s="33" t="s">
        <v>160</v>
      </c>
      <c r="I60" s="33" t="s">
        <v>2088</v>
      </c>
      <c r="J60" s="632" t="s">
        <v>2089</v>
      </c>
      <c r="K60" s="631">
        <v>0</v>
      </c>
      <c r="L60" s="324">
        <v>101</v>
      </c>
    </row>
    <row r="61" spans="1:12" ht="13.5">
      <c r="A61" s="23">
        <v>402</v>
      </c>
      <c r="B61" s="249" t="s">
        <v>289</v>
      </c>
      <c r="C61" s="628" t="s">
        <v>1557</v>
      </c>
      <c r="D61" s="321"/>
      <c r="E61" s="33" t="s">
        <v>1647</v>
      </c>
      <c r="F61" s="629" t="s">
        <v>1648</v>
      </c>
      <c r="G61" s="630" t="s">
        <v>2086</v>
      </c>
      <c r="H61" s="33" t="s">
        <v>1055</v>
      </c>
      <c r="I61" s="33" t="s">
        <v>2088</v>
      </c>
      <c r="J61" s="632" t="s">
        <v>2089</v>
      </c>
      <c r="K61" s="631">
        <v>0</v>
      </c>
      <c r="L61" s="324">
        <v>12</v>
      </c>
    </row>
    <row r="62" spans="1:12" ht="13.5">
      <c r="A62" s="23">
        <v>402</v>
      </c>
      <c r="B62" s="249" t="s">
        <v>289</v>
      </c>
      <c r="C62" s="628" t="s">
        <v>1557</v>
      </c>
      <c r="D62" s="321"/>
      <c r="E62" s="33" t="s">
        <v>1649</v>
      </c>
      <c r="F62" s="629" t="s">
        <v>1650</v>
      </c>
      <c r="G62" s="630" t="s">
        <v>2086</v>
      </c>
      <c r="H62" s="33" t="s">
        <v>176</v>
      </c>
      <c r="I62" s="33" t="s">
        <v>2088</v>
      </c>
      <c r="J62" s="632" t="s">
        <v>2089</v>
      </c>
      <c r="K62" s="631">
        <v>0</v>
      </c>
      <c r="L62" s="324">
        <v>12</v>
      </c>
    </row>
    <row r="63" spans="1:12" ht="13.5">
      <c r="A63" s="23">
        <v>402</v>
      </c>
      <c r="B63" s="249" t="s">
        <v>289</v>
      </c>
      <c r="C63" s="628" t="s">
        <v>1557</v>
      </c>
      <c r="D63" s="321"/>
      <c r="E63" s="33" t="s">
        <v>1647</v>
      </c>
      <c r="F63" s="629" t="s">
        <v>1651</v>
      </c>
      <c r="G63" s="630" t="s">
        <v>2086</v>
      </c>
      <c r="H63" s="33" t="s">
        <v>1055</v>
      </c>
      <c r="I63" s="33" t="s">
        <v>2088</v>
      </c>
      <c r="J63" s="632" t="s">
        <v>2089</v>
      </c>
      <c r="K63" s="631">
        <v>0</v>
      </c>
      <c r="L63" s="324">
        <v>12</v>
      </c>
    </row>
    <row r="64" spans="1:12" ht="13.5">
      <c r="A64" s="23">
        <v>402</v>
      </c>
      <c r="B64" s="249" t="s">
        <v>289</v>
      </c>
      <c r="C64" s="628" t="s">
        <v>1557</v>
      </c>
      <c r="D64" s="321"/>
      <c r="E64" s="33" t="s">
        <v>1647</v>
      </c>
      <c r="F64" s="629" t="s">
        <v>1652</v>
      </c>
      <c r="G64" s="630" t="s">
        <v>2086</v>
      </c>
      <c r="H64" s="33" t="s">
        <v>1055</v>
      </c>
      <c r="I64" s="33" t="s">
        <v>2088</v>
      </c>
      <c r="J64" s="632" t="s">
        <v>2089</v>
      </c>
      <c r="K64" s="631">
        <v>0</v>
      </c>
      <c r="L64" s="324">
        <v>12</v>
      </c>
    </row>
    <row r="65" spans="1:12" ht="13.5">
      <c r="A65" s="23">
        <v>402</v>
      </c>
      <c r="B65" s="249" t="s">
        <v>289</v>
      </c>
      <c r="C65" s="628" t="s">
        <v>1557</v>
      </c>
      <c r="D65" s="321"/>
      <c r="E65" s="33" t="s">
        <v>1653</v>
      </c>
      <c r="F65" s="629" t="s">
        <v>1654</v>
      </c>
      <c r="G65" s="630" t="s">
        <v>2086</v>
      </c>
      <c r="H65" s="33" t="s">
        <v>160</v>
      </c>
      <c r="I65" s="33" t="s">
        <v>2088</v>
      </c>
      <c r="J65" s="632" t="s">
        <v>2089</v>
      </c>
      <c r="K65" s="631">
        <v>0</v>
      </c>
      <c r="L65" s="324">
        <v>24</v>
      </c>
    </row>
    <row r="66" spans="1:12" ht="13.5">
      <c r="A66" s="23">
        <v>402</v>
      </c>
      <c r="B66" s="249" t="s">
        <v>289</v>
      </c>
      <c r="C66" s="628" t="s">
        <v>1557</v>
      </c>
      <c r="D66" s="321"/>
      <c r="E66" s="33" t="s">
        <v>248</v>
      </c>
      <c r="F66" s="629" t="s">
        <v>1655</v>
      </c>
      <c r="G66" s="630" t="s">
        <v>97</v>
      </c>
      <c r="H66" s="33" t="s">
        <v>160</v>
      </c>
      <c r="I66" s="33" t="s">
        <v>2087</v>
      </c>
      <c r="J66" s="33" t="s">
        <v>2099</v>
      </c>
      <c r="K66" s="631">
        <v>2</v>
      </c>
      <c r="L66" s="324">
        <v>4</v>
      </c>
    </row>
    <row r="67" spans="1:12" ht="13.5">
      <c r="A67" s="23">
        <v>402</v>
      </c>
      <c r="B67" s="249" t="s">
        <v>289</v>
      </c>
      <c r="C67" s="628" t="s">
        <v>1557</v>
      </c>
      <c r="D67" s="321"/>
      <c r="E67" s="33" t="s">
        <v>208</v>
      </c>
      <c r="F67" s="629" t="s">
        <v>1656</v>
      </c>
      <c r="G67" s="630" t="s">
        <v>2086</v>
      </c>
      <c r="H67" s="33" t="s">
        <v>160</v>
      </c>
      <c r="I67" s="33" t="s">
        <v>2088</v>
      </c>
      <c r="J67" s="632" t="s">
        <v>2089</v>
      </c>
      <c r="K67" s="631">
        <v>0</v>
      </c>
      <c r="L67" s="324">
        <v>2</v>
      </c>
    </row>
    <row r="68" spans="1:12" ht="13.5">
      <c r="A68" s="23">
        <v>402</v>
      </c>
      <c r="B68" s="249" t="s">
        <v>289</v>
      </c>
      <c r="C68" s="628" t="s">
        <v>1557</v>
      </c>
      <c r="D68" s="321"/>
      <c r="E68" s="33" t="s">
        <v>1657</v>
      </c>
      <c r="F68" s="629" t="s">
        <v>1658</v>
      </c>
      <c r="G68" s="630" t="s">
        <v>2092</v>
      </c>
      <c r="H68" s="33" t="s">
        <v>160</v>
      </c>
      <c r="I68" s="33" t="s">
        <v>2093</v>
      </c>
      <c r="J68" s="33" t="s">
        <v>2094</v>
      </c>
      <c r="K68" s="631">
        <v>12</v>
      </c>
      <c r="L68" s="324">
        <v>6</v>
      </c>
    </row>
    <row r="69" spans="1:12" ht="13.5">
      <c r="A69" s="23">
        <v>403</v>
      </c>
      <c r="B69" s="249" t="s">
        <v>103</v>
      </c>
      <c r="C69" s="628" t="s">
        <v>1557</v>
      </c>
      <c r="D69" s="321"/>
      <c r="E69" s="33" t="s">
        <v>1659</v>
      </c>
      <c r="F69" s="629" t="s">
        <v>1500</v>
      </c>
      <c r="G69" s="630" t="s">
        <v>2086</v>
      </c>
      <c r="H69" s="33" t="s">
        <v>160</v>
      </c>
      <c r="I69" s="33" t="s">
        <v>2088</v>
      </c>
      <c r="J69" s="632" t="s">
        <v>2089</v>
      </c>
      <c r="K69" s="631">
        <v>0</v>
      </c>
      <c r="L69" s="324">
        <v>71</v>
      </c>
    </row>
    <row r="70" spans="1:12" ht="13.5">
      <c r="A70" s="23">
        <v>403</v>
      </c>
      <c r="B70" s="249" t="s">
        <v>103</v>
      </c>
      <c r="C70" s="628" t="s">
        <v>1557</v>
      </c>
      <c r="D70" s="321"/>
      <c r="E70" s="33" t="s">
        <v>1660</v>
      </c>
      <c r="F70" s="629" t="s">
        <v>1504</v>
      </c>
      <c r="G70" s="630" t="s">
        <v>2086</v>
      </c>
      <c r="H70" s="33" t="s">
        <v>160</v>
      </c>
      <c r="I70" s="33" t="s">
        <v>2088</v>
      </c>
      <c r="J70" s="632" t="s">
        <v>2089</v>
      </c>
      <c r="K70" s="631">
        <v>0</v>
      </c>
      <c r="L70" s="324">
        <v>60</v>
      </c>
    </row>
    <row r="71" spans="1:12" ht="13.5">
      <c r="A71" s="23">
        <v>403</v>
      </c>
      <c r="B71" s="249" t="s">
        <v>103</v>
      </c>
      <c r="C71" s="628" t="s">
        <v>1557</v>
      </c>
      <c r="D71" s="321"/>
      <c r="E71" s="33" t="s">
        <v>1617</v>
      </c>
      <c r="F71" s="629" t="s">
        <v>1636</v>
      </c>
      <c r="G71" s="630" t="s">
        <v>2086</v>
      </c>
      <c r="H71" s="33" t="s">
        <v>160</v>
      </c>
      <c r="I71" s="33" t="s">
        <v>2088</v>
      </c>
      <c r="J71" s="632" t="s">
        <v>2089</v>
      </c>
      <c r="K71" s="631">
        <v>0</v>
      </c>
      <c r="L71" s="324">
        <v>220</v>
      </c>
    </row>
    <row r="72" spans="1:12" ht="13.5">
      <c r="A72" s="23">
        <v>403</v>
      </c>
      <c r="B72" s="249" t="s">
        <v>103</v>
      </c>
      <c r="C72" s="628" t="s">
        <v>1557</v>
      </c>
      <c r="D72" s="321"/>
      <c r="E72" s="33" t="s">
        <v>37</v>
      </c>
      <c r="F72" s="629" t="s">
        <v>1637</v>
      </c>
      <c r="G72" s="630" t="s">
        <v>2086</v>
      </c>
      <c r="H72" s="33" t="s">
        <v>160</v>
      </c>
      <c r="I72" s="33" t="s">
        <v>2088</v>
      </c>
      <c r="J72" s="632" t="s">
        <v>2089</v>
      </c>
      <c r="K72" s="631">
        <v>0</v>
      </c>
      <c r="L72" s="324">
        <v>45</v>
      </c>
    </row>
    <row r="73" spans="1:12" ht="13.5">
      <c r="A73" s="23">
        <v>403</v>
      </c>
      <c r="B73" s="249" t="s">
        <v>103</v>
      </c>
      <c r="C73" s="628" t="s">
        <v>1557</v>
      </c>
      <c r="D73" s="321"/>
      <c r="E73" s="33" t="s">
        <v>37</v>
      </c>
      <c r="F73" s="629" t="s">
        <v>1502</v>
      </c>
      <c r="G73" s="630" t="s">
        <v>2086</v>
      </c>
      <c r="H73" s="33" t="s">
        <v>160</v>
      </c>
      <c r="I73" s="33" t="s">
        <v>2088</v>
      </c>
      <c r="J73" s="632" t="s">
        <v>2089</v>
      </c>
      <c r="K73" s="631">
        <v>0</v>
      </c>
      <c r="L73" s="324">
        <v>45</v>
      </c>
    </row>
    <row r="74" spans="1:12" ht="13.5">
      <c r="A74" s="23">
        <v>403</v>
      </c>
      <c r="B74" s="249" t="s">
        <v>103</v>
      </c>
      <c r="C74" s="628" t="s">
        <v>1557</v>
      </c>
      <c r="D74" s="321"/>
      <c r="E74" s="33" t="s">
        <v>1661</v>
      </c>
      <c r="F74" s="629" t="s">
        <v>1640</v>
      </c>
      <c r="G74" s="630" t="s">
        <v>2086</v>
      </c>
      <c r="H74" s="33" t="s">
        <v>160</v>
      </c>
      <c r="I74" s="33" t="s">
        <v>2088</v>
      </c>
      <c r="J74" s="632" t="s">
        <v>2089</v>
      </c>
      <c r="K74" s="631">
        <v>0</v>
      </c>
      <c r="L74" s="324">
        <v>45</v>
      </c>
    </row>
    <row r="75" spans="1:12" ht="13.5">
      <c r="A75" s="23">
        <v>404</v>
      </c>
      <c r="B75" s="249" t="s">
        <v>140</v>
      </c>
      <c r="C75" s="628" t="s">
        <v>1557</v>
      </c>
      <c r="D75" s="321"/>
      <c r="E75" s="33" t="s">
        <v>1662</v>
      </c>
      <c r="F75" s="629" t="s">
        <v>1500</v>
      </c>
      <c r="G75" s="630" t="s">
        <v>2095</v>
      </c>
      <c r="H75" s="33" t="s">
        <v>160</v>
      </c>
      <c r="I75" s="33" t="s">
        <v>2087</v>
      </c>
      <c r="J75" s="33" t="s">
        <v>2096</v>
      </c>
      <c r="K75" s="631">
        <v>2</v>
      </c>
      <c r="L75" s="324">
        <v>9</v>
      </c>
    </row>
    <row r="76" spans="1:12" ht="13.5">
      <c r="A76" s="23">
        <v>404</v>
      </c>
      <c r="B76" s="249" t="s">
        <v>140</v>
      </c>
      <c r="C76" s="628" t="s">
        <v>1557</v>
      </c>
      <c r="D76" s="321"/>
      <c r="E76" s="33" t="s">
        <v>1663</v>
      </c>
      <c r="F76" s="629" t="s">
        <v>1504</v>
      </c>
      <c r="G76" s="630" t="s">
        <v>2086</v>
      </c>
      <c r="H76" s="33" t="s">
        <v>160</v>
      </c>
      <c r="I76" s="33" t="s">
        <v>2088</v>
      </c>
      <c r="J76" s="632" t="s">
        <v>2089</v>
      </c>
      <c r="K76" s="631">
        <v>0</v>
      </c>
      <c r="L76" s="324">
        <v>12</v>
      </c>
    </row>
    <row r="77" spans="1:12" ht="13.5">
      <c r="A77" s="23">
        <v>404</v>
      </c>
      <c r="B77" s="249" t="s">
        <v>140</v>
      </c>
      <c r="C77" s="628" t="s">
        <v>1557</v>
      </c>
      <c r="D77" s="321"/>
      <c r="E77" s="33" t="s">
        <v>1663</v>
      </c>
      <c r="F77" s="629" t="s">
        <v>1636</v>
      </c>
      <c r="G77" s="630" t="s">
        <v>2086</v>
      </c>
      <c r="H77" s="33" t="s">
        <v>160</v>
      </c>
      <c r="I77" s="33" t="s">
        <v>2088</v>
      </c>
      <c r="J77" s="632" t="s">
        <v>2089</v>
      </c>
      <c r="K77" s="631">
        <v>0</v>
      </c>
      <c r="L77" s="324">
        <v>12</v>
      </c>
    </row>
    <row r="78" spans="1:12" ht="13.5">
      <c r="A78" s="23">
        <v>404</v>
      </c>
      <c r="B78" s="249" t="s">
        <v>140</v>
      </c>
      <c r="C78" s="628" t="s">
        <v>1557</v>
      </c>
      <c r="D78" s="321"/>
      <c r="E78" s="33" t="s">
        <v>1663</v>
      </c>
      <c r="F78" s="629" t="s">
        <v>1637</v>
      </c>
      <c r="G78" s="630" t="s">
        <v>2086</v>
      </c>
      <c r="H78" s="33" t="s">
        <v>160</v>
      </c>
      <c r="I78" s="33" t="s">
        <v>2088</v>
      </c>
      <c r="J78" s="632" t="s">
        <v>2089</v>
      </c>
      <c r="K78" s="631">
        <v>0</v>
      </c>
      <c r="L78" s="324">
        <v>12</v>
      </c>
    </row>
    <row r="79" spans="1:12" ht="13.5">
      <c r="A79" s="23">
        <v>404</v>
      </c>
      <c r="B79" s="249" t="s">
        <v>140</v>
      </c>
      <c r="C79" s="628" t="s">
        <v>1557</v>
      </c>
      <c r="D79" s="321"/>
      <c r="E79" s="33" t="s">
        <v>1664</v>
      </c>
      <c r="F79" s="629" t="s">
        <v>1502</v>
      </c>
      <c r="G79" s="630" t="s">
        <v>2095</v>
      </c>
      <c r="H79" s="33" t="s">
        <v>160</v>
      </c>
      <c r="I79" s="33" t="s">
        <v>2087</v>
      </c>
      <c r="J79" s="33" t="s">
        <v>2096</v>
      </c>
      <c r="K79" s="631">
        <v>2</v>
      </c>
      <c r="L79" s="324">
        <v>2</v>
      </c>
    </row>
    <row r="80" spans="1:12" ht="13.5">
      <c r="A80" s="23">
        <v>404</v>
      </c>
      <c r="B80" s="249" t="s">
        <v>140</v>
      </c>
      <c r="C80" s="628" t="s">
        <v>1557</v>
      </c>
      <c r="D80" s="321"/>
      <c r="E80" s="33" t="s">
        <v>147</v>
      </c>
      <c r="F80" s="629" t="s">
        <v>1640</v>
      </c>
      <c r="G80" s="630" t="s">
        <v>2086</v>
      </c>
      <c r="H80" s="33" t="s">
        <v>160</v>
      </c>
      <c r="I80" s="33" t="s">
        <v>2088</v>
      </c>
      <c r="J80" s="632" t="s">
        <v>2089</v>
      </c>
      <c r="K80" s="631">
        <v>0</v>
      </c>
      <c r="L80" s="324">
        <v>83</v>
      </c>
    </row>
    <row r="81" spans="1:12" ht="13.5">
      <c r="A81" s="23">
        <v>404</v>
      </c>
      <c r="B81" s="249" t="s">
        <v>140</v>
      </c>
      <c r="C81" s="628" t="s">
        <v>1557</v>
      </c>
      <c r="D81" s="321"/>
      <c r="E81" s="33" t="s">
        <v>1665</v>
      </c>
      <c r="F81" s="629" t="s">
        <v>1642</v>
      </c>
      <c r="G81" s="630" t="s">
        <v>2086</v>
      </c>
      <c r="H81" s="33" t="s">
        <v>160</v>
      </c>
      <c r="I81" s="33" t="s">
        <v>2088</v>
      </c>
      <c r="J81" s="632" t="s">
        <v>2089</v>
      </c>
      <c r="K81" s="631">
        <v>0</v>
      </c>
      <c r="L81" s="324">
        <v>11</v>
      </c>
    </row>
    <row r="82" spans="1:12" ht="13.5">
      <c r="A82" s="23">
        <v>405</v>
      </c>
      <c r="B82" s="249" t="s">
        <v>1666</v>
      </c>
      <c r="C82" s="628" t="s">
        <v>1557</v>
      </c>
      <c r="D82" s="321"/>
      <c r="E82" s="33" t="s">
        <v>111</v>
      </c>
      <c r="F82" s="629" t="s">
        <v>1500</v>
      </c>
      <c r="G82" s="630" t="s">
        <v>2095</v>
      </c>
      <c r="H82" s="33" t="s">
        <v>176</v>
      </c>
      <c r="I82" s="33" t="s">
        <v>2087</v>
      </c>
      <c r="J82" s="33" t="s">
        <v>2096</v>
      </c>
      <c r="K82" s="631">
        <v>2</v>
      </c>
      <c r="L82" s="324">
        <v>19</v>
      </c>
    </row>
    <row r="83" spans="1:12" ht="13.5">
      <c r="A83" s="23">
        <v>405</v>
      </c>
      <c r="B83" s="249" t="s">
        <v>1666</v>
      </c>
      <c r="C83" s="628" t="s">
        <v>1557</v>
      </c>
      <c r="D83" s="321"/>
      <c r="E83" s="33" t="s">
        <v>1635</v>
      </c>
      <c r="F83" s="629" t="s">
        <v>1504</v>
      </c>
      <c r="G83" s="630" t="s">
        <v>2090</v>
      </c>
      <c r="H83" s="33" t="s">
        <v>176</v>
      </c>
      <c r="I83" s="33" t="s">
        <v>2087</v>
      </c>
      <c r="J83" s="33" t="s">
        <v>2091</v>
      </c>
      <c r="K83" s="631">
        <v>2</v>
      </c>
      <c r="L83" s="324">
        <v>12</v>
      </c>
    </row>
    <row r="84" spans="1:12" ht="13.5">
      <c r="A84" s="23">
        <v>405</v>
      </c>
      <c r="B84" s="249" t="s">
        <v>1666</v>
      </c>
      <c r="C84" s="628" t="s">
        <v>1557</v>
      </c>
      <c r="D84" s="321"/>
      <c r="E84" s="33" t="s">
        <v>309</v>
      </c>
      <c r="F84" s="629" t="s">
        <v>1636</v>
      </c>
      <c r="G84" s="630" t="s">
        <v>2092</v>
      </c>
      <c r="H84" s="33" t="s">
        <v>109</v>
      </c>
      <c r="I84" s="33" t="s">
        <v>2093</v>
      </c>
      <c r="J84" s="33" t="s">
        <v>2094</v>
      </c>
      <c r="K84" s="631">
        <v>12</v>
      </c>
      <c r="L84" s="324">
        <v>1</v>
      </c>
    </row>
    <row r="85" spans="1:12" ht="13.5">
      <c r="A85" s="23">
        <v>405</v>
      </c>
      <c r="B85" s="249" t="s">
        <v>1666</v>
      </c>
      <c r="C85" s="628" t="s">
        <v>1557</v>
      </c>
      <c r="D85" s="321"/>
      <c r="E85" s="33" t="s">
        <v>309</v>
      </c>
      <c r="F85" s="629" t="s">
        <v>1637</v>
      </c>
      <c r="G85" s="630" t="s">
        <v>2092</v>
      </c>
      <c r="H85" s="33" t="s">
        <v>109</v>
      </c>
      <c r="I85" s="33" t="s">
        <v>2093</v>
      </c>
      <c r="J85" s="33" t="s">
        <v>2094</v>
      </c>
      <c r="K85" s="631">
        <v>12</v>
      </c>
      <c r="L85" s="324">
        <v>1</v>
      </c>
    </row>
    <row r="86" spans="1:12" ht="13.5">
      <c r="A86" s="23">
        <v>405</v>
      </c>
      <c r="B86" s="249" t="s">
        <v>1666</v>
      </c>
      <c r="C86" s="628" t="s">
        <v>1557</v>
      </c>
      <c r="D86" s="321"/>
      <c r="E86" s="33" t="s">
        <v>1638</v>
      </c>
      <c r="F86" s="629" t="s">
        <v>1502</v>
      </c>
      <c r="G86" s="630" t="s">
        <v>2086</v>
      </c>
      <c r="H86" s="33" t="s">
        <v>176</v>
      </c>
      <c r="I86" s="33" t="s">
        <v>2088</v>
      </c>
      <c r="J86" s="632" t="s">
        <v>2089</v>
      </c>
      <c r="K86" s="631">
        <v>0</v>
      </c>
      <c r="L86" s="324">
        <v>12</v>
      </c>
    </row>
    <row r="87" spans="1:12" ht="13.5">
      <c r="A87" s="23">
        <v>405</v>
      </c>
      <c r="B87" s="249" t="s">
        <v>1666</v>
      </c>
      <c r="C87" s="628" t="s">
        <v>1557</v>
      </c>
      <c r="D87" s="321"/>
      <c r="E87" s="33" t="s">
        <v>1667</v>
      </c>
      <c r="F87" s="629" t="s">
        <v>1640</v>
      </c>
      <c r="G87" s="630" t="s">
        <v>2097</v>
      </c>
      <c r="H87" s="33" t="s">
        <v>176</v>
      </c>
      <c r="I87" s="33" t="s">
        <v>2087</v>
      </c>
      <c r="J87" s="33" t="s">
        <v>2098</v>
      </c>
      <c r="K87" s="631">
        <v>2</v>
      </c>
      <c r="L87" s="324">
        <v>6</v>
      </c>
    </row>
    <row r="88" spans="1:12" ht="13.5">
      <c r="A88" s="23">
        <v>405</v>
      </c>
      <c r="B88" s="249" t="s">
        <v>1666</v>
      </c>
      <c r="C88" s="628" t="s">
        <v>1557</v>
      </c>
      <c r="D88" s="321"/>
      <c r="E88" s="33" t="s">
        <v>1639</v>
      </c>
      <c r="F88" s="629" t="s">
        <v>1642</v>
      </c>
      <c r="G88" s="630" t="s">
        <v>2086</v>
      </c>
      <c r="H88" s="33" t="s">
        <v>160</v>
      </c>
      <c r="I88" s="33" t="s">
        <v>2088</v>
      </c>
      <c r="J88" s="632" t="s">
        <v>2089</v>
      </c>
      <c r="K88" s="631">
        <v>0</v>
      </c>
      <c r="L88" s="324">
        <v>6</v>
      </c>
    </row>
    <row r="89" spans="1:12" ht="13.5">
      <c r="A89" s="23">
        <v>405</v>
      </c>
      <c r="B89" s="249" t="s">
        <v>1666</v>
      </c>
      <c r="C89" s="628" t="s">
        <v>1557</v>
      </c>
      <c r="D89" s="321"/>
      <c r="E89" s="33" t="s">
        <v>1668</v>
      </c>
      <c r="F89" s="629" t="s">
        <v>1644</v>
      </c>
      <c r="G89" s="630" t="s">
        <v>2086</v>
      </c>
      <c r="H89" s="33" t="s">
        <v>176</v>
      </c>
      <c r="I89" s="33" t="s">
        <v>2088</v>
      </c>
      <c r="J89" s="632" t="s">
        <v>2089</v>
      </c>
      <c r="K89" s="631">
        <v>0</v>
      </c>
      <c r="L89" s="324">
        <v>7</v>
      </c>
    </row>
    <row r="90" spans="1:12" ht="13.5">
      <c r="A90" s="23">
        <v>405</v>
      </c>
      <c r="B90" s="249" t="s">
        <v>1666</v>
      </c>
      <c r="C90" s="628" t="s">
        <v>1557</v>
      </c>
      <c r="D90" s="321"/>
      <c r="E90" s="33" t="s">
        <v>1074</v>
      </c>
      <c r="F90" s="629" t="s">
        <v>1646</v>
      </c>
      <c r="G90" s="630" t="s">
        <v>2086</v>
      </c>
      <c r="H90" s="33" t="s">
        <v>176</v>
      </c>
      <c r="I90" s="33" t="s">
        <v>2088</v>
      </c>
      <c r="J90" s="632" t="s">
        <v>2089</v>
      </c>
      <c r="K90" s="631">
        <v>0</v>
      </c>
      <c r="L90" s="324">
        <v>16</v>
      </c>
    </row>
    <row r="91" spans="1:12" ht="13.5">
      <c r="A91" s="23">
        <v>405</v>
      </c>
      <c r="B91" s="249" t="s">
        <v>1666</v>
      </c>
      <c r="C91" s="628" t="s">
        <v>1557</v>
      </c>
      <c r="D91" s="321"/>
      <c r="E91" s="33" t="s">
        <v>1669</v>
      </c>
      <c r="F91" s="629" t="s">
        <v>1648</v>
      </c>
      <c r="G91" s="630" t="s">
        <v>2086</v>
      </c>
      <c r="H91" s="33" t="s">
        <v>176</v>
      </c>
      <c r="I91" s="33" t="s">
        <v>2088</v>
      </c>
      <c r="J91" s="632" t="s">
        <v>2089</v>
      </c>
      <c r="K91" s="631">
        <v>0</v>
      </c>
      <c r="L91" s="324">
        <v>85</v>
      </c>
    </row>
    <row r="92" spans="1:12" ht="13.5">
      <c r="A92" s="23">
        <v>405</v>
      </c>
      <c r="B92" s="249" t="s">
        <v>1666</v>
      </c>
      <c r="C92" s="628" t="s">
        <v>1557</v>
      </c>
      <c r="D92" s="321"/>
      <c r="E92" s="33" t="s">
        <v>1647</v>
      </c>
      <c r="F92" s="629" t="s">
        <v>1650</v>
      </c>
      <c r="G92" s="630" t="s">
        <v>2086</v>
      </c>
      <c r="H92" s="33" t="s">
        <v>1055</v>
      </c>
      <c r="I92" s="33" t="s">
        <v>2088</v>
      </c>
      <c r="J92" s="632" t="s">
        <v>2089</v>
      </c>
      <c r="K92" s="631">
        <v>0</v>
      </c>
      <c r="L92" s="324">
        <v>12</v>
      </c>
    </row>
    <row r="93" spans="1:12" ht="13.5">
      <c r="A93" s="23">
        <v>405</v>
      </c>
      <c r="B93" s="249" t="s">
        <v>1666</v>
      </c>
      <c r="C93" s="628" t="s">
        <v>1557</v>
      </c>
      <c r="D93" s="321"/>
      <c r="E93" s="33" t="s">
        <v>1647</v>
      </c>
      <c r="F93" s="629" t="s">
        <v>1651</v>
      </c>
      <c r="G93" s="630" t="s">
        <v>2086</v>
      </c>
      <c r="H93" s="33" t="s">
        <v>1055</v>
      </c>
      <c r="I93" s="33" t="s">
        <v>2088</v>
      </c>
      <c r="J93" s="632" t="s">
        <v>2089</v>
      </c>
      <c r="K93" s="631">
        <v>0</v>
      </c>
      <c r="L93" s="324">
        <v>12</v>
      </c>
    </row>
    <row r="94" spans="1:12" ht="13.5">
      <c r="A94" s="23">
        <v>405</v>
      </c>
      <c r="B94" s="249" t="s">
        <v>1666</v>
      </c>
      <c r="C94" s="628" t="s">
        <v>1557</v>
      </c>
      <c r="D94" s="321"/>
      <c r="E94" s="33" t="s">
        <v>1647</v>
      </c>
      <c r="F94" s="629" t="s">
        <v>1652</v>
      </c>
      <c r="G94" s="630" t="s">
        <v>2086</v>
      </c>
      <c r="H94" s="33" t="s">
        <v>1055</v>
      </c>
      <c r="I94" s="33" t="s">
        <v>2088</v>
      </c>
      <c r="J94" s="632" t="s">
        <v>2089</v>
      </c>
      <c r="K94" s="631">
        <v>0</v>
      </c>
      <c r="L94" s="324">
        <v>12</v>
      </c>
    </row>
    <row r="95" spans="1:12" ht="13.5">
      <c r="A95" s="23">
        <v>405</v>
      </c>
      <c r="B95" s="249" t="s">
        <v>1666</v>
      </c>
      <c r="C95" s="628" t="s">
        <v>1557</v>
      </c>
      <c r="D95" s="321"/>
      <c r="E95" s="33" t="s">
        <v>1653</v>
      </c>
      <c r="F95" s="629" t="s">
        <v>1654</v>
      </c>
      <c r="G95" s="630" t="s">
        <v>2086</v>
      </c>
      <c r="H95" s="33" t="s">
        <v>176</v>
      </c>
      <c r="I95" s="33" t="s">
        <v>2088</v>
      </c>
      <c r="J95" s="632" t="s">
        <v>2089</v>
      </c>
      <c r="K95" s="631">
        <v>0</v>
      </c>
      <c r="L95" s="324">
        <v>24</v>
      </c>
    </row>
    <row r="96" spans="1:12" ht="13.5">
      <c r="A96" s="23">
        <v>405</v>
      </c>
      <c r="B96" s="249" t="s">
        <v>1666</v>
      </c>
      <c r="C96" s="628" t="s">
        <v>1557</v>
      </c>
      <c r="D96" s="321"/>
      <c r="E96" s="33" t="s">
        <v>248</v>
      </c>
      <c r="F96" s="629" t="s">
        <v>1655</v>
      </c>
      <c r="G96" s="630" t="s">
        <v>97</v>
      </c>
      <c r="H96" s="33" t="s">
        <v>176</v>
      </c>
      <c r="I96" s="33" t="s">
        <v>2087</v>
      </c>
      <c r="J96" s="33" t="s">
        <v>2099</v>
      </c>
      <c r="K96" s="631">
        <v>2</v>
      </c>
      <c r="L96" s="324">
        <v>4</v>
      </c>
    </row>
    <row r="97" spans="1:12" ht="13.5">
      <c r="A97" s="23">
        <v>405</v>
      </c>
      <c r="B97" s="249" t="s">
        <v>1666</v>
      </c>
      <c r="C97" s="628" t="s">
        <v>1557</v>
      </c>
      <c r="D97" s="321"/>
      <c r="E97" s="33" t="s">
        <v>208</v>
      </c>
      <c r="F97" s="629" t="s">
        <v>1656</v>
      </c>
      <c r="G97" s="630" t="s">
        <v>2086</v>
      </c>
      <c r="H97" s="33" t="s">
        <v>176</v>
      </c>
      <c r="I97" s="33" t="s">
        <v>2088</v>
      </c>
      <c r="J97" s="632" t="s">
        <v>2089</v>
      </c>
      <c r="K97" s="631">
        <v>0</v>
      </c>
      <c r="L97" s="324">
        <v>2</v>
      </c>
    </row>
    <row r="98" spans="1:12" ht="13.5">
      <c r="A98" s="23">
        <v>405</v>
      </c>
      <c r="B98" s="249" t="s">
        <v>1666</v>
      </c>
      <c r="C98" s="628" t="s">
        <v>1557</v>
      </c>
      <c r="D98" s="321"/>
      <c r="E98" s="33" t="s">
        <v>1657</v>
      </c>
      <c r="F98" s="629" t="s">
        <v>1658</v>
      </c>
      <c r="G98" s="630" t="s">
        <v>2092</v>
      </c>
      <c r="H98" s="33" t="s">
        <v>176</v>
      </c>
      <c r="I98" s="33" t="s">
        <v>2093</v>
      </c>
      <c r="J98" s="33" t="s">
        <v>2094</v>
      </c>
      <c r="K98" s="631">
        <v>12</v>
      </c>
      <c r="L98" s="324">
        <v>6</v>
      </c>
    </row>
    <row r="99" spans="1:12" ht="13.5">
      <c r="A99" s="23">
        <v>406</v>
      </c>
      <c r="B99" s="249" t="s">
        <v>301</v>
      </c>
      <c r="C99" s="628" t="s">
        <v>1557</v>
      </c>
      <c r="D99" s="321"/>
      <c r="E99" s="33" t="s">
        <v>111</v>
      </c>
      <c r="F99" s="629" t="s">
        <v>1500</v>
      </c>
      <c r="G99" s="630" t="s">
        <v>2095</v>
      </c>
      <c r="H99" s="33" t="s">
        <v>160</v>
      </c>
      <c r="I99" s="33" t="s">
        <v>2087</v>
      </c>
      <c r="J99" s="33" t="s">
        <v>2096</v>
      </c>
      <c r="K99" s="631">
        <v>2</v>
      </c>
      <c r="L99" s="324">
        <v>19</v>
      </c>
    </row>
    <row r="100" spans="1:12" ht="13.5">
      <c r="A100" s="23">
        <v>406</v>
      </c>
      <c r="B100" s="249" t="s">
        <v>301</v>
      </c>
      <c r="C100" s="628" t="s">
        <v>1557</v>
      </c>
      <c r="D100" s="321"/>
      <c r="E100" s="33" t="s">
        <v>1635</v>
      </c>
      <c r="F100" s="629" t="s">
        <v>1504</v>
      </c>
      <c r="G100" s="630" t="s">
        <v>2090</v>
      </c>
      <c r="H100" s="33" t="s">
        <v>160</v>
      </c>
      <c r="I100" s="33" t="s">
        <v>2087</v>
      </c>
      <c r="J100" s="33" t="s">
        <v>2091</v>
      </c>
      <c r="K100" s="631">
        <v>2</v>
      </c>
      <c r="L100" s="324">
        <v>12</v>
      </c>
    </row>
    <row r="101" spans="1:12" ht="13.5">
      <c r="A101" s="23">
        <v>406</v>
      </c>
      <c r="B101" s="249" t="s">
        <v>301</v>
      </c>
      <c r="C101" s="628" t="s">
        <v>1557</v>
      </c>
      <c r="D101" s="321"/>
      <c r="E101" s="33" t="s">
        <v>309</v>
      </c>
      <c r="F101" s="629" t="s">
        <v>1636</v>
      </c>
      <c r="G101" s="630" t="s">
        <v>2092</v>
      </c>
      <c r="H101" s="33" t="s">
        <v>160</v>
      </c>
      <c r="I101" s="33" t="s">
        <v>2093</v>
      </c>
      <c r="J101" s="33" t="s">
        <v>2094</v>
      </c>
      <c r="K101" s="631">
        <v>12</v>
      </c>
      <c r="L101" s="324">
        <v>1</v>
      </c>
    </row>
    <row r="102" spans="1:12" ht="13.5">
      <c r="A102" s="23">
        <v>406</v>
      </c>
      <c r="B102" s="249" t="s">
        <v>301</v>
      </c>
      <c r="C102" s="628" t="s">
        <v>1557</v>
      </c>
      <c r="D102" s="321"/>
      <c r="E102" s="33" t="s">
        <v>309</v>
      </c>
      <c r="F102" s="629" t="s">
        <v>1637</v>
      </c>
      <c r="G102" s="630" t="s">
        <v>2092</v>
      </c>
      <c r="H102" s="33" t="s">
        <v>160</v>
      </c>
      <c r="I102" s="33" t="s">
        <v>2093</v>
      </c>
      <c r="J102" s="33" t="s">
        <v>2094</v>
      </c>
      <c r="K102" s="631">
        <v>12</v>
      </c>
      <c r="L102" s="324">
        <v>1</v>
      </c>
    </row>
    <row r="103" spans="1:12" ht="13.5">
      <c r="A103" s="23">
        <v>406</v>
      </c>
      <c r="B103" s="249" t="s">
        <v>301</v>
      </c>
      <c r="C103" s="628" t="s">
        <v>1557</v>
      </c>
      <c r="D103" s="321"/>
      <c r="E103" s="33" t="s">
        <v>1638</v>
      </c>
      <c r="F103" s="629" t="s">
        <v>1502</v>
      </c>
      <c r="G103" s="630" t="s">
        <v>2086</v>
      </c>
      <c r="H103" s="33" t="s">
        <v>160</v>
      </c>
      <c r="I103" s="33" t="s">
        <v>2088</v>
      </c>
      <c r="J103" s="632" t="s">
        <v>2089</v>
      </c>
      <c r="K103" s="631">
        <v>0</v>
      </c>
      <c r="L103" s="324">
        <v>12</v>
      </c>
    </row>
    <row r="104" spans="1:12" ht="13.5">
      <c r="A104" s="23">
        <v>406</v>
      </c>
      <c r="B104" s="249" t="s">
        <v>301</v>
      </c>
      <c r="C104" s="628" t="s">
        <v>1557</v>
      </c>
      <c r="D104" s="321"/>
      <c r="E104" s="33" t="s">
        <v>1667</v>
      </c>
      <c r="F104" s="629" t="s">
        <v>1640</v>
      </c>
      <c r="G104" s="630" t="s">
        <v>2097</v>
      </c>
      <c r="H104" s="33" t="s">
        <v>160</v>
      </c>
      <c r="I104" s="33" t="s">
        <v>2087</v>
      </c>
      <c r="J104" s="33" t="s">
        <v>2098</v>
      </c>
      <c r="K104" s="631">
        <v>2</v>
      </c>
      <c r="L104" s="324">
        <v>6</v>
      </c>
    </row>
    <row r="105" spans="1:12" ht="13.5">
      <c r="A105" s="23">
        <v>406</v>
      </c>
      <c r="B105" s="249" t="s">
        <v>301</v>
      </c>
      <c r="C105" s="628" t="s">
        <v>1557</v>
      </c>
      <c r="D105" s="321"/>
      <c r="E105" s="33" t="s">
        <v>1639</v>
      </c>
      <c r="F105" s="629" t="s">
        <v>1642</v>
      </c>
      <c r="G105" s="630" t="s">
        <v>2086</v>
      </c>
      <c r="H105" s="33" t="s">
        <v>160</v>
      </c>
      <c r="I105" s="33" t="s">
        <v>2088</v>
      </c>
      <c r="J105" s="632" t="s">
        <v>2089</v>
      </c>
      <c r="K105" s="631">
        <v>0</v>
      </c>
      <c r="L105" s="324">
        <v>6</v>
      </c>
    </row>
    <row r="106" spans="1:12" ht="13.5">
      <c r="A106" s="23">
        <v>406</v>
      </c>
      <c r="B106" s="249" t="s">
        <v>301</v>
      </c>
      <c r="C106" s="628" t="s">
        <v>1557</v>
      </c>
      <c r="D106" s="321"/>
      <c r="E106" s="33" t="s">
        <v>1668</v>
      </c>
      <c r="F106" s="629" t="s">
        <v>1644</v>
      </c>
      <c r="G106" s="630" t="s">
        <v>2086</v>
      </c>
      <c r="H106" s="33" t="s">
        <v>160</v>
      </c>
      <c r="I106" s="33" t="s">
        <v>2088</v>
      </c>
      <c r="J106" s="632" t="s">
        <v>2089</v>
      </c>
      <c r="K106" s="631">
        <v>0</v>
      </c>
      <c r="L106" s="324">
        <v>7</v>
      </c>
    </row>
    <row r="107" spans="1:12" ht="13.5">
      <c r="A107" s="23">
        <v>406</v>
      </c>
      <c r="B107" s="249" t="s">
        <v>301</v>
      </c>
      <c r="C107" s="628" t="s">
        <v>1557</v>
      </c>
      <c r="D107" s="321"/>
      <c r="E107" s="33" t="s">
        <v>1074</v>
      </c>
      <c r="F107" s="629" t="s">
        <v>1646</v>
      </c>
      <c r="G107" s="630" t="s">
        <v>2086</v>
      </c>
      <c r="H107" s="33" t="s">
        <v>160</v>
      </c>
      <c r="I107" s="33" t="s">
        <v>2088</v>
      </c>
      <c r="J107" s="632" t="s">
        <v>2089</v>
      </c>
      <c r="K107" s="631">
        <v>0</v>
      </c>
      <c r="L107" s="324">
        <v>16</v>
      </c>
    </row>
    <row r="108" spans="1:12" ht="13.5">
      <c r="A108" s="23">
        <v>406</v>
      </c>
      <c r="B108" s="249" t="s">
        <v>301</v>
      </c>
      <c r="C108" s="628" t="s">
        <v>1557</v>
      </c>
      <c r="D108" s="321"/>
      <c r="E108" s="33" t="s">
        <v>1669</v>
      </c>
      <c r="F108" s="629" t="s">
        <v>1648</v>
      </c>
      <c r="G108" s="630" t="s">
        <v>2086</v>
      </c>
      <c r="H108" s="33" t="s">
        <v>160</v>
      </c>
      <c r="I108" s="33" t="s">
        <v>2088</v>
      </c>
      <c r="J108" s="632" t="s">
        <v>2089</v>
      </c>
      <c r="K108" s="631">
        <v>0</v>
      </c>
      <c r="L108" s="324">
        <v>85</v>
      </c>
    </row>
    <row r="109" spans="1:12" ht="13.5">
      <c r="A109" s="23">
        <v>406</v>
      </c>
      <c r="B109" s="249" t="s">
        <v>301</v>
      </c>
      <c r="C109" s="628" t="s">
        <v>1557</v>
      </c>
      <c r="D109" s="321"/>
      <c r="E109" s="33" t="s">
        <v>283</v>
      </c>
      <c r="F109" s="629" t="s">
        <v>1650</v>
      </c>
      <c r="G109" s="630" t="s">
        <v>2097</v>
      </c>
      <c r="H109" s="33" t="s">
        <v>319</v>
      </c>
      <c r="I109" s="33" t="s">
        <v>2087</v>
      </c>
      <c r="J109" s="33" t="s">
        <v>2098</v>
      </c>
      <c r="K109" s="631">
        <v>2</v>
      </c>
      <c r="L109" s="324">
        <v>12</v>
      </c>
    </row>
    <row r="110" spans="1:12" ht="13.5">
      <c r="A110" s="23">
        <v>406</v>
      </c>
      <c r="B110" s="249" t="s">
        <v>301</v>
      </c>
      <c r="C110" s="628" t="s">
        <v>1557</v>
      </c>
      <c r="D110" s="321"/>
      <c r="E110" s="33" t="s">
        <v>1647</v>
      </c>
      <c r="F110" s="629" t="s">
        <v>1651</v>
      </c>
      <c r="G110" s="630" t="s">
        <v>2086</v>
      </c>
      <c r="H110" s="33" t="s">
        <v>1055</v>
      </c>
      <c r="I110" s="33" t="s">
        <v>2088</v>
      </c>
      <c r="J110" s="632" t="s">
        <v>2089</v>
      </c>
      <c r="K110" s="631">
        <v>0</v>
      </c>
      <c r="L110" s="324">
        <v>12</v>
      </c>
    </row>
    <row r="111" spans="1:12" ht="13.5">
      <c r="A111" s="23">
        <v>406</v>
      </c>
      <c r="B111" s="249" t="s">
        <v>301</v>
      </c>
      <c r="C111" s="628" t="s">
        <v>1557</v>
      </c>
      <c r="D111" s="321"/>
      <c r="E111" s="33" t="s">
        <v>1647</v>
      </c>
      <c r="F111" s="629" t="s">
        <v>1652</v>
      </c>
      <c r="G111" s="630" t="s">
        <v>2086</v>
      </c>
      <c r="H111" s="33" t="s">
        <v>1055</v>
      </c>
      <c r="I111" s="33" t="s">
        <v>2088</v>
      </c>
      <c r="J111" s="632" t="s">
        <v>2089</v>
      </c>
      <c r="K111" s="631">
        <v>0</v>
      </c>
      <c r="L111" s="324">
        <v>12</v>
      </c>
    </row>
    <row r="112" spans="1:12" ht="13.5">
      <c r="A112" s="23">
        <v>406</v>
      </c>
      <c r="B112" s="249" t="s">
        <v>301</v>
      </c>
      <c r="C112" s="628" t="s">
        <v>1557</v>
      </c>
      <c r="D112" s="321"/>
      <c r="E112" s="33" t="s">
        <v>1653</v>
      </c>
      <c r="F112" s="629" t="s">
        <v>1654</v>
      </c>
      <c r="G112" s="630" t="s">
        <v>2086</v>
      </c>
      <c r="H112" s="33" t="s">
        <v>160</v>
      </c>
      <c r="I112" s="33" t="s">
        <v>2088</v>
      </c>
      <c r="J112" s="632" t="s">
        <v>2089</v>
      </c>
      <c r="K112" s="631">
        <v>0</v>
      </c>
      <c r="L112" s="324">
        <v>24</v>
      </c>
    </row>
    <row r="113" spans="1:12" ht="13.5">
      <c r="A113" s="23">
        <v>406</v>
      </c>
      <c r="B113" s="249" t="s">
        <v>301</v>
      </c>
      <c r="C113" s="628" t="s">
        <v>1557</v>
      </c>
      <c r="D113" s="321"/>
      <c r="E113" s="33" t="s">
        <v>248</v>
      </c>
      <c r="F113" s="629" t="s">
        <v>1655</v>
      </c>
      <c r="G113" s="630" t="s">
        <v>97</v>
      </c>
      <c r="H113" s="33" t="s">
        <v>160</v>
      </c>
      <c r="I113" s="33" t="s">
        <v>2087</v>
      </c>
      <c r="J113" s="33" t="s">
        <v>2099</v>
      </c>
      <c r="K113" s="631">
        <v>2</v>
      </c>
      <c r="L113" s="324">
        <v>4</v>
      </c>
    </row>
    <row r="114" spans="1:12" ht="13.5">
      <c r="A114" s="23">
        <v>406</v>
      </c>
      <c r="B114" s="249" t="s">
        <v>301</v>
      </c>
      <c r="C114" s="628" t="s">
        <v>1557</v>
      </c>
      <c r="D114" s="321"/>
      <c r="E114" s="33" t="s">
        <v>208</v>
      </c>
      <c r="F114" s="629" t="s">
        <v>1656</v>
      </c>
      <c r="G114" s="630" t="s">
        <v>2086</v>
      </c>
      <c r="H114" s="33" t="s">
        <v>160</v>
      </c>
      <c r="I114" s="33" t="s">
        <v>2088</v>
      </c>
      <c r="J114" s="632" t="s">
        <v>2089</v>
      </c>
      <c r="K114" s="631">
        <v>0</v>
      </c>
      <c r="L114" s="324">
        <v>2</v>
      </c>
    </row>
    <row r="115" spans="1:12" ht="13.5">
      <c r="A115" s="23">
        <v>406</v>
      </c>
      <c r="B115" s="249" t="s">
        <v>301</v>
      </c>
      <c r="C115" s="628" t="s">
        <v>1557</v>
      </c>
      <c r="D115" s="321"/>
      <c r="E115" s="33" t="s">
        <v>1657</v>
      </c>
      <c r="F115" s="629" t="s">
        <v>1658</v>
      </c>
      <c r="G115" s="630" t="s">
        <v>2092</v>
      </c>
      <c r="H115" s="33" t="s">
        <v>160</v>
      </c>
      <c r="I115" s="33" t="s">
        <v>2093</v>
      </c>
      <c r="J115" s="33" t="s">
        <v>2094</v>
      </c>
      <c r="K115" s="631">
        <v>12</v>
      </c>
      <c r="L115" s="324">
        <v>6</v>
      </c>
    </row>
    <row r="116" spans="1:12" ht="13.5">
      <c r="A116" s="23">
        <v>407</v>
      </c>
      <c r="B116" s="249" t="s">
        <v>198</v>
      </c>
      <c r="C116" s="628" t="s">
        <v>1557</v>
      </c>
      <c r="D116" s="321"/>
      <c r="E116" s="33" t="s">
        <v>111</v>
      </c>
      <c r="F116" s="629" t="s">
        <v>1500</v>
      </c>
      <c r="G116" s="630" t="s">
        <v>2095</v>
      </c>
      <c r="H116" s="33" t="s">
        <v>176</v>
      </c>
      <c r="I116" s="33" t="s">
        <v>2087</v>
      </c>
      <c r="J116" s="33" t="s">
        <v>2096</v>
      </c>
      <c r="K116" s="631">
        <v>2</v>
      </c>
      <c r="L116" s="324">
        <v>19</v>
      </c>
    </row>
    <row r="117" spans="1:12" ht="13.5">
      <c r="A117" s="23">
        <v>407</v>
      </c>
      <c r="B117" s="249" t="s">
        <v>198</v>
      </c>
      <c r="C117" s="628" t="s">
        <v>1557</v>
      </c>
      <c r="D117" s="321"/>
      <c r="E117" s="33" t="s">
        <v>1635</v>
      </c>
      <c r="F117" s="629" t="s">
        <v>1504</v>
      </c>
      <c r="G117" s="630" t="s">
        <v>2090</v>
      </c>
      <c r="H117" s="33" t="s">
        <v>176</v>
      </c>
      <c r="I117" s="33" t="s">
        <v>2087</v>
      </c>
      <c r="J117" s="33" t="s">
        <v>2091</v>
      </c>
      <c r="K117" s="631">
        <v>2</v>
      </c>
      <c r="L117" s="324">
        <v>12</v>
      </c>
    </row>
    <row r="118" spans="1:12" ht="13.5">
      <c r="A118" s="23">
        <v>407</v>
      </c>
      <c r="B118" s="249" t="s">
        <v>198</v>
      </c>
      <c r="C118" s="628" t="s">
        <v>1557</v>
      </c>
      <c r="D118" s="321"/>
      <c r="E118" s="33" t="s">
        <v>309</v>
      </c>
      <c r="F118" s="629" t="s">
        <v>1636</v>
      </c>
      <c r="G118" s="630" t="s">
        <v>2092</v>
      </c>
      <c r="H118" s="33" t="s">
        <v>176</v>
      </c>
      <c r="I118" s="33" t="s">
        <v>2093</v>
      </c>
      <c r="J118" s="33" t="s">
        <v>2094</v>
      </c>
      <c r="K118" s="631">
        <v>12</v>
      </c>
      <c r="L118" s="324">
        <v>1</v>
      </c>
    </row>
    <row r="119" spans="1:12" ht="13.5">
      <c r="A119" s="23">
        <v>407</v>
      </c>
      <c r="B119" s="249" t="s">
        <v>198</v>
      </c>
      <c r="C119" s="628" t="s">
        <v>1557</v>
      </c>
      <c r="D119" s="321"/>
      <c r="E119" s="33" t="s">
        <v>309</v>
      </c>
      <c r="F119" s="629" t="s">
        <v>1637</v>
      </c>
      <c r="G119" s="630" t="s">
        <v>2092</v>
      </c>
      <c r="H119" s="33" t="s">
        <v>176</v>
      </c>
      <c r="I119" s="33" t="s">
        <v>2093</v>
      </c>
      <c r="J119" s="33" t="s">
        <v>2094</v>
      </c>
      <c r="K119" s="631">
        <v>12</v>
      </c>
      <c r="L119" s="324">
        <v>1</v>
      </c>
    </row>
    <row r="120" spans="1:12" ht="13.5">
      <c r="A120" s="23">
        <v>407</v>
      </c>
      <c r="B120" s="249" t="s">
        <v>198</v>
      </c>
      <c r="C120" s="628" t="s">
        <v>1557</v>
      </c>
      <c r="D120" s="321"/>
      <c r="E120" s="33" t="s">
        <v>1638</v>
      </c>
      <c r="F120" s="629" t="s">
        <v>1502</v>
      </c>
      <c r="G120" s="630" t="s">
        <v>2086</v>
      </c>
      <c r="H120" s="33" t="s">
        <v>176</v>
      </c>
      <c r="I120" s="33" t="s">
        <v>2088</v>
      </c>
      <c r="J120" s="632" t="s">
        <v>2089</v>
      </c>
      <c r="K120" s="631">
        <v>0</v>
      </c>
      <c r="L120" s="324">
        <v>12</v>
      </c>
    </row>
    <row r="121" spans="1:12" ht="13.5">
      <c r="A121" s="23">
        <v>407</v>
      </c>
      <c r="B121" s="249" t="s">
        <v>198</v>
      </c>
      <c r="C121" s="628" t="s">
        <v>1557</v>
      </c>
      <c r="D121" s="321"/>
      <c r="E121" s="33" t="s">
        <v>1667</v>
      </c>
      <c r="F121" s="629" t="s">
        <v>1640</v>
      </c>
      <c r="G121" s="630" t="s">
        <v>2097</v>
      </c>
      <c r="H121" s="33" t="s">
        <v>176</v>
      </c>
      <c r="I121" s="33" t="s">
        <v>2087</v>
      </c>
      <c r="J121" s="33" t="s">
        <v>2098</v>
      </c>
      <c r="K121" s="631">
        <v>2</v>
      </c>
      <c r="L121" s="324">
        <v>6</v>
      </c>
    </row>
    <row r="122" spans="1:12" ht="13.5">
      <c r="A122" s="23">
        <v>407</v>
      </c>
      <c r="B122" s="249" t="s">
        <v>198</v>
      </c>
      <c r="C122" s="628" t="s">
        <v>1557</v>
      </c>
      <c r="D122" s="321"/>
      <c r="E122" s="33" t="s">
        <v>1639</v>
      </c>
      <c r="F122" s="629" t="s">
        <v>1642</v>
      </c>
      <c r="G122" s="630" t="s">
        <v>2086</v>
      </c>
      <c r="H122" s="33" t="s">
        <v>160</v>
      </c>
      <c r="I122" s="33" t="s">
        <v>2088</v>
      </c>
      <c r="J122" s="632" t="s">
        <v>2089</v>
      </c>
      <c r="K122" s="631">
        <v>0</v>
      </c>
      <c r="L122" s="324">
        <v>6</v>
      </c>
    </row>
    <row r="123" spans="1:12" ht="13.5">
      <c r="A123" s="23">
        <v>407</v>
      </c>
      <c r="B123" s="249" t="s">
        <v>198</v>
      </c>
      <c r="C123" s="628" t="s">
        <v>1557</v>
      </c>
      <c r="D123" s="321"/>
      <c r="E123" s="33" t="s">
        <v>1668</v>
      </c>
      <c r="F123" s="629" t="s">
        <v>1644</v>
      </c>
      <c r="G123" s="630" t="s">
        <v>2086</v>
      </c>
      <c r="H123" s="33" t="s">
        <v>176</v>
      </c>
      <c r="I123" s="33" t="s">
        <v>2088</v>
      </c>
      <c r="J123" s="632" t="s">
        <v>2089</v>
      </c>
      <c r="K123" s="631">
        <v>0</v>
      </c>
      <c r="L123" s="324">
        <v>7</v>
      </c>
    </row>
    <row r="124" spans="1:12" ht="13.5">
      <c r="A124" s="23">
        <v>407</v>
      </c>
      <c r="B124" s="249" t="s">
        <v>198</v>
      </c>
      <c r="C124" s="628" t="s">
        <v>1557</v>
      </c>
      <c r="D124" s="321"/>
      <c r="E124" s="33" t="s">
        <v>1074</v>
      </c>
      <c r="F124" s="629" t="s">
        <v>1646</v>
      </c>
      <c r="G124" s="630" t="s">
        <v>2086</v>
      </c>
      <c r="H124" s="33" t="s">
        <v>176</v>
      </c>
      <c r="I124" s="33" t="s">
        <v>2088</v>
      </c>
      <c r="J124" s="632" t="s">
        <v>2089</v>
      </c>
      <c r="K124" s="631">
        <v>0</v>
      </c>
      <c r="L124" s="324">
        <v>16</v>
      </c>
    </row>
    <row r="125" spans="1:12" ht="13.5">
      <c r="A125" s="23">
        <v>407</v>
      </c>
      <c r="B125" s="249" t="s">
        <v>198</v>
      </c>
      <c r="C125" s="628" t="s">
        <v>1557</v>
      </c>
      <c r="D125" s="321"/>
      <c r="E125" s="33" t="s">
        <v>1669</v>
      </c>
      <c r="F125" s="629" t="s">
        <v>1648</v>
      </c>
      <c r="G125" s="630" t="s">
        <v>2086</v>
      </c>
      <c r="H125" s="33" t="s">
        <v>176</v>
      </c>
      <c r="I125" s="33" t="s">
        <v>2088</v>
      </c>
      <c r="J125" s="632" t="s">
        <v>2089</v>
      </c>
      <c r="K125" s="631">
        <v>0</v>
      </c>
      <c r="L125" s="324">
        <v>101</v>
      </c>
    </row>
    <row r="126" spans="1:12" ht="13.5">
      <c r="A126" s="23">
        <v>407</v>
      </c>
      <c r="B126" s="249" t="s">
        <v>198</v>
      </c>
      <c r="C126" s="628" t="s">
        <v>1557</v>
      </c>
      <c r="D126" s="321"/>
      <c r="E126" s="33" t="s">
        <v>1647</v>
      </c>
      <c r="F126" s="629" t="s">
        <v>1650</v>
      </c>
      <c r="G126" s="630" t="s">
        <v>2086</v>
      </c>
      <c r="H126" s="33" t="s">
        <v>1055</v>
      </c>
      <c r="I126" s="33" t="s">
        <v>2088</v>
      </c>
      <c r="J126" s="632" t="s">
        <v>2089</v>
      </c>
      <c r="K126" s="631">
        <v>0</v>
      </c>
      <c r="L126" s="324">
        <v>12</v>
      </c>
    </row>
    <row r="127" spans="1:12" ht="13.5">
      <c r="A127" s="23">
        <v>407</v>
      </c>
      <c r="B127" s="249" t="s">
        <v>198</v>
      </c>
      <c r="C127" s="628" t="s">
        <v>1557</v>
      </c>
      <c r="D127" s="321"/>
      <c r="E127" s="33" t="s">
        <v>1647</v>
      </c>
      <c r="F127" s="629" t="s">
        <v>1651</v>
      </c>
      <c r="G127" s="630" t="s">
        <v>2086</v>
      </c>
      <c r="H127" s="33" t="s">
        <v>1055</v>
      </c>
      <c r="I127" s="33" t="s">
        <v>2088</v>
      </c>
      <c r="J127" s="632" t="s">
        <v>2089</v>
      </c>
      <c r="K127" s="631">
        <v>0</v>
      </c>
      <c r="L127" s="324">
        <v>12</v>
      </c>
    </row>
    <row r="128" spans="1:12" ht="13.5">
      <c r="A128" s="23">
        <v>407</v>
      </c>
      <c r="B128" s="249" t="s">
        <v>198</v>
      </c>
      <c r="C128" s="628" t="s">
        <v>1557</v>
      </c>
      <c r="D128" s="321"/>
      <c r="E128" s="33" t="s">
        <v>1647</v>
      </c>
      <c r="F128" s="629" t="s">
        <v>1652</v>
      </c>
      <c r="G128" s="630" t="s">
        <v>2086</v>
      </c>
      <c r="H128" s="33" t="s">
        <v>1055</v>
      </c>
      <c r="I128" s="33" t="s">
        <v>2088</v>
      </c>
      <c r="J128" s="632" t="s">
        <v>2089</v>
      </c>
      <c r="K128" s="631">
        <v>0</v>
      </c>
      <c r="L128" s="324">
        <v>12</v>
      </c>
    </row>
    <row r="129" spans="1:12" ht="13.5">
      <c r="A129" s="23">
        <v>407</v>
      </c>
      <c r="B129" s="249" t="s">
        <v>198</v>
      </c>
      <c r="C129" s="628" t="s">
        <v>1557</v>
      </c>
      <c r="D129" s="321"/>
      <c r="E129" s="33" t="s">
        <v>283</v>
      </c>
      <c r="F129" s="629" t="s">
        <v>1654</v>
      </c>
      <c r="G129" s="630" t="s">
        <v>2097</v>
      </c>
      <c r="H129" s="33" t="s">
        <v>319</v>
      </c>
      <c r="I129" s="33" t="s">
        <v>2087</v>
      </c>
      <c r="J129" s="33" t="s">
        <v>2098</v>
      </c>
      <c r="K129" s="631">
        <v>2</v>
      </c>
      <c r="L129" s="324">
        <v>12</v>
      </c>
    </row>
    <row r="130" spans="1:12" ht="13.5">
      <c r="A130" s="23">
        <v>407</v>
      </c>
      <c r="B130" s="249" t="s">
        <v>198</v>
      </c>
      <c r="C130" s="628" t="s">
        <v>1557</v>
      </c>
      <c r="D130" s="321"/>
      <c r="E130" s="33" t="s">
        <v>1653</v>
      </c>
      <c r="F130" s="629" t="s">
        <v>1655</v>
      </c>
      <c r="G130" s="630" t="s">
        <v>2086</v>
      </c>
      <c r="H130" s="33" t="s">
        <v>176</v>
      </c>
      <c r="I130" s="33" t="s">
        <v>2088</v>
      </c>
      <c r="J130" s="632" t="s">
        <v>2089</v>
      </c>
      <c r="K130" s="631">
        <v>0</v>
      </c>
      <c r="L130" s="324">
        <v>24</v>
      </c>
    </row>
    <row r="131" spans="1:12" ht="13.5">
      <c r="A131" s="23">
        <v>407</v>
      </c>
      <c r="B131" s="249" t="s">
        <v>198</v>
      </c>
      <c r="C131" s="628" t="s">
        <v>1557</v>
      </c>
      <c r="D131" s="321"/>
      <c r="E131" s="33" t="s">
        <v>248</v>
      </c>
      <c r="F131" s="629" t="s">
        <v>1656</v>
      </c>
      <c r="G131" s="630" t="s">
        <v>97</v>
      </c>
      <c r="H131" s="33" t="s">
        <v>176</v>
      </c>
      <c r="I131" s="33" t="s">
        <v>2087</v>
      </c>
      <c r="J131" s="33" t="s">
        <v>2099</v>
      </c>
      <c r="K131" s="631">
        <v>2</v>
      </c>
      <c r="L131" s="324">
        <v>4</v>
      </c>
    </row>
    <row r="132" spans="1:12" ht="13.5">
      <c r="A132" s="23">
        <v>407</v>
      </c>
      <c r="B132" s="249" t="s">
        <v>198</v>
      </c>
      <c r="C132" s="628" t="s">
        <v>1557</v>
      </c>
      <c r="D132" s="321"/>
      <c r="E132" s="33" t="s">
        <v>208</v>
      </c>
      <c r="F132" s="629" t="s">
        <v>1658</v>
      </c>
      <c r="G132" s="630" t="s">
        <v>2086</v>
      </c>
      <c r="H132" s="33" t="s">
        <v>176</v>
      </c>
      <c r="I132" s="33" t="s">
        <v>2088</v>
      </c>
      <c r="J132" s="632" t="s">
        <v>2089</v>
      </c>
      <c r="K132" s="631">
        <v>0</v>
      </c>
      <c r="L132" s="324">
        <v>2</v>
      </c>
    </row>
    <row r="133" spans="1:12" ht="13.5">
      <c r="A133" s="23">
        <v>407</v>
      </c>
      <c r="B133" s="249" t="s">
        <v>198</v>
      </c>
      <c r="C133" s="628" t="s">
        <v>1557</v>
      </c>
      <c r="D133" s="321"/>
      <c r="E133" s="33" t="s">
        <v>1657</v>
      </c>
      <c r="F133" s="629" t="s">
        <v>1670</v>
      </c>
      <c r="G133" s="630" t="s">
        <v>2092</v>
      </c>
      <c r="H133" s="33" t="s">
        <v>176</v>
      </c>
      <c r="I133" s="33" t="s">
        <v>2093</v>
      </c>
      <c r="J133" s="33" t="s">
        <v>2094</v>
      </c>
      <c r="K133" s="631">
        <v>12</v>
      </c>
      <c r="L133" s="324">
        <v>6</v>
      </c>
    </row>
    <row r="134" spans="1:12" ht="13.5">
      <c r="A134" s="23">
        <v>408</v>
      </c>
      <c r="B134" s="249" t="s">
        <v>238</v>
      </c>
      <c r="C134" s="628" t="s">
        <v>1557</v>
      </c>
      <c r="D134" s="321"/>
      <c r="E134" s="33" t="s">
        <v>111</v>
      </c>
      <c r="F134" s="629" t="s">
        <v>1500</v>
      </c>
      <c r="G134" s="630" t="s">
        <v>2095</v>
      </c>
      <c r="H134" s="33" t="s">
        <v>160</v>
      </c>
      <c r="I134" s="33" t="s">
        <v>2087</v>
      </c>
      <c r="J134" s="33" t="s">
        <v>2096</v>
      </c>
      <c r="K134" s="631">
        <v>2</v>
      </c>
      <c r="L134" s="324">
        <v>20</v>
      </c>
    </row>
    <row r="135" spans="1:12" ht="13.5">
      <c r="A135" s="23">
        <v>408</v>
      </c>
      <c r="B135" s="249" t="s">
        <v>238</v>
      </c>
      <c r="C135" s="628" t="s">
        <v>1557</v>
      </c>
      <c r="D135" s="321"/>
      <c r="E135" s="33" t="s">
        <v>1635</v>
      </c>
      <c r="F135" s="629" t="s">
        <v>1504</v>
      </c>
      <c r="G135" s="630" t="s">
        <v>2090</v>
      </c>
      <c r="H135" s="33" t="s">
        <v>160</v>
      </c>
      <c r="I135" s="33" t="s">
        <v>2087</v>
      </c>
      <c r="J135" s="33" t="s">
        <v>2091</v>
      </c>
      <c r="K135" s="631">
        <v>2</v>
      </c>
      <c r="L135" s="324">
        <v>12</v>
      </c>
    </row>
    <row r="136" spans="1:12" ht="13.5">
      <c r="A136" s="23">
        <v>408</v>
      </c>
      <c r="B136" s="249" t="s">
        <v>238</v>
      </c>
      <c r="C136" s="628" t="s">
        <v>1557</v>
      </c>
      <c r="D136" s="321"/>
      <c r="E136" s="33" t="s">
        <v>309</v>
      </c>
      <c r="F136" s="629" t="s">
        <v>1636</v>
      </c>
      <c r="G136" s="630" t="s">
        <v>2092</v>
      </c>
      <c r="H136" s="33" t="s">
        <v>160</v>
      </c>
      <c r="I136" s="33" t="s">
        <v>2093</v>
      </c>
      <c r="J136" s="33" t="s">
        <v>2094</v>
      </c>
      <c r="K136" s="631">
        <v>12</v>
      </c>
      <c r="L136" s="324">
        <v>1</v>
      </c>
    </row>
    <row r="137" spans="1:12" ht="13.5">
      <c r="A137" s="23">
        <v>408</v>
      </c>
      <c r="B137" s="249" t="s">
        <v>238</v>
      </c>
      <c r="C137" s="628" t="s">
        <v>1557</v>
      </c>
      <c r="D137" s="321"/>
      <c r="E137" s="33" t="s">
        <v>309</v>
      </c>
      <c r="F137" s="629" t="s">
        <v>1637</v>
      </c>
      <c r="G137" s="630" t="s">
        <v>2092</v>
      </c>
      <c r="H137" s="33" t="s">
        <v>160</v>
      </c>
      <c r="I137" s="33" t="s">
        <v>2093</v>
      </c>
      <c r="J137" s="33" t="s">
        <v>2094</v>
      </c>
      <c r="K137" s="631">
        <v>12</v>
      </c>
      <c r="L137" s="324">
        <v>1</v>
      </c>
    </row>
    <row r="138" spans="1:12" ht="13.5">
      <c r="A138" s="23">
        <v>408</v>
      </c>
      <c r="B138" s="249" t="s">
        <v>238</v>
      </c>
      <c r="C138" s="628" t="s">
        <v>1557</v>
      </c>
      <c r="D138" s="321"/>
      <c r="E138" s="33" t="s">
        <v>1638</v>
      </c>
      <c r="F138" s="629" t="s">
        <v>1502</v>
      </c>
      <c r="G138" s="630" t="s">
        <v>2086</v>
      </c>
      <c r="H138" s="33" t="s">
        <v>160</v>
      </c>
      <c r="I138" s="33" t="s">
        <v>2088</v>
      </c>
      <c r="J138" s="632" t="s">
        <v>2089</v>
      </c>
      <c r="K138" s="631">
        <v>0</v>
      </c>
      <c r="L138" s="324">
        <v>12</v>
      </c>
    </row>
    <row r="139" spans="1:12" ht="13.5">
      <c r="A139" s="23">
        <v>408</v>
      </c>
      <c r="B139" s="249" t="s">
        <v>238</v>
      </c>
      <c r="C139" s="628" t="s">
        <v>1557</v>
      </c>
      <c r="D139" s="321"/>
      <c r="E139" s="33" t="s">
        <v>1667</v>
      </c>
      <c r="F139" s="629" t="s">
        <v>1640</v>
      </c>
      <c r="G139" s="630" t="s">
        <v>2097</v>
      </c>
      <c r="H139" s="33" t="s">
        <v>160</v>
      </c>
      <c r="I139" s="33" t="s">
        <v>2087</v>
      </c>
      <c r="J139" s="33" t="s">
        <v>2098</v>
      </c>
      <c r="K139" s="631">
        <v>2</v>
      </c>
      <c r="L139" s="324">
        <v>5</v>
      </c>
    </row>
    <row r="140" spans="1:12" ht="13.5">
      <c r="A140" s="23">
        <v>408</v>
      </c>
      <c r="B140" s="249" t="s">
        <v>238</v>
      </c>
      <c r="C140" s="628" t="s">
        <v>1557</v>
      </c>
      <c r="D140" s="321"/>
      <c r="E140" s="33" t="s">
        <v>1639</v>
      </c>
      <c r="F140" s="629" t="s">
        <v>1642</v>
      </c>
      <c r="G140" s="630" t="s">
        <v>2086</v>
      </c>
      <c r="H140" s="33" t="s">
        <v>160</v>
      </c>
      <c r="I140" s="33" t="s">
        <v>2088</v>
      </c>
      <c r="J140" s="632" t="s">
        <v>2089</v>
      </c>
      <c r="K140" s="631">
        <v>0</v>
      </c>
      <c r="L140" s="324">
        <v>6</v>
      </c>
    </row>
    <row r="141" spans="1:12" ht="13.5">
      <c r="A141" s="23">
        <v>408</v>
      </c>
      <c r="B141" s="249" t="s">
        <v>238</v>
      </c>
      <c r="C141" s="628" t="s">
        <v>1557</v>
      </c>
      <c r="D141" s="321"/>
      <c r="E141" s="33" t="s">
        <v>1668</v>
      </c>
      <c r="F141" s="629" t="s">
        <v>1644</v>
      </c>
      <c r="G141" s="630" t="s">
        <v>2086</v>
      </c>
      <c r="H141" s="33" t="s">
        <v>160</v>
      </c>
      <c r="I141" s="33" t="s">
        <v>2088</v>
      </c>
      <c r="J141" s="632" t="s">
        <v>2089</v>
      </c>
      <c r="K141" s="631">
        <v>0</v>
      </c>
      <c r="L141" s="324">
        <v>6</v>
      </c>
    </row>
    <row r="142" spans="1:12" ht="13.5">
      <c r="A142" s="23">
        <v>408</v>
      </c>
      <c r="B142" s="249" t="s">
        <v>238</v>
      </c>
      <c r="C142" s="628" t="s">
        <v>1557</v>
      </c>
      <c r="D142" s="321"/>
      <c r="E142" s="33" t="s">
        <v>1074</v>
      </c>
      <c r="F142" s="629" t="s">
        <v>1646</v>
      </c>
      <c r="G142" s="630" t="s">
        <v>2086</v>
      </c>
      <c r="H142" s="33" t="s">
        <v>160</v>
      </c>
      <c r="I142" s="33" t="s">
        <v>2088</v>
      </c>
      <c r="J142" s="632" t="s">
        <v>2089</v>
      </c>
      <c r="K142" s="631">
        <v>0</v>
      </c>
      <c r="L142" s="324">
        <v>15</v>
      </c>
    </row>
    <row r="143" spans="1:12" ht="13.5">
      <c r="A143" s="23">
        <v>408</v>
      </c>
      <c r="B143" s="249" t="s">
        <v>238</v>
      </c>
      <c r="C143" s="628" t="s">
        <v>1557</v>
      </c>
      <c r="D143" s="321"/>
      <c r="E143" s="33" t="s">
        <v>1669</v>
      </c>
      <c r="F143" s="629" t="s">
        <v>1648</v>
      </c>
      <c r="G143" s="630" t="s">
        <v>2086</v>
      </c>
      <c r="H143" s="33" t="s">
        <v>160</v>
      </c>
      <c r="I143" s="33" t="s">
        <v>2088</v>
      </c>
      <c r="J143" s="632" t="s">
        <v>2089</v>
      </c>
      <c r="K143" s="631">
        <v>0</v>
      </c>
      <c r="L143" s="324">
        <v>84</v>
      </c>
    </row>
    <row r="144" spans="1:12" ht="13.5">
      <c r="A144" s="23">
        <v>408</v>
      </c>
      <c r="B144" s="249" t="s">
        <v>238</v>
      </c>
      <c r="C144" s="628" t="s">
        <v>1557</v>
      </c>
      <c r="D144" s="321"/>
      <c r="E144" s="33" t="s">
        <v>283</v>
      </c>
      <c r="F144" s="629" t="s">
        <v>1650</v>
      </c>
      <c r="G144" s="630" t="s">
        <v>2097</v>
      </c>
      <c r="H144" s="33" t="s">
        <v>319</v>
      </c>
      <c r="I144" s="33" t="s">
        <v>2087</v>
      </c>
      <c r="J144" s="33" t="s">
        <v>2098</v>
      </c>
      <c r="K144" s="631">
        <v>2</v>
      </c>
      <c r="L144" s="324">
        <v>12</v>
      </c>
    </row>
    <row r="145" spans="1:12" ht="13.5">
      <c r="A145" s="23">
        <v>408</v>
      </c>
      <c r="B145" s="249" t="s">
        <v>238</v>
      </c>
      <c r="C145" s="628" t="s">
        <v>1557</v>
      </c>
      <c r="D145" s="321"/>
      <c r="E145" s="33" t="s">
        <v>1647</v>
      </c>
      <c r="F145" s="629" t="s">
        <v>1651</v>
      </c>
      <c r="G145" s="630" t="s">
        <v>2086</v>
      </c>
      <c r="H145" s="33" t="s">
        <v>1055</v>
      </c>
      <c r="I145" s="33" t="s">
        <v>2088</v>
      </c>
      <c r="J145" s="632" t="s">
        <v>2089</v>
      </c>
      <c r="K145" s="631">
        <v>0</v>
      </c>
      <c r="L145" s="324">
        <v>12</v>
      </c>
    </row>
    <row r="146" spans="1:12" ht="13.5">
      <c r="A146" s="23">
        <v>408</v>
      </c>
      <c r="B146" s="249" t="s">
        <v>238</v>
      </c>
      <c r="C146" s="628" t="s">
        <v>1557</v>
      </c>
      <c r="D146" s="321"/>
      <c r="E146" s="33" t="s">
        <v>1647</v>
      </c>
      <c r="F146" s="629" t="s">
        <v>1652</v>
      </c>
      <c r="G146" s="630" t="s">
        <v>2086</v>
      </c>
      <c r="H146" s="33" t="s">
        <v>1055</v>
      </c>
      <c r="I146" s="33" t="s">
        <v>2088</v>
      </c>
      <c r="J146" s="632" t="s">
        <v>2089</v>
      </c>
      <c r="K146" s="631">
        <v>0</v>
      </c>
      <c r="L146" s="324">
        <v>12</v>
      </c>
    </row>
    <row r="147" spans="1:12" ht="13.5">
      <c r="A147" s="23">
        <v>408</v>
      </c>
      <c r="B147" s="249" t="s">
        <v>238</v>
      </c>
      <c r="C147" s="628" t="s">
        <v>1557</v>
      </c>
      <c r="D147" s="321"/>
      <c r="E147" s="33" t="s">
        <v>1653</v>
      </c>
      <c r="F147" s="629" t="s">
        <v>1654</v>
      </c>
      <c r="G147" s="630" t="s">
        <v>2086</v>
      </c>
      <c r="H147" s="33" t="s">
        <v>160</v>
      </c>
      <c r="I147" s="33" t="s">
        <v>2088</v>
      </c>
      <c r="J147" s="632" t="s">
        <v>2089</v>
      </c>
      <c r="K147" s="631">
        <v>0</v>
      </c>
      <c r="L147" s="324">
        <v>24</v>
      </c>
    </row>
    <row r="148" spans="1:12" ht="13.5">
      <c r="A148" s="23">
        <v>408</v>
      </c>
      <c r="B148" s="249" t="s">
        <v>238</v>
      </c>
      <c r="C148" s="628" t="s">
        <v>1557</v>
      </c>
      <c r="D148" s="321"/>
      <c r="E148" s="33" t="s">
        <v>248</v>
      </c>
      <c r="F148" s="629" t="s">
        <v>1655</v>
      </c>
      <c r="G148" s="630" t="s">
        <v>97</v>
      </c>
      <c r="H148" s="33" t="s">
        <v>160</v>
      </c>
      <c r="I148" s="33" t="s">
        <v>2087</v>
      </c>
      <c r="J148" s="33" t="s">
        <v>2099</v>
      </c>
      <c r="K148" s="631">
        <v>2</v>
      </c>
      <c r="L148" s="324">
        <v>4</v>
      </c>
    </row>
    <row r="149" spans="1:12" ht="13.5">
      <c r="A149" s="23">
        <v>408</v>
      </c>
      <c r="B149" s="249" t="s">
        <v>238</v>
      </c>
      <c r="C149" s="628" t="s">
        <v>1557</v>
      </c>
      <c r="D149" s="321"/>
      <c r="E149" s="33" t="s">
        <v>208</v>
      </c>
      <c r="F149" s="629" t="s">
        <v>1656</v>
      </c>
      <c r="G149" s="630" t="s">
        <v>2086</v>
      </c>
      <c r="H149" s="33" t="s">
        <v>160</v>
      </c>
      <c r="I149" s="33" t="s">
        <v>2088</v>
      </c>
      <c r="J149" s="632" t="s">
        <v>2089</v>
      </c>
      <c r="K149" s="631">
        <v>0</v>
      </c>
      <c r="L149" s="324">
        <v>2</v>
      </c>
    </row>
    <row r="150" spans="1:12" ht="13.5">
      <c r="A150" s="23">
        <v>408</v>
      </c>
      <c r="B150" s="249" t="s">
        <v>238</v>
      </c>
      <c r="C150" s="628" t="s">
        <v>1557</v>
      </c>
      <c r="D150" s="321"/>
      <c r="E150" s="33" t="s">
        <v>1657</v>
      </c>
      <c r="F150" s="629" t="s">
        <v>1658</v>
      </c>
      <c r="G150" s="630" t="s">
        <v>2092</v>
      </c>
      <c r="H150" s="33" t="s">
        <v>160</v>
      </c>
      <c r="I150" s="33" t="s">
        <v>2093</v>
      </c>
      <c r="J150" s="33" t="s">
        <v>2094</v>
      </c>
      <c r="K150" s="631">
        <v>12</v>
      </c>
      <c r="L150" s="324">
        <v>6</v>
      </c>
    </row>
    <row r="151" spans="1:12" ht="13.5">
      <c r="A151" s="23">
        <v>409</v>
      </c>
      <c r="B151" s="249" t="s">
        <v>133</v>
      </c>
      <c r="C151" s="628" t="s">
        <v>1557</v>
      </c>
      <c r="D151" s="321"/>
      <c r="E151" s="33" t="s">
        <v>1671</v>
      </c>
      <c r="F151" s="629" t="s">
        <v>1820</v>
      </c>
      <c r="G151" s="630" t="s">
        <v>2086</v>
      </c>
      <c r="H151" s="33" t="s">
        <v>176</v>
      </c>
      <c r="I151" s="33" t="s">
        <v>2088</v>
      </c>
      <c r="J151" s="632" t="s">
        <v>2089</v>
      </c>
      <c r="K151" s="631">
        <v>0</v>
      </c>
      <c r="L151" s="324">
        <v>41</v>
      </c>
    </row>
    <row r="152" spans="1:12" ht="13.5">
      <c r="A152" s="23">
        <v>409</v>
      </c>
      <c r="B152" s="249" t="s">
        <v>133</v>
      </c>
      <c r="C152" s="628" t="s">
        <v>1557</v>
      </c>
      <c r="D152" s="321"/>
      <c r="E152" s="33" t="s">
        <v>83</v>
      </c>
      <c r="F152" s="629" t="s">
        <v>1854</v>
      </c>
      <c r="G152" s="630" t="s">
        <v>2086</v>
      </c>
      <c r="H152" s="33" t="s">
        <v>1672</v>
      </c>
      <c r="I152" s="33" t="s">
        <v>2088</v>
      </c>
      <c r="J152" s="632" t="s">
        <v>2089</v>
      </c>
      <c r="K152" s="631">
        <v>0</v>
      </c>
      <c r="L152" s="324">
        <v>14</v>
      </c>
    </row>
    <row r="153" spans="1:12" ht="13.5">
      <c r="A153" s="23">
        <v>409</v>
      </c>
      <c r="B153" s="249" t="s">
        <v>133</v>
      </c>
      <c r="C153" s="628" t="s">
        <v>1557</v>
      </c>
      <c r="D153" s="321"/>
      <c r="E153" s="33" t="s">
        <v>1673</v>
      </c>
      <c r="F153" s="629" t="s">
        <v>75</v>
      </c>
      <c r="G153" s="630" t="s">
        <v>2086</v>
      </c>
      <c r="H153" s="33" t="s">
        <v>109</v>
      </c>
      <c r="I153" s="33" t="s">
        <v>2088</v>
      </c>
      <c r="J153" s="632" t="s">
        <v>2089</v>
      </c>
      <c r="K153" s="631">
        <v>0</v>
      </c>
      <c r="L153" s="324">
        <v>13</v>
      </c>
    </row>
    <row r="154" spans="1:12" ht="13.5">
      <c r="A154" s="23">
        <v>409</v>
      </c>
      <c r="B154" s="249" t="s">
        <v>133</v>
      </c>
      <c r="C154" s="628" t="s">
        <v>1557</v>
      </c>
      <c r="D154" s="321"/>
      <c r="E154" s="33" t="s">
        <v>1675</v>
      </c>
      <c r="F154" s="629" t="s">
        <v>75</v>
      </c>
      <c r="G154" s="630" t="s">
        <v>2086</v>
      </c>
      <c r="H154" s="33" t="s">
        <v>109</v>
      </c>
      <c r="I154" s="33" t="s">
        <v>2088</v>
      </c>
      <c r="J154" s="632" t="s">
        <v>2089</v>
      </c>
      <c r="K154" s="631">
        <v>0</v>
      </c>
      <c r="L154" s="324">
        <v>13</v>
      </c>
    </row>
    <row r="155" spans="1:12" ht="13.5">
      <c r="A155" s="23">
        <v>410</v>
      </c>
      <c r="B155" s="249" t="s">
        <v>1676</v>
      </c>
      <c r="C155" s="628" t="s">
        <v>1557</v>
      </c>
      <c r="D155" s="321"/>
      <c r="E155" s="33" t="s">
        <v>81</v>
      </c>
      <c r="F155" s="629" t="s">
        <v>1820</v>
      </c>
      <c r="G155" s="630" t="s">
        <v>2086</v>
      </c>
      <c r="H155" s="33" t="s">
        <v>176</v>
      </c>
      <c r="I155" s="33" t="s">
        <v>2088</v>
      </c>
      <c r="J155" s="632" t="s">
        <v>2089</v>
      </c>
      <c r="K155" s="631">
        <v>0</v>
      </c>
      <c r="L155" s="324">
        <v>27</v>
      </c>
    </row>
    <row r="156" spans="1:12" ht="13.5">
      <c r="A156" s="23">
        <v>410</v>
      </c>
      <c r="B156" s="249" t="s">
        <v>1676</v>
      </c>
      <c r="C156" s="628" t="s">
        <v>1557</v>
      </c>
      <c r="D156" s="321"/>
      <c r="E156" s="33" t="s">
        <v>1677</v>
      </c>
      <c r="F156" s="629" t="s">
        <v>1854</v>
      </c>
      <c r="G156" s="630" t="s">
        <v>2086</v>
      </c>
      <c r="H156" s="33" t="s">
        <v>12</v>
      </c>
      <c r="I156" s="33" t="s">
        <v>2088</v>
      </c>
      <c r="J156" s="632" t="s">
        <v>2089</v>
      </c>
      <c r="K156" s="631">
        <v>0</v>
      </c>
      <c r="L156" s="324">
        <v>10</v>
      </c>
    </row>
    <row r="157" spans="1:12" ht="13.5">
      <c r="A157" s="23">
        <v>410</v>
      </c>
      <c r="B157" s="249" t="s">
        <v>1676</v>
      </c>
      <c r="C157" s="628" t="s">
        <v>1557</v>
      </c>
      <c r="D157" s="321"/>
      <c r="E157" s="33" t="s">
        <v>1678</v>
      </c>
      <c r="F157" s="629"/>
      <c r="G157" s="630" t="s">
        <v>2100</v>
      </c>
      <c r="H157" s="33" t="s">
        <v>1327</v>
      </c>
      <c r="I157" s="33" t="s">
        <v>2087</v>
      </c>
      <c r="J157" s="33" t="s">
        <v>2101</v>
      </c>
      <c r="K157" s="631">
        <v>2</v>
      </c>
      <c r="L157" s="324">
        <v>68</v>
      </c>
    </row>
    <row r="158" spans="1:12" ht="13.5">
      <c r="A158" s="23">
        <v>411</v>
      </c>
      <c r="B158" s="249" t="s">
        <v>1679</v>
      </c>
      <c r="C158" s="628" t="s">
        <v>1557</v>
      </c>
      <c r="D158" s="321"/>
      <c r="E158" s="33" t="s">
        <v>81</v>
      </c>
      <c r="F158" s="629" t="s">
        <v>1820</v>
      </c>
      <c r="G158" s="630" t="s">
        <v>2086</v>
      </c>
      <c r="H158" s="33" t="s">
        <v>176</v>
      </c>
      <c r="I158" s="33" t="s">
        <v>2088</v>
      </c>
      <c r="J158" s="632" t="s">
        <v>2089</v>
      </c>
      <c r="K158" s="631">
        <v>0</v>
      </c>
      <c r="L158" s="324">
        <v>26</v>
      </c>
    </row>
    <row r="159" spans="1:12" ht="13.5">
      <c r="A159" s="23">
        <v>411</v>
      </c>
      <c r="B159" s="249" t="s">
        <v>1679</v>
      </c>
      <c r="C159" s="628" t="s">
        <v>1557</v>
      </c>
      <c r="D159" s="321"/>
      <c r="E159" s="33" t="s">
        <v>1677</v>
      </c>
      <c r="F159" s="629" t="s">
        <v>1854</v>
      </c>
      <c r="G159" s="630" t="s">
        <v>2086</v>
      </c>
      <c r="H159" s="33" t="s">
        <v>12</v>
      </c>
      <c r="I159" s="33" t="s">
        <v>2088</v>
      </c>
      <c r="J159" s="632" t="s">
        <v>2089</v>
      </c>
      <c r="K159" s="631">
        <v>0</v>
      </c>
      <c r="L159" s="324">
        <v>7</v>
      </c>
    </row>
    <row r="160" spans="1:12" ht="13.5">
      <c r="A160" s="23">
        <v>411</v>
      </c>
      <c r="B160" s="249" t="s">
        <v>1679</v>
      </c>
      <c r="C160" s="628" t="s">
        <v>1557</v>
      </c>
      <c r="D160" s="321"/>
      <c r="E160" s="33" t="s">
        <v>1680</v>
      </c>
      <c r="F160" s="629"/>
      <c r="G160" s="630" t="s">
        <v>2086</v>
      </c>
      <c r="H160" s="33"/>
      <c r="I160" s="33" t="s">
        <v>2088</v>
      </c>
      <c r="J160" s="632" t="s">
        <v>2089</v>
      </c>
      <c r="K160" s="631">
        <v>0</v>
      </c>
      <c r="L160" s="324"/>
    </row>
    <row r="161" spans="1:12" ht="13.5">
      <c r="A161" s="23">
        <v>411</v>
      </c>
      <c r="B161" s="249" t="s">
        <v>1679</v>
      </c>
      <c r="C161" s="628" t="s">
        <v>1557</v>
      </c>
      <c r="D161" s="321"/>
      <c r="E161" s="33" t="s">
        <v>1678</v>
      </c>
      <c r="F161" s="629"/>
      <c r="G161" s="630" t="s">
        <v>2100</v>
      </c>
      <c r="H161" s="33" t="s">
        <v>1327</v>
      </c>
      <c r="I161" s="33" t="s">
        <v>2087</v>
      </c>
      <c r="J161" s="33" t="s">
        <v>2101</v>
      </c>
      <c r="K161" s="631">
        <v>2</v>
      </c>
      <c r="L161" s="324">
        <v>122</v>
      </c>
    </row>
    <row r="162" spans="1:12" ht="13.5">
      <c r="A162" s="23">
        <v>412</v>
      </c>
      <c r="B162" s="249" t="s">
        <v>1681</v>
      </c>
      <c r="C162" s="628" t="s">
        <v>1557</v>
      </c>
      <c r="D162" s="321"/>
      <c r="E162" s="33" t="s">
        <v>71</v>
      </c>
      <c r="F162" s="629" t="s">
        <v>16</v>
      </c>
      <c r="G162" s="630" t="s">
        <v>2095</v>
      </c>
      <c r="H162" s="33" t="s">
        <v>176</v>
      </c>
      <c r="I162" s="33" t="s">
        <v>2087</v>
      </c>
      <c r="J162" s="33" t="s">
        <v>2096</v>
      </c>
      <c r="K162" s="631">
        <v>2</v>
      </c>
      <c r="L162" s="324">
        <v>19</v>
      </c>
    </row>
    <row r="163" spans="1:12" ht="13.5">
      <c r="A163" s="23">
        <v>412</v>
      </c>
      <c r="B163" s="249" t="s">
        <v>1681</v>
      </c>
      <c r="C163" s="628" t="s">
        <v>1557</v>
      </c>
      <c r="D163" s="321"/>
      <c r="E163" s="33" t="s">
        <v>71</v>
      </c>
      <c r="F163" s="629" t="s">
        <v>182</v>
      </c>
      <c r="G163" s="630" t="s">
        <v>2095</v>
      </c>
      <c r="H163" s="33" t="s">
        <v>176</v>
      </c>
      <c r="I163" s="33" t="s">
        <v>2087</v>
      </c>
      <c r="J163" s="33" t="s">
        <v>2096</v>
      </c>
      <c r="K163" s="631">
        <v>2</v>
      </c>
      <c r="L163" s="324">
        <v>8</v>
      </c>
    </row>
    <row r="164" spans="1:12" ht="13.5">
      <c r="A164" s="23">
        <v>412</v>
      </c>
      <c r="B164" s="249" t="s">
        <v>1681</v>
      </c>
      <c r="C164" s="628" t="s">
        <v>1557</v>
      </c>
      <c r="D164" s="321"/>
      <c r="E164" s="33" t="s">
        <v>1682</v>
      </c>
      <c r="F164" s="629" t="s">
        <v>1767</v>
      </c>
      <c r="G164" s="630" t="s">
        <v>2086</v>
      </c>
      <c r="H164" s="33" t="s">
        <v>176</v>
      </c>
      <c r="I164" s="33" t="s">
        <v>2088</v>
      </c>
      <c r="J164" s="632" t="s">
        <v>2089</v>
      </c>
      <c r="K164" s="631">
        <v>0</v>
      </c>
      <c r="L164" s="324">
        <v>3</v>
      </c>
    </row>
    <row r="165" spans="1:12" ht="13.5">
      <c r="A165" s="23">
        <v>412</v>
      </c>
      <c r="B165" s="249" t="s">
        <v>1681</v>
      </c>
      <c r="C165" s="628" t="s">
        <v>1557</v>
      </c>
      <c r="D165" s="321"/>
      <c r="E165" s="33" t="s">
        <v>1684</v>
      </c>
      <c r="F165" s="629" t="s">
        <v>1820</v>
      </c>
      <c r="G165" s="630" t="s">
        <v>2086</v>
      </c>
      <c r="H165" s="33" t="s">
        <v>12</v>
      </c>
      <c r="I165" s="33" t="s">
        <v>2088</v>
      </c>
      <c r="J165" s="632" t="s">
        <v>2089</v>
      </c>
      <c r="K165" s="631">
        <v>0</v>
      </c>
      <c r="L165" s="324">
        <v>16</v>
      </c>
    </row>
    <row r="166" spans="1:12" ht="13.5">
      <c r="A166" s="23">
        <v>412</v>
      </c>
      <c r="B166" s="249" t="s">
        <v>1681</v>
      </c>
      <c r="C166" s="628" t="s">
        <v>1557</v>
      </c>
      <c r="D166" s="321"/>
      <c r="E166" s="33" t="s">
        <v>81</v>
      </c>
      <c r="F166" s="629" t="s">
        <v>1854</v>
      </c>
      <c r="G166" s="630" t="s">
        <v>2086</v>
      </c>
      <c r="H166" s="33" t="s">
        <v>176</v>
      </c>
      <c r="I166" s="33" t="s">
        <v>2088</v>
      </c>
      <c r="J166" s="632" t="s">
        <v>2089</v>
      </c>
      <c r="K166" s="631">
        <v>0</v>
      </c>
      <c r="L166" s="324">
        <v>30</v>
      </c>
    </row>
    <row r="167" spans="1:12" ht="13.5">
      <c r="A167" s="23">
        <v>412</v>
      </c>
      <c r="B167" s="249" t="s">
        <v>1681</v>
      </c>
      <c r="C167" s="628" t="s">
        <v>1557</v>
      </c>
      <c r="D167" s="321"/>
      <c r="E167" s="33" t="s">
        <v>1685</v>
      </c>
      <c r="F167" s="629" t="s">
        <v>1932</v>
      </c>
      <c r="G167" s="630" t="s">
        <v>2095</v>
      </c>
      <c r="H167" s="33" t="s">
        <v>12</v>
      </c>
      <c r="I167" s="33" t="s">
        <v>2087</v>
      </c>
      <c r="J167" s="33" t="s">
        <v>2096</v>
      </c>
      <c r="K167" s="631">
        <v>2</v>
      </c>
      <c r="L167" s="324">
        <v>33</v>
      </c>
    </row>
    <row r="168" spans="1:12" ht="13.5">
      <c r="A168" s="23">
        <v>412</v>
      </c>
      <c r="B168" s="249" t="s">
        <v>1681</v>
      </c>
      <c r="C168" s="628" t="s">
        <v>1557</v>
      </c>
      <c r="D168" s="321"/>
      <c r="E168" s="33" t="s">
        <v>1686</v>
      </c>
      <c r="F168" s="629" t="s">
        <v>1933</v>
      </c>
      <c r="G168" s="630" t="s">
        <v>2086</v>
      </c>
      <c r="H168" s="33" t="s">
        <v>1687</v>
      </c>
      <c r="I168" s="33" t="s">
        <v>2088</v>
      </c>
      <c r="J168" s="632" t="s">
        <v>2089</v>
      </c>
      <c r="K168" s="631">
        <v>0</v>
      </c>
      <c r="L168" s="324">
        <v>15</v>
      </c>
    </row>
    <row r="169" spans="1:12" ht="13.5">
      <c r="A169" s="23">
        <v>412</v>
      </c>
      <c r="B169" s="249" t="s">
        <v>1681</v>
      </c>
      <c r="C169" s="628" t="s">
        <v>1557</v>
      </c>
      <c r="D169" s="321"/>
      <c r="E169" s="33" t="s">
        <v>20</v>
      </c>
      <c r="F169" s="629" t="s">
        <v>1934</v>
      </c>
      <c r="G169" s="630" t="s">
        <v>2095</v>
      </c>
      <c r="H169" s="633" t="s">
        <v>1688</v>
      </c>
      <c r="I169" s="33" t="s">
        <v>2087</v>
      </c>
      <c r="J169" s="33" t="s">
        <v>2096</v>
      </c>
      <c r="K169" s="631">
        <v>2</v>
      </c>
      <c r="L169" s="324">
        <v>5</v>
      </c>
    </row>
    <row r="170" spans="1:12" ht="13.5">
      <c r="A170" s="23">
        <v>413</v>
      </c>
      <c r="B170" s="249" t="s">
        <v>1418</v>
      </c>
      <c r="C170" s="628" t="s">
        <v>1557</v>
      </c>
      <c r="D170" s="321"/>
      <c r="E170" s="33" t="s">
        <v>1607</v>
      </c>
      <c r="F170" s="629" t="s">
        <v>1908</v>
      </c>
      <c r="G170" s="630" t="s">
        <v>2086</v>
      </c>
      <c r="H170" s="33" t="s">
        <v>12</v>
      </c>
      <c r="I170" s="33" t="s">
        <v>2088</v>
      </c>
      <c r="J170" s="632" t="s">
        <v>2089</v>
      </c>
      <c r="K170" s="631">
        <v>0</v>
      </c>
      <c r="L170" s="324">
        <v>11</v>
      </c>
    </row>
    <row r="171" spans="1:12" ht="13.5">
      <c r="A171" s="23">
        <v>413</v>
      </c>
      <c r="B171" s="249" t="s">
        <v>1418</v>
      </c>
      <c r="C171" s="628" t="s">
        <v>1557</v>
      </c>
      <c r="D171" s="321"/>
      <c r="E171" s="33" t="s">
        <v>1608</v>
      </c>
      <c r="F171" s="629" t="s">
        <v>1909</v>
      </c>
      <c r="G171" s="630" t="s">
        <v>2086</v>
      </c>
      <c r="H171" s="33" t="s">
        <v>12</v>
      </c>
      <c r="I171" s="33" t="s">
        <v>2088</v>
      </c>
      <c r="J171" s="632" t="s">
        <v>2089</v>
      </c>
      <c r="K171" s="631">
        <v>0</v>
      </c>
      <c r="L171" s="324">
        <v>31</v>
      </c>
    </row>
    <row r="172" spans="1:12" ht="13.5">
      <c r="A172" s="23">
        <v>414</v>
      </c>
      <c r="B172" s="249" t="s">
        <v>1419</v>
      </c>
      <c r="C172" s="628" t="s">
        <v>1557</v>
      </c>
      <c r="D172" s="321"/>
      <c r="E172" s="33" t="s">
        <v>1616</v>
      </c>
      <c r="F172" s="629" t="s">
        <v>1820</v>
      </c>
      <c r="G172" s="630" t="s">
        <v>2086</v>
      </c>
      <c r="H172" s="33" t="s">
        <v>12</v>
      </c>
      <c r="I172" s="33" t="s">
        <v>2088</v>
      </c>
      <c r="J172" s="632" t="s">
        <v>2089</v>
      </c>
      <c r="K172" s="631">
        <v>0</v>
      </c>
      <c r="L172" s="324">
        <v>11</v>
      </c>
    </row>
    <row r="173" spans="1:12" ht="13.5">
      <c r="A173" s="23">
        <v>414</v>
      </c>
      <c r="B173" s="249" t="s">
        <v>1419</v>
      </c>
      <c r="C173" s="628" t="s">
        <v>1557</v>
      </c>
      <c r="D173" s="321"/>
      <c r="E173" s="33" t="s">
        <v>1617</v>
      </c>
      <c r="F173" s="629" t="s">
        <v>1909</v>
      </c>
      <c r="G173" s="630" t="s">
        <v>2086</v>
      </c>
      <c r="H173" s="33" t="s">
        <v>12</v>
      </c>
      <c r="I173" s="33" t="s">
        <v>2088</v>
      </c>
      <c r="J173" s="632" t="s">
        <v>2089</v>
      </c>
      <c r="K173" s="631">
        <v>0</v>
      </c>
      <c r="L173" s="324">
        <v>30</v>
      </c>
    </row>
    <row r="174" spans="1:12" ht="13.5">
      <c r="A174" s="23">
        <v>415</v>
      </c>
      <c r="B174" s="249" t="s">
        <v>1429</v>
      </c>
      <c r="C174" s="628" t="s">
        <v>1557</v>
      </c>
      <c r="D174" s="321"/>
      <c r="E174" s="33" t="s">
        <v>1607</v>
      </c>
      <c r="F174" s="629" t="s">
        <v>1820</v>
      </c>
      <c r="G174" s="630" t="s">
        <v>2086</v>
      </c>
      <c r="H174" s="33" t="s">
        <v>12</v>
      </c>
      <c r="I174" s="33" t="s">
        <v>2088</v>
      </c>
      <c r="J174" s="632" t="s">
        <v>2089</v>
      </c>
      <c r="K174" s="631">
        <v>0</v>
      </c>
      <c r="L174" s="324">
        <v>10</v>
      </c>
    </row>
    <row r="175" spans="1:12" ht="13.5">
      <c r="A175" s="23">
        <v>415</v>
      </c>
      <c r="B175" s="249" t="s">
        <v>1429</v>
      </c>
      <c r="C175" s="628" t="s">
        <v>1557</v>
      </c>
      <c r="D175" s="321"/>
      <c r="E175" s="33" t="s">
        <v>1627</v>
      </c>
      <c r="F175" s="629" t="s">
        <v>1909</v>
      </c>
      <c r="G175" s="630" t="s">
        <v>2086</v>
      </c>
      <c r="H175" s="33" t="s">
        <v>12</v>
      </c>
      <c r="I175" s="33" t="s">
        <v>2088</v>
      </c>
      <c r="J175" s="632" t="s">
        <v>2089</v>
      </c>
      <c r="K175" s="631">
        <v>0</v>
      </c>
      <c r="L175" s="324">
        <v>32</v>
      </c>
    </row>
  </sheetData>
  <autoFilter ref="A35:L175" xr:uid="{82771C6D-A6EA-4311-8360-ADCF1E1E2FD6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1AE5A-763B-4384-B4FB-7C14D16B2D0E}">
  <sheetPr>
    <tabColor theme="0" tint="-0.14999847407452621"/>
  </sheetPr>
  <dimension ref="A1:K197"/>
  <sheetViews>
    <sheetView showGridLines="0" workbookViewId="0">
      <pane ySplit="9" topLeftCell="A10" activePane="bottomLeft" state="frozen"/>
      <selection activeCell="E13" sqref="E13"/>
      <selection pane="bottomLeft" activeCell="D13" sqref="D13"/>
    </sheetView>
  </sheetViews>
  <sheetFormatPr defaultRowHeight="12.75"/>
  <cols>
    <col min="2" max="2" width="16.7109375" bestFit="1" customWidth="1"/>
    <col min="3" max="3" width="21.140625" customWidth="1"/>
    <col min="4" max="4" width="13.5703125" bestFit="1" customWidth="1"/>
    <col min="5" max="5" width="18.28515625" customWidth="1"/>
    <col min="6" max="6" width="10.85546875" bestFit="1" customWidth="1"/>
    <col min="7" max="7" width="19.7109375" bestFit="1" customWidth="1"/>
    <col min="8" max="8" width="14.85546875" bestFit="1" customWidth="1"/>
    <col min="9" max="9" width="19.7109375" bestFit="1" customWidth="1"/>
  </cols>
  <sheetData>
    <row r="1" spans="1:11" ht="13.5">
      <c r="A1" s="620" t="s">
        <v>2</v>
      </c>
      <c r="B1" s="294"/>
      <c r="C1" s="294"/>
      <c r="D1" s="295"/>
      <c r="E1" s="32"/>
      <c r="F1" s="32"/>
      <c r="G1" s="621"/>
      <c r="H1" s="32"/>
      <c r="I1" s="32"/>
      <c r="J1" s="32"/>
      <c r="K1" s="296"/>
    </row>
    <row r="2" spans="1:11" ht="13.5">
      <c r="A2" s="302"/>
      <c r="B2" s="294"/>
      <c r="C2" s="300"/>
      <c r="D2" s="301"/>
      <c r="E2" s="302"/>
      <c r="F2" s="302"/>
      <c r="G2" s="622"/>
      <c r="H2" s="303"/>
      <c r="I2" s="303"/>
      <c r="J2" s="303"/>
      <c r="K2" s="304"/>
    </row>
    <row r="3" spans="1:11" ht="17.25">
      <c r="A3" s="623" t="s">
        <v>3</v>
      </c>
      <c r="B3" s="294"/>
      <c r="C3" s="350" t="str">
        <f>'1-Inschrijfstaat'!B3</f>
        <v>GVB Infra B.V.</v>
      </c>
      <c r="D3" s="301"/>
      <c r="E3" s="32"/>
      <c r="F3" s="32"/>
      <c r="G3" s="621"/>
      <c r="H3" s="303"/>
      <c r="I3" s="303"/>
      <c r="J3" s="303"/>
      <c r="K3" s="307"/>
    </row>
    <row r="4" spans="1:11" ht="17.25">
      <c r="A4" s="623" t="s">
        <v>8</v>
      </c>
      <c r="B4" s="294"/>
      <c r="C4" s="350" t="str">
        <f ca="1">MID(CELL("bestandsnaam",$B$9),SEARCH("]",CELL("bestandsnaam",$B$9),1)+1,256)</f>
        <v>15- Dienstruimten</v>
      </c>
      <c r="D4" s="301"/>
      <c r="E4" s="32"/>
      <c r="F4" s="32"/>
      <c r="G4" s="621"/>
      <c r="H4" s="303"/>
      <c r="I4" s="303"/>
      <c r="J4" s="303"/>
      <c r="K4" s="309"/>
    </row>
    <row r="5" spans="1:11" ht="17.25">
      <c r="A5" s="623" t="s">
        <v>4</v>
      </c>
      <c r="B5" s="294"/>
      <c r="C5" s="350" t="str">
        <f>'1-Inschrijfstaat'!B5</f>
        <v>Diverse</v>
      </c>
      <c r="D5" s="301"/>
      <c r="E5" s="32"/>
      <c r="F5" s="32"/>
      <c r="G5" s="621"/>
      <c r="H5" s="303"/>
      <c r="I5" s="303"/>
      <c r="J5" s="303"/>
      <c r="K5" s="309"/>
    </row>
    <row r="6" spans="1:11" ht="17.25">
      <c r="A6" s="623" t="s">
        <v>9</v>
      </c>
      <c r="B6" s="294"/>
      <c r="C6" s="350" t="str">
        <f>'1-Inschrijfstaat'!B6</f>
        <v>2021-03</v>
      </c>
      <c r="D6" s="301"/>
      <c r="E6" s="32"/>
      <c r="F6" s="32"/>
      <c r="G6" s="621"/>
      <c r="H6" s="303"/>
      <c r="I6" s="303"/>
      <c r="J6" s="303"/>
      <c r="K6" s="309"/>
    </row>
    <row r="7" spans="1:11" ht="17.25">
      <c r="A7" s="623" t="s">
        <v>6</v>
      </c>
      <c r="B7" s="294"/>
      <c r="C7" s="350" t="str">
        <f>'1-Inschrijfstaat'!B7</f>
        <v>Naam dienstverlener</v>
      </c>
      <c r="D7" s="301"/>
      <c r="E7" s="32"/>
      <c r="F7" s="32"/>
      <c r="G7" s="621"/>
      <c r="H7" s="303"/>
      <c r="I7" s="303"/>
      <c r="J7" s="303"/>
      <c r="K7" s="309"/>
    </row>
    <row r="8" spans="1:11" ht="15.75">
      <c r="A8" s="623" t="s">
        <v>7</v>
      </c>
      <c r="B8" s="294"/>
      <c r="C8" s="15" t="str">
        <f>'1-Inschrijfstaat'!B8</f>
        <v>1 juni 2021</v>
      </c>
      <c r="D8" s="301"/>
      <c r="E8" s="32"/>
      <c r="F8" s="32"/>
      <c r="G8" s="621"/>
      <c r="H8" s="303"/>
      <c r="I8" s="303"/>
      <c r="J8" s="303"/>
      <c r="K8" s="309"/>
    </row>
    <row r="9" spans="1:11" ht="15">
      <c r="A9" s="624" t="s">
        <v>0</v>
      </c>
      <c r="B9" s="294"/>
      <c r="C9" s="311" t="str">
        <f>'1-Inschrijfstaat'!B9</f>
        <v>2 Technische schoonmaak</v>
      </c>
      <c r="D9" s="312"/>
      <c r="E9" s="294"/>
      <c r="F9" s="32"/>
      <c r="G9" s="621"/>
      <c r="H9" s="303"/>
      <c r="I9" s="303"/>
      <c r="J9" s="303"/>
      <c r="K9" s="309"/>
    </row>
    <row r="10" spans="1:11" ht="13.5">
      <c r="A10" s="313"/>
      <c r="B10" s="314"/>
      <c r="C10" s="32"/>
      <c r="D10" s="315"/>
      <c r="E10" s="32"/>
      <c r="F10" s="314"/>
      <c r="G10" s="625"/>
      <c r="H10" s="316"/>
      <c r="I10" s="316"/>
      <c r="J10" s="316"/>
      <c r="K10" s="625"/>
    </row>
    <row r="12" spans="1:11" ht="27" customHeight="1">
      <c r="A12" s="699" t="s">
        <v>2115</v>
      </c>
      <c r="B12" s="700"/>
      <c r="C12" s="663" t="s">
        <v>1712</v>
      </c>
      <c r="D12" s="664">
        <v>0</v>
      </c>
    </row>
    <row r="13" spans="1:11" s="163" customFormat="1" ht="13.5"/>
    <row r="14" spans="1:11" s="163" customFormat="1" ht="13.5">
      <c r="A14" s="636" t="s">
        <v>1711</v>
      </c>
      <c r="B14" s="636"/>
      <c r="C14" s="619" t="s">
        <v>2061</v>
      </c>
      <c r="D14" s="619" t="s">
        <v>1708</v>
      </c>
    </row>
    <row r="15" spans="1:11" s="163" customFormat="1" ht="13.5">
      <c r="A15" s="273" t="s">
        <v>1709</v>
      </c>
      <c r="B15" s="637"/>
      <c r="C15" s="605" t="s">
        <v>2062</v>
      </c>
      <c r="D15" s="384">
        <v>0</v>
      </c>
    </row>
    <row r="16" spans="1:11" s="163" customFormat="1" ht="13.5">
      <c r="A16" s="660"/>
      <c r="B16" s="660"/>
      <c r="C16" s="661"/>
      <c r="D16"/>
    </row>
    <row r="18" spans="1:9" ht="38.25">
      <c r="A18" s="618" t="s">
        <v>290</v>
      </c>
      <c r="B18" s="618" t="s">
        <v>291</v>
      </c>
      <c r="C18" s="618" t="s">
        <v>2116</v>
      </c>
      <c r="D18" s="618" t="s">
        <v>2117</v>
      </c>
      <c r="E18" s="618" t="s">
        <v>2119</v>
      </c>
      <c r="F18" s="618" t="s">
        <v>2005</v>
      </c>
      <c r="G18" s="618" t="s">
        <v>2109</v>
      </c>
    </row>
    <row r="19" spans="1:9" ht="13.5">
      <c r="A19" s="33">
        <v>102</v>
      </c>
      <c r="B19" s="33" t="s">
        <v>850</v>
      </c>
      <c r="C19" s="639">
        <f t="shared" ref="C19:C32" si="0">SUMIF($A$38:$A$197,A19,$K$38:$K$197)</f>
        <v>637.99999999999989</v>
      </c>
      <c r="D19" s="641" t="e">
        <f>C19/$D$12</f>
        <v>#DIV/0!</v>
      </c>
      <c r="E19" s="665">
        <v>1</v>
      </c>
      <c r="F19" s="345">
        <f>$D$15</f>
        <v>0</v>
      </c>
      <c r="G19" s="345" t="e">
        <f>F19*E19*D19</f>
        <v>#DIV/0!</v>
      </c>
      <c r="H19" s="634"/>
      <c r="I19" s="634"/>
    </row>
    <row r="20" spans="1:9" ht="13.5">
      <c r="A20" s="33">
        <v>103</v>
      </c>
      <c r="B20" s="33" t="s">
        <v>718</v>
      </c>
      <c r="C20" s="639">
        <f t="shared" si="0"/>
        <v>412.46050000000008</v>
      </c>
      <c r="D20" s="641" t="e">
        <f t="shared" ref="D20:D32" si="1">C20/$D$12</f>
        <v>#DIV/0!</v>
      </c>
      <c r="E20" s="665">
        <v>1</v>
      </c>
      <c r="F20" s="345">
        <f t="shared" ref="F20:F32" si="2">$D$15</f>
        <v>0</v>
      </c>
      <c r="G20" s="345" t="e">
        <f t="shared" ref="G20:G32" si="3">F20*E20*D20</f>
        <v>#DIV/0!</v>
      </c>
      <c r="H20" s="634"/>
      <c r="I20" s="634"/>
    </row>
    <row r="21" spans="1:9" ht="13.5">
      <c r="A21" s="33">
        <v>104</v>
      </c>
      <c r="B21" s="33" t="s">
        <v>165</v>
      </c>
      <c r="C21" s="639">
        <f t="shared" si="0"/>
        <v>620.33789999999999</v>
      </c>
      <c r="D21" s="641" t="e">
        <f t="shared" si="1"/>
        <v>#DIV/0!</v>
      </c>
      <c r="E21" s="665">
        <v>1</v>
      </c>
      <c r="F21" s="345">
        <f t="shared" si="2"/>
        <v>0</v>
      </c>
      <c r="G21" s="345" t="e">
        <f t="shared" si="3"/>
        <v>#DIV/0!</v>
      </c>
      <c r="H21" s="634"/>
      <c r="I21" s="634"/>
    </row>
    <row r="22" spans="1:9" ht="13.5">
      <c r="A22" s="33">
        <v>105</v>
      </c>
      <c r="B22" s="33" t="s">
        <v>851</v>
      </c>
      <c r="C22" s="639">
        <f t="shared" si="0"/>
        <v>412.113</v>
      </c>
      <c r="D22" s="641" t="e">
        <f t="shared" si="1"/>
        <v>#DIV/0!</v>
      </c>
      <c r="E22" s="665">
        <v>1</v>
      </c>
      <c r="F22" s="345">
        <f t="shared" si="2"/>
        <v>0</v>
      </c>
      <c r="G22" s="345" t="e">
        <f t="shared" si="3"/>
        <v>#DIV/0!</v>
      </c>
      <c r="H22" s="634"/>
      <c r="I22" s="634"/>
    </row>
    <row r="23" spans="1:9" ht="13.5">
      <c r="A23" s="33">
        <v>106</v>
      </c>
      <c r="B23" s="33" t="s">
        <v>1036</v>
      </c>
      <c r="C23" s="639">
        <f t="shared" si="0"/>
        <v>39</v>
      </c>
      <c r="D23" s="641" t="e">
        <f t="shared" si="1"/>
        <v>#DIV/0!</v>
      </c>
      <c r="E23" s="665">
        <v>1</v>
      </c>
      <c r="F23" s="345">
        <f t="shared" si="2"/>
        <v>0</v>
      </c>
      <c r="G23" s="345" t="e">
        <f t="shared" si="3"/>
        <v>#DIV/0!</v>
      </c>
      <c r="H23" s="634"/>
      <c r="I23" s="634"/>
    </row>
    <row r="24" spans="1:9" ht="13.5">
      <c r="A24" s="33">
        <v>116</v>
      </c>
      <c r="B24" s="33" t="s">
        <v>238</v>
      </c>
      <c r="C24" s="639">
        <f t="shared" si="0"/>
        <v>26</v>
      </c>
      <c r="D24" s="641" t="e">
        <f t="shared" si="1"/>
        <v>#DIV/0!</v>
      </c>
      <c r="E24" s="665">
        <v>1</v>
      </c>
      <c r="F24" s="345">
        <f t="shared" si="2"/>
        <v>0</v>
      </c>
      <c r="G24" s="345" t="e">
        <f t="shared" si="3"/>
        <v>#DIV/0!</v>
      </c>
      <c r="H24" s="634"/>
      <c r="I24" s="634"/>
    </row>
    <row r="25" spans="1:9" ht="13.5">
      <c r="A25" s="33">
        <v>117</v>
      </c>
      <c r="B25" s="33" t="s">
        <v>297</v>
      </c>
      <c r="C25" s="639">
        <f t="shared" si="0"/>
        <v>69</v>
      </c>
      <c r="D25" s="641" t="e">
        <f t="shared" si="1"/>
        <v>#DIV/0!</v>
      </c>
      <c r="E25" s="665">
        <v>1</v>
      </c>
      <c r="F25" s="345">
        <f t="shared" si="2"/>
        <v>0</v>
      </c>
      <c r="G25" s="345" t="e">
        <f t="shared" si="3"/>
        <v>#DIV/0!</v>
      </c>
      <c r="H25" s="634"/>
      <c r="I25" s="634"/>
    </row>
    <row r="26" spans="1:9" ht="13.5">
      <c r="A26" s="33">
        <v>118</v>
      </c>
      <c r="B26" s="33" t="s">
        <v>198</v>
      </c>
      <c r="C26" s="639">
        <f t="shared" si="0"/>
        <v>6</v>
      </c>
      <c r="D26" s="641" t="e">
        <f t="shared" si="1"/>
        <v>#DIV/0!</v>
      </c>
      <c r="E26" s="665">
        <v>1</v>
      </c>
      <c r="F26" s="345">
        <f t="shared" si="2"/>
        <v>0</v>
      </c>
      <c r="G26" s="345" t="e">
        <f t="shared" si="3"/>
        <v>#DIV/0!</v>
      </c>
      <c r="H26" s="634"/>
      <c r="I26" s="634"/>
    </row>
    <row r="27" spans="1:9" ht="13.5">
      <c r="A27" s="33">
        <v>119</v>
      </c>
      <c r="B27" s="33" t="s">
        <v>311</v>
      </c>
      <c r="C27" s="639">
        <f t="shared" si="0"/>
        <v>37</v>
      </c>
      <c r="D27" s="641" t="e">
        <f t="shared" si="1"/>
        <v>#DIV/0!</v>
      </c>
      <c r="E27" s="665">
        <v>1</v>
      </c>
      <c r="F27" s="345">
        <f t="shared" si="2"/>
        <v>0</v>
      </c>
      <c r="G27" s="345" t="e">
        <f t="shared" si="3"/>
        <v>#DIV/0!</v>
      </c>
      <c r="H27" s="634"/>
      <c r="I27" s="634"/>
    </row>
    <row r="28" spans="1:9" ht="13.5">
      <c r="A28" s="33">
        <v>120</v>
      </c>
      <c r="B28" s="33" t="s">
        <v>301</v>
      </c>
      <c r="C28" s="639">
        <f t="shared" si="0"/>
        <v>109</v>
      </c>
      <c r="D28" s="641" t="e">
        <f t="shared" si="1"/>
        <v>#DIV/0!</v>
      </c>
      <c r="E28" s="665">
        <v>1</v>
      </c>
      <c r="F28" s="345">
        <f t="shared" si="2"/>
        <v>0</v>
      </c>
      <c r="G28" s="345" t="e">
        <f t="shared" si="3"/>
        <v>#DIV/0!</v>
      </c>
      <c r="H28" s="634"/>
      <c r="I28" s="634"/>
    </row>
    <row r="29" spans="1:9" ht="13.5">
      <c r="A29" s="33">
        <v>121</v>
      </c>
      <c r="B29" s="33" t="s">
        <v>181</v>
      </c>
      <c r="C29" s="639">
        <f t="shared" si="0"/>
        <v>42.210000000000008</v>
      </c>
      <c r="D29" s="641" t="e">
        <f t="shared" si="1"/>
        <v>#DIV/0!</v>
      </c>
      <c r="E29" s="665">
        <v>1</v>
      </c>
      <c r="F29" s="345">
        <f t="shared" si="2"/>
        <v>0</v>
      </c>
      <c r="G29" s="345" t="e">
        <f t="shared" si="3"/>
        <v>#DIV/0!</v>
      </c>
      <c r="H29" s="634"/>
      <c r="I29" s="634"/>
    </row>
    <row r="30" spans="1:9" ht="13.5">
      <c r="A30" s="33">
        <v>303</v>
      </c>
      <c r="B30" s="33" t="s">
        <v>133</v>
      </c>
      <c r="C30" s="639">
        <f t="shared" si="0"/>
        <v>27</v>
      </c>
      <c r="D30" s="641" t="e">
        <f t="shared" si="1"/>
        <v>#DIV/0!</v>
      </c>
      <c r="E30" s="665">
        <v>1</v>
      </c>
      <c r="F30" s="345">
        <f t="shared" si="2"/>
        <v>0</v>
      </c>
      <c r="G30" s="345" t="e">
        <f t="shared" si="3"/>
        <v>#DIV/0!</v>
      </c>
      <c r="H30" s="634"/>
      <c r="I30" s="634"/>
    </row>
    <row r="31" spans="1:9" ht="13.5">
      <c r="A31" s="33">
        <v>307</v>
      </c>
      <c r="B31" s="33" t="s">
        <v>1412</v>
      </c>
      <c r="C31" s="639">
        <f t="shared" si="0"/>
        <v>3</v>
      </c>
      <c r="D31" s="641" t="e">
        <f t="shared" si="1"/>
        <v>#DIV/0!</v>
      </c>
      <c r="E31" s="665">
        <v>1</v>
      </c>
      <c r="F31" s="345">
        <f t="shared" si="2"/>
        <v>0</v>
      </c>
      <c r="G31" s="345" t="e">
        <f t="shared" si="3"/>
        <v>#DIV/0!</v>
      </c>
      <c r="H31" s="634"/>
      <c r="I31" s="634"/>
    </row>
    <row r="32" spans="1:9" ht="14.25" thickBot="1">
      <c r="A32" s="410">
        <v>1002</v>
      </c>
      <c r="B32" s="410" t="s">
        <v>1071</v>
      </c>
      <c r="C32" s="639">
        <f t="shared" si="0"/>
        <v>2.8</v>
      </c>
      <c r="D32" s="658" t="e">
        <f t="shared" si="1"/>
        <v>#DIV/0!</v>
      </c>
      <c r="E32" s="666">
        <v>1</v>
      </c>
      <c r="F32" s="659">
        <f t="shared" si="2"/>
        <v>0</v>
      </c>
      <c r="G32" s="345" t="e">
        <f t="shared" si="3"/>
        <v>#DIV/0!</v>
      </c>
      <c r="H32" s="634"/>
      <c r="I32" s="634"/>
    </row>
    <row r="33" spans="1:11" ht="14.25" thickBot="1">
      <c r="A33" s="642"/>
      <c r="B33" s="662" t="s">
        <v>2055</v>
      </c>
      <c r="C33" s="643"/>
      <c r="D33" s="662"/>
      <c r="E33" s="644"/>
      <c r="F33" s="649"/>
      <c r="G33" s="646" t="e">
        <f>SUM(G19:G32)</f>
        <v>#DIV/0!</v>
      </c>
      <c r="H33" s="634"/>
      <c r="I33" s="634"/>
    </row>
    <row r="34" spans="1:11">
      <c r="C34" s="634"/>
      <c r="H34" s="634"/>
      <c r="I34" s="634"/>
      <c r="J34" s="634"/>
    </row>
    <row r="35" spans="1:11">
      <c r="C35" s="634"/>
      <c r="H35" s="634"/>
      <c r="I35" s="634"/>
      <c r="J35" s="634"/>
    </row>
    <row r="36" spans="1:11">
      <c r="H36" s="634"/>
      <c r="I36" s="634"/>
      <c r="J36" s="634"/>
    </row>
    <row r="37" spans="1:11" ht="25.5">
      <c r="A37" s="367" t="s">
        <v>290</v>
      </c>
      <c r="B37" s="367" t="s">
        <v>291</v>
      </c>
      <c r="C37" s="367" t="s">
        <v>13</v>
      </c>
      <c r="D37" s="367" t="s">
        <v>179</v>
      </c>
      <c r="E37" s="367" t="s">
        <v>1078</v>
      </c>
      <c r="F37" s="367" t="s">
        <v>1707</v>
      </c>
      <c r="G37" s="626" t="s">
        <v>2081</v>
      </c>
      <c r="H37" s="367" t="s">
        <v>1079</v>
      </c>
      <c r="I37" s="367" t="s">
        <v>2082</v>
      </c>
      <c r="J37" s="367" t="s">
        <v>2083</v>
      </c>
      <c r="K37" s="367" t="s">
        <v>2085</v>
      </c>
    </row>
    <row r="38" spans="1:11" ht="13.5">
      <c r="A38" s="23">
        <v>102</v>
      </c>
      <c r="B38" s="249" t="s">
        <v>850</v>
      </c>
      <c r="C38" s="628" t="s">
        <v>180</v>
      </c>
      <c r="D38" s="321" t="s">
        <v>856</v>
      </c>
      <c r="E38" s="33" t="s">
        <v>175</v>
      </c>
      <c r="F38" s="629" t="s">
        <v>391</v>
      </c>
      <c r="G38" s="630" t="s">
        <v>2095</v>
      </c>
      <c r="H38" s="33" t="s">
        <v>174</v>
      </c>
      <c r="I38" s="33" t="s">
        <v>2086</v>
      </c>
      <c r="J38" s="33" t="s">
        <v>2089</v>
      </c>
      <c r="K38" s="324">
        <v>0</v>
      </c>
    </row>
    <row r="39" spans="1:11" ht="13.5">
      <c r="A39" s="23">
        <v>102</v>
      </c>
      <c r="B39" s="249" t="s">
        <v>850</v>
      </c>
      <c r="C39" s="628" t="s">
        <v>180</v>
      </c>
      <c r="D39" s="321" t="s">
        <v>856</v>
      </c>
      <c r="E39" s="33" t="s">
        <v>175</v>
      </c>
      <c r="F39" s="629" t="s">
        <v>390</v>
      </c>
      <c r="G39" s="630" t="s">
        <v>2095</v>
      </c>
      <c r="H39" s="33" t="s">
        <v>19</v>
      </c>
      <c r="I39" s="33" t="s">
        <v>2111</v>
      </c>
      <c r="J39" s="33" t="s">
        <v>2112</v>
      </c>
      <c r="K39" s="324">
        <v>18.2</v>
      </c>
    </row>
    <row r="40" spans="1:11" ht="13.5">
      <c r="A40" s="23">
        <v>102</v>
      </c>
      <c r="B40" s="249" t="s">
        <v>850</v>
      </c>
      <c r="C40" s="628" t="s">
        <v>180</v>
      </c>
      <c r="D40" s="321" t="s">
        <v>856</v>
      </c>
      <c r="E40" s="33" t="s">
        <v>175</v>
      </c>
      <c r="F40" s="629" t="s">
        <v>393</v>
      </c>
      <c r="G40" s="630" t="s">
        <v>2095</v>
      </c>
      <c r="H40" s="33" t="s">
        <v>19</v>
      </c>
      <c r="I40" s="33" t="s">
        <v>2111</v>
      </c>
      <c r="J40" s="33" t="s">
        <v>2112</v>
      </c>
      <c r="K40" s="324">
        <v>10.4</v>
      </c>
    </row>
    <row r="41" spans="1:11" ht="13.5">
      <c r="A41" s="23">
        <v>102</v>
      </c>
      <c r="B41" s="249" t="s">
        <v>850</v>
      </c>
      <c r="C41" s="628" t="s">
        <v>180</v>
      </c>
      <c r="D41" s="321" t="s">
        <v>856</v>
      </c>
      <c r="E41" s="33" t="s">
        <v>175</v>
      </c>
      <c r="F41" s="629" t="s">
        <v>392</v>
      </c>
      <c r="G41" s="630" t="s">
        <v>2095</v>
      </c>
      <c r="H41" s="33" t="s">
        <v>19</v>
      </c>
      <c r="I41" s="33" t="s">
        <v>2111</v>
      </c>
      <c r="J41" s="33" t="s">
        <v>2112</v>
      </c>
      <c r="K41" s="324">
        <v>39</v>
      </c>
    </row>
    <row r="42" spans="1:11" ht="13.5">
      <c r="A42" s="23">
        <v>102</v>
      </c>
      <c r="B42" s="249" t="s">
        <v>850</v>
      </c>
      <c r="C42" s="628" t="s">
        <v>180</v>
      </c>
      <c r="D42" s="321" t="s">
        <v>856</v>
      </c>
      <c r="E42" s="33" t="s">
        <v>175</v>
      </c>
      <c r="F42" s="629" t="s">
        <v>394</v>
      </c>
      <c r="G42" s="630" t="s">
        <v>2095</v>
      </c>
      <c r="H42" s="33" t="s">
        <v>19</v>
      </c>
      <c r="I42" s="33" t="s">
        <v>2111</v>
      </c>
      <c r="J42" s="33" t="s">
        <v>2112</v>
      </c>
      <c r="K42" s="324">
        <v>19.5</v>
      </c>
    </row>
    <row r="43" spans="1:11" ht="13.5">
      <c r="A43" s="23">
        <v>102</v>
      </c>
      <c r="B43" s="249" t="s">
        <v>850</v>
      </c>
      <c r="C43" s="628" t="s">
        <v>180</v>
      </c>
      <c r="D43" s="321" t="s">
        <v>856</v>
      </c>
      <c r="E43" s="33" t="s">
        <v>175</v>
      </c>
      <c r="F43" s="629" t="s">
        <v>395</v>
      </c>
      <c r="G43" s="630" t="s">
        <v>2095</v>
      </c>
      <c r="H43" s="33"/>
      <c r="I43" s="33" t="s">
        <v>2111</v>
      </c>
      <c r="J43" s="33" t="s">
        <v>2112</v>
      </c>
      <c r="K43" s="324">
        <v>3</v>
      </c>
    </row>
    <row r="44" spans="1:11" ht="13.5">
      <c r="A44" s="23">
        <v>102</v>
      </c>
      <c r="B44" s="249" t="s">
        <v>850</v>
      </c>
      <c r="C44" s="628" t="s">
        <v>180</v>
      </c>
      <c r="D44" s="321" t="s">
        <v>856</v>
      </c>
      <c r="E44" s="33" t="s">
        <v>175</v>
      </c>
      <c r="F44" s="629" t="s">
        <v>398</v>
      </c>
      <c r="G44" s="630" t="s">
        <v>2095</v>
      </c>
      <c r="H44" s="33"/>
      <c r="I44" s="33" t="s">
        <v>2111</v>
      </c>
      <c r="J44" s="33" t="s">
        <v>2112</v>
      </c>
      <c r="K44" s="324">
        <v>16</v>
      </c>
    </row>
    <row r="45" spans="1:11" ht="13.5">
      <c r="A45" s="23">
        <v>102</v>
      </c>
      <c r="B45" s="249" t="s">
        <v>850</v>
      </c>
      <c r="C45" s="628" t="s">
        <v>180</v>
      </c>
      <c r="D45" s="321" t="s">
        <v>856</v>
      </c>
      <c r="E45" s="33" t="s">
        <v>175</v>
      </c>
      <c r="F45" s="629" t="s">
        <v>400</v>
      </c>
      <c r="G45" s="630" t="s">
        <v>2095</v>
      </c>
      <c r="H45" s="33" t="s">
        <v>109</v>
      </c>
      <c r="I45" s="33" t="s">
        <v>2111</v>
      </c>
      <c r="J45" s="33" t="s">
        <v>2112</v>
      </c>
      <c r="K45" s="324">
        <v>9.1</v>
      </c>
    </row>
    <row r="46" spans="1:11" ht="13.5">
      <c r="A46" s="23">
        <v>102</v>
      </c>
      <c r="B46" s="249" t="s">
        <v>850</v>
      </c>
      <c r="C46" s="628" t="s">
        <v>180</v>
      </c>
      <c r="D46" s="321" t="s">
        <v>856</v>
      </c>
      <c r="E46" s="33" t="s">
        <v>175</v>
      </c>
      <c r="F46" s="629" t="s">
        <v>736</v>
      </c>
      <c r="G46" s="630" t="s">
        <v>2095</v>
      </c>
      <c r="H46" s="33" t="s">
        <v>176</v>
      </c>
      <c r="I46" s="33" t="s">
        <v>2111</v>
      </c>
      <c r="J46" s="33" t="s">
        <v>2112</v>
      </c>
      <c r="K46" s="324">
        <v>13</v>
      </c>
    </row>
    <row r="47" spans="1:11" ht="13.5">
      <c r="A47" s="23">
        <v>102</v>
      </c>
      <c r="B47" s="249" t="s">
        <v>850</v>
      </c>
      <c r="C47" s="628" t="s">
        <v>180</v>
      </c>
      <c r="D47" s="321" t="s">
        <v>856</v>
      </c>
      <c r="E47" s="33" t="s">
        <v>175</v>
      </c>
      <c r="F47" s="629" t="s">
        <v>738</v>
      </c>
      <c r="G47" s="630" t="s">
        <v>2095</v>
      </c>
      <c r="H47" s="33" t="s">
        <v>1325</v>
      </c>
      <c r="I47" s="33" t="s">
        <v>2111</v>
      </c>
      <c r="J47" s="33" t="s">
        <v>2112</v>
      </c>
      <c r="K47" s="324">
        <v>19.5</v>
      </c>
    </row>
    <row r="48" spans="1:11" ht="13.5">
      <c r="A48" s="23">
        <v>102</v>
      </c>
      <c r="B48" s="249" t="s">
        <v>850</v>
      </c>
      <c r="C48" s="628" t="s">
        <v>180</v>
      </c>
      <c r="D48" s="321" t="s">
        <v>856</v>
      </c>
      <c r="E48" s="33" t="s">
        <v>876</v>
      </c>
      <c r="F48" s="629" t="s">
        <v>739</v>
      </c>
      <c r="G48" s="630" t="s">
        <v>97</v>
      </c>
      <c r="H48" s="33" t="s">
        <v>166</v>
      </c>
      <c r="I48" s="33" t="s">
        <v>2111</v>
      </c>
      <c r="J48" s="33" t="s">
        <v>2114</v>
      </c>
      <c r="K48" s="324">
        <v>8</v>
      </c>
    </row>
    <row r="49" spans="1:11" ht="13.5">
      <c r="A49" s="23">
        <v>102</v>
      </c>
      <c r="B49" s="249" t="s">
        <v>850</v>
      </c>
      <c r="C49" s="628" t="s">
        <v>180</v>
      </c>
      <c r="D49" s="321" t="s">
        <v>856</v>
      </c>
      <c r="E49" s="33" t="s">
        <v>175</v>
      </c>
      <c r="F49" s="629" t="s">
        <v>796</v>
      </c>
      <c r="G49" s="630" t="s">
        <v>2095</v>
      </c>
      <c r="H49" s="33" t="s">
        <v>109</v>
      </c>
      <c r="I49" s="33" t="s">
        <v>2111</v>
      </c>
      <c r="J49" s="33" t="s">
        <v>2112</v>
      </c>
      <c r="K49" s="324">
        <v>20.8</v>
      </c>
    </row>
    <row r="50" spans="1:11" ht="13.5">
      <c r="A50" s="23">
        <v>102</v>
      </c>
      <c r="B50" s="249" t="s">
        <v>850</v>
      </c>
      <c r="C50" s="628" t="s">
        <v>180</v>
      </c>
      <c r="D50" s="321" t="s">
        <v>856</v>
      </c>
      <c r="E50" s="33" t="s">
        <v>175</v>
      </c>
      <c r="F50" s="629" t="s">
        <v>798</v>
      </c>
      <c r="G50" s="630" t="s">
        <v>2095</v>
      </c>
      <c r="H50" s="33" t="s">
        <v>19</v>
      </c>
      <c r="I50" s="33" t="s">
        <v>2111</v>
      </c>
      <c r="J50" s="33" t="s">
        <v>2112</v>
      </c>
      <c r="K50" s="324">
        <v>102.7</v>
      </c>
    </row>
    <row r="51" spans="1:11" ht="13.5">
      <c r="A51" s="23">
        <v>102</v>
      </c>
      <c r="B51" s="249" t="s">
        <v>850</v>
      </c>
      <c r="C51" s="628" t="s">
        <v>180</v>
      </c>
      <c r="D51" s="321" t="s">
        <v>856</v>
      </c>
      <c r="E51" s="33" t="s">
        <v>175</v>
      </c>
      <c r="F51" s="629" t="s">
        <v>877</v>
      </c>
      <c r="G51" s="630" t="s">
        <v>2095</v>
      </c>
      <c r="H51" s="33" t="s">
        <v>19</v>
      </c>
      <c r="I51" s="33" t="s">
        <v>2111</v>
      </c>
      <c r="J51" s="33" t="s">
        <v>2112</v>
      </c>
      <c r="K51" s="324">
        <v>19.5</v>
      </c>
    </row>
    <row r="52" spans="1:11" ht="13.5">
      <c r="A52" s="23">
        <v>102</v>
      </c>
      <c r="B52" s="249" t="s">
        <v>850</v>
      </c>
      <c r="C52" s="628" t="s">
        <v>180</v>
      </c>
      <c r="D52" s="321" t="s">
        <v>856</v>
      </c>
      <c r="E52" s="33" t="s">
        <v>175</v>
      </c>
      <c r="F52" s="629" t="s">
        <v>407</v>
      </c>
      <c r="G52" s="630" t="s">
        <v>2095</v>
      </c>
      <c r="H52" s="33"/>
      <c r="I52" s="33" t="s">
        <v>2086</v>
      </c>
      <c r="J52" s="33" t="s">
        <v>2089</v>
      </c>
      <c r="K52" s="324">
        <v>0</v>
      </c>
    </row>
    <row r="53" spans="1:11" ht="13.5">
      <c r="A53" s="23">
        <v>102</v>
      </c>
      <c r="B53" s="249" t="s">
        <v>850</v>
      </c>
      <c r="C53" s="628" t="s">
        <v>180</v>
      </c>
      <c r="D53" s="321" t="s">
        <v>856</v>
      </c>
      <c r="E53" s="33" t="s">
        <v>544</v>
      </c>
      <c r="F53" s="629" t="s">
        <v>409</v>
      </c>
      <c r="G53" s="630" t="s">
        <v>2086</v>
      </c>
      <c r="H53" s="33"/>
      <c r="I53" s="33" t="s">
        <v>2086</v>
      </c>
      <c r="J53" s="33" t="s">
        <v>2089</v>
      </c>
      <c r="K53" s="324">
        <v>0</v>
      </c>
    </row>
    <row r="54" spans="1:11" ht="13.5">
      <c r="A54" s="23">
        <v>102</v>
      </c>
      <c r="B54" s="249" t="s">
        <v>850</v>
      </c>
      <c r="C54" s="628" t="s">
        <v>180</v>
      </c>
      <c r="D54" s="321" t="s">
        <v>856</v>
      </c>
      <c r="E54" s="33" t="s">
        <v>175</v>
      </c>
      <c r="F54" s="629" t="s">
        <v>878</v>
      </c>
      <c r="G54" s="630" t="s">
        <v>2095</v>
      </c>
      <c r="H54" s="33" t="s">
        <v>19</v>
      </c>
      <c r="I54" s="33" t="s">
        <v>2111</v>
      </c>
      <c r="J54" s="33" t="s">
        <v>2112</v>
      </c>
      <c r="K54" s="324">
        <v>49.4</v>
      </c>
    </row>
    <row r="55" spans="1:11" ht="13.5">
      <c r="A55" s="23">
        <v>102</v>
      </c>
      <c r="B55" s="249" t="s">
        <v>850</v>
      </c>
      <c r="C55" s="628" t="s">
        <v>180</v>
      </c>
      <c r="D55" s="321" t="s">
        <v>856</v>
      </c>
      <c r="E55" s="33" t="s">
        <v>175</v>
      </c>
      <c r="F55" s="629" t="s">
        <v>879</v>
      </c>
      <c r="G55" s="630" t="s">
        <v>2095</v>
      </c>
      <c r="H55" s="33" t="s">
        <v>19</v>
      </c>
      <c r="I55" s="33" t="s">
        <v>2111</v>
      </c>
      <c r="J55" s="33" t="s">
        <v>2112</v>
      </c>
      <c r="K55" s="324">
        <v>32.5</v>
      </c>
    </row>
    <row r="56" spans="1:11" ht="13.5">
      <c r="A56" s="23">
        <v>102</v>
      </c>
      <c r="B56" s="249" t="s">
        <v>850</v>
      </c>
      <c r="C56" s="628" t="s">
        <v>180</v>
      </c>
      <c r="D56" s="321" t="s">
        <v>856</v>
      </c>
      <c r="E56" s="33" t="s">
        <v>175</v>
      </c>
      <c r="F56" s="629" t="s">
        <v>880</v>
      </c>
      <c r="G56" s="630" t="s">
        <v>2095</v>
      </c>
      <c r="H56" s="33" t="s">
        <v>19</v>
      </c>
      <c r="I56" s="33" t="s">
        <v>2111</v>
      </c>
      <c r="J56" s="33" t="s">
        <v>2112</v>
      </c>
      <c r="K56" s="324">
        <v>3.9000000000000004</v>
      </c>
    </row>
    <row r="57" spans="1:11" ht="13.5">
      <c r="A57" s="23">
        <v>102</v>
      </c>
      <c r="B57" s="249" t="s">
        <v>850</v>
      </c>
      <c r="C57" s="628" t="s">
        <v>180</v>
      </c>
      <c r="D57" s="321" t="s">
        <v>856</v>
      </c>
      <c r="E57" s="33" t="s">
        <v>778</v>
      </c>
      <c r="F57" s="629" t="s">
        <v>881</v>
      </c>
      <c r="G57" s="630" t="s">
        <v>97</v>
      </c>
      <c r="H57" s="33" t="s">
        <v>166</v>
      </c>
      <c r="I57" s="33" t="s">
        <v>2111</v>
      </c>
      <c r="J57" s="33" t="s">
        <v>2114</v>
      </c>
      <c r="K57" s="324">
        <v>3.9000000000000004</v>
      </c>
    </row>
    <row r="58" spans="1:11" ht="13.5">
      <c r="A58" s="23">
        <v>102</v>
      </c>
      <c r="B58" s="249" t="s">
        <v>850</v>
      </c>
      <c r="C58" s="628" t="s">
        <v>180</v>
      </c>
      <c r="D58" s="321" t="s">
        <v>328</v>
      </c>
      <c r="E58" s="33" t="s">
        <v>894</v>
      </c>
      <c r="F58" s="629" t="s">
        <v>895</v>
      </c>
      <c r="G58" s="630" t="s">
        <v>2086</v>
      </c>
      <c r="H58" s="33" t="s">
        <v>166</v>
      </c>
      <c r="I58" s="33" t="s">
        <v>2086</v>
      </c>
      <c r="J58" s="33" t="s">
        <v>2089</v>
      </c>
      <c r="K58" s="324">
        <v>0</v>
      </c>
    </row>
    <row r="59" spans="1:11" ht="13.5">
      <c r="A59" s="23">
        <v>102</v>
      </c>
      <c r="B59" s="249" t="s">
        <v>850</v>
      </c>
      <c r="C59" s="628" t="s">
        <v>180</v>
      </c>
      <c r="D59" s="321" t="s">
        <v>328</v>
      </c>
      <c r="E59" s="33" t="s">
        <v>175</v>
      </c>
      <c r="F59" s="629" t="s">
        <v>896</v>
      </c>
      <c r="G59" s="630" t="s">
        <v>2095</v>
      </c>
      <c r="H59" s="33" t="s">
        <v>44</v>
      </c>
      <c r="I59" s="33" t="s">
        <v>2111</v>
      </c>
      <c r="J59" s="33" t="s">
        <v>2112</v>
      </c>
      <c r="K59" s="324">
        <v>33.800000000000004</v>
      </c>
    </row>
    <row r="60" spans="1:11" ht="13.5">
      <c r="A60" s="23">
        <v>102</v>
      </c>
      <c r="B60" s="249" t="s">
        <v>850</v>
      </c>
      <c r="C60" s="628" t="s">
        <v>180</v>
      </c>
      <c r="D60" s="321" t="s">
        <v>328</v>
      </c>
      <c r="E60" s="33" t="s">
        <v>778</v>
      </c>
      <c r="F60" s="629" t="s">
        <v>561</v>
      </c>
      <c r="G60" s="630" t="s">
        <v>2086</v>
      </c>
      <c r="H60" s="33" t="s">
        <v>166</v>
      </c>
      <c r="I60" s="33" t="s">
        <v>2086</v>
      </c>
      <c r="J60" s="33" t="s">
        <v>2089</v>
      </c>
      <c r="K60" s="324">
        <v>0</v>
      </c>
    </row>
    <row r="61" spans="1:11" ht="13.5">
      <c r="A61" s="23">
        <v>102</v>
      </c>
      <c r="B61" s="249" t="s">
        <v>850</v>
      </c>
      <c r="C61" s="628" t="s">
        <v>180</v>
      </c>
      <c r="D61" s="321" t="s">
        <v>328</v>
      </c>
      <c r="E61" s="33" t="s">
        <v>175</v>
      </c>
      <c r="F61" s="629" t="s">
        <v>897</v>
      </c>
      <c r="G61" s="630" t="s">
        <v>2095</v>
      </c>
      <c r="H61" s="33"/>
      <c r="I61" s="33" t="s">
        <v>2086</v>
      </c>
      <c r="J61" s="33" t="s">
        <v>2089</v>
      </c>
      <c r="K61" s="324">
        <v>0</v>
      </c>
    </row>
    <row r="62" spans="1:11" ht="13.5">
      <c r="A62" s="23">
        <v>102</v>
      </c>
      <c r="B62" s="249" t="s">
        <v>850</v>
      </c>
      <c r="C62" s="628" t="s">
        <v>180</v>
      </c>
      <c r="D62" s="321" t="s">
        <v>54</v>
      </c>
      <c r="E62" s="33" t="s">
        <v>876</v>
      </c>
      <c r="F62" s="629" t="s">
        <v>625</v>
      </c>
      <c r="G62" s="630" t="s">
        <v>2086</v>
      </c>
      <c r="H62" s="33"/>
      <c r="I62" s="33" t="s">
        <v>2086</v>
      </c>
      <c r="J62" s="33" t="s">
        <v>2089</v>
      </c>
      <c r="K62" s="324">
        <v>0</v>
      </c>
    </row>
    <row r="63" spans="1:11" ht="13.5">
      <c r="A63" s="23">
        <v>102</v>
      </c>
      <c r="B63" s="249" t="s">
        <v>850</v>
      </c>
      <c r="C63" s="628" t="s">
        <v>180</v>
      </c>
      <c r="D63" s="321" t="s">
        <v>54</v>
      </c>
      <c r="E63" s="33" t="s">
        <v>175</v>
      </c>
      <c r="F63" s="629" t="s">
        <v>629</v>
      </c>
      <c r="G63" s="630" t="s">
        <v>2095</v>
      </c>
      <c r="H63" s="33" t="s">
        <v>44</v>
      </c>
      <c r="I63" s="33" t="s">
        <v>2111</v>
      </c>
      <c r="J63" s="33" t="s">
        <v>2112</v>
      </c>
      <c r="K63" s="324">
        <v>93.600000000000009</v>
      </c>
    </row>
    <row r="64" spans="1:11" ht="13.5">
      <c r="A64" s="23">
        <v>102</v>
      </c>
      <c r="B64" s="249" t="s">
        <v>850</v>
      </c>
      <c r="C64" s="628" t="s">
        <v>180</v>
      </c>
      <c r="D64" s="321" t="s">
        <v>54</v>
      </c>
      <c r="E64" s="33" t="s">
        <v>175</v>
      </c>
      <c r="F64" s="629" t="s">
        <v>630</v>
      </c>
      <c r="G64" s="630" t="s">
        <v>2095</v>
      </c>
      <c r="H64" s="33"/>
      <c r="I64" s="33" t="s">
        <v>2086</v>
      </c>
      <c r="J64" s="33" t="s">
        <v>2089</v>
      </c>
      <c r="K64" s="324">
        <v>0</v>
      </c>
    </row>
    <row r="65" spans="1:11" ht="13.5">
      <c r="A65" s="23">
        <v>102</v>
      </c>
      <c r="B65" s="249" t="s">
        <v>850</v>
      </c>
      <c r="C65" s="628" t="s">
        <v>180</v>
      </c>
      <c r="D65" s="321" t="s">
        <v>54</v>
      </c>
      <c r="E65" s="33" t="s">
        <v>175</v>
      </c>
      <c r="F65" s="629" t="s">
        <v>906</v>
      </c>
      <c r="G65" s="630" t="s">
        <v>2095</v>
      </c>
      <c r="H65" s="33" t="s">
        <v>19</v>
      </c>
      <c r="I65" s="33" t="s">
        <v>2111</v>
      </c>
      <c r="J65" s="33" t="s">
        <v>2112</v>
      </c>
      <c r="K65" s="324">
        <v>1.3</v>
      </c>
    </row>
    <row r="66" spans="1:11" ht="13.5">
      <c r="A66" s="23">
        <v>102</v>
      </c>
      <c r="B66" s="249" t="s">
        <v>850</v>
      </c>
      <c r="C66" s="628" t="s">
        <v>180</v>
      </c>
      <c r="D66" s="321" t="s">
        <v>54</v>
      </c>
      <c r="E66" s="33" t="s">
        <v>547</v>
      </c>
      <c r="F66" s="629" t="s">
        <v>632</v>
      </c>
      <c r="G66" s="630" t="s">
        <v>97</v>
      </c>
      <c r="H66" s="33" t="s">
        <v>19</v>
      </c>
      <c r="I66" s="33" t="s">
        <v>2111</v>
      </c>
      <c r="J66" s="33" t="s">
        <v>2114</v>
      </c>
      <c r="K66" s="324">
        <v>6.5</v>
      </c>
    </row>
    <row r="67" spans="1:11" ht="13.5">
      <c r="A67" s="23">
        <v>102</v>
      </c>
      <c r="B67" s="249" t="s">
        <v>850</v>
      </c>
      <c r="C67" s="628" t="s">
        <v>180</v>
      </c>
      <c r="D67" s="321" t="s">
        <v>54</v>
      </c>
      <c r="E67" s="33" t="s">
        <v>175</v>
      </c>
      <c r="F67" s="629" t="s">
        <v>802</v>
      </c>
      <c r="G67" s="630" t="s">
        <v>2095</v>
      </c>
      <c r="H67" s="33" t="s">
        <v>19</v>
      </c>
      <c r="I67" s="33" t="s">
        <v>2111</v>
      </c>
      <c r="J67" s="33" t="s">
        <v>2112</v>
      </c>
      <c r="K67" s="324">
        <v>9.1</v>
      </c>
    </row>
    <row r="68" spans="1:11" ht="13.5">
      <c r="A68" s="23">
        <v>102</v>
      </c>
      <c r="B68" s="249" t="s">
        <v>850</v>
      </c>
      <c r="C68" s="628" t="s">
        <v>180</v>
      </c>
      <c r="D68" s="321" t="s">
        <v>54</v>
      </c>
      <c r="E68" s="33" t="s">
        <v>894</v>
      </c>
      <c r="F68" s="629" t="s">
        <v>803</v>
      </c>
      <c r="G68" s="630" t="s">
        <v>97</v>
      </c>
      <c r="H68" s="33" t="s">
        <v>166</v>
      </c>
      <c r="I68" s="33" t="s">
        <v>2111</v>
      </c>
      <c r="J68" s="33" t="s">
        <v>2114</v>
      </c>
      <c r="K68" s="324">
        <v>7.8000000000000007</v>
      </c>
    </row>
    <row r="69" spans="1:11" ht="13.5">
      <c r="A69" s="23">
        <v>102</v>
      </c>
      <c r="B69" s="249" t="s">
        <v>850</v>
      </c>
      <c r="C69" s="628" t="s">
        <v>180</v>
      </c>
      <c r="D69" s="321" t="s">
        <v>54</v>
      </c>
      <c r="E69" s="33" t="s">
        <v>175</v>
      </c>
      <c r="F69" s="629" t="s">
        <v>636</v>
      </c>
      <c r="G69" s="630" t="s">
        <v>2095</v>
      </c>
      <c r="H69" s="33" t="s">
        <v>19</v>
      </c>
      <c r="I69" s="33" t="s">
        <v>2111</v>
      </c>
      <c r="J69" s="33" t="s">
        <v>2112</v>
      </c>
      <c r="K69" s="324">
        <v>76.7</v>
      </c>
    </row>
    <row r="70" spans="1:11" ht="13.5">
      <c r="A70" s="23">
        <v>102</v>
      </c>
      <c r="B70" s="249" t="s">
        <v>850</v>
      </c>
      <c r="C70" s="628" t="s">
        <v>180</v>
      </c>
      <c r="D70" s="321" t="s">
        <v>54</v>
      </c>
      <c r="E70" s="33" t="s">
        <v>175</v>
      </c>
      <c r="F70" s="629" t="s">
        <v>907</v>
      </c>
      <c r="G70" s="630" t="s">
        <v>2095</v>
      </c>
      <c r="H70" s="33" t="s">
        <v>19</v>
      </c>
      <c r="I70" s="33" t="s">
        <v>2111</v>
      </c>
      <c r="J70" s="33" t="s">
        <v>2112</v>
      </c>
      <c r="K70" s="324">
        <v>11.700000000000001</v>
      </c>
    </row>
    <row r="71" spans="1:11" ht="13.5">
      <c r="A71" s="23">
        <v>102</v>
      </c>
      <c r="B71" s="249" t="s">
        <v>850</v>
      </c>
      <c r="C71" s="628" t="s">
        <v>180</v>
      </c>
      <c r="D71" s="321" t="s">
        <v>54</v>
      </c>
      <c r="E71" s="33" t="s">
        <v>175</v>
      </c>
      <c r="F71" s="629" t="s">
        <v>908</v>
      </c>
      <c r="G71" s="630" t="s">
        <v>2095</v>
      </c>
      <c r="H71" s="33" t="s">
        <v>19</v>
      </c>
      <c r="I71" s="33" t="s">
        <v>2111</v>
      </c>
      <c r="J71" s="33" t="s">
        <v>2112</v>
      </c>
      <c r="K71" s="324">
        <v>1.3</v>
      </c>
    </row>
    <row r="72" spans="1:11" ht="13.5">
      <c r="A72" s="23">
        <v>102</v>
      </c>
      <c r="B72" s="249" t="s">
        <v>850</v>
      </c>
      <c r="C72" s="628" t="s">
        <v>180</v>
      </c>
      <c r="D72" s="321" t="s">
        <v>54</v>
      </c>
      <c r="E72" s="33" t="s">
        <v>547</v>
      </c>
      <c r="F72" s="629" t="s">
        <v>909</v>
      </c>
      <c r="G72" s="630" t="s">
        <v>97</v>
      </c>
      <c r="H72" s="33" t="s">
        <v>19</v>
      </c>
      <c r="I72" s="33" t="s">
        <v>2111</v>
      </c>
      <c r="J72" s="33" t="s">
        <v>2114</v>
      </c>
      <c r="K72" s="324">
        <v>3.9000000000000004</v>
      </c>
    </row>
    <row r="73" spans="1:11" ht="13.5">
      <c r="A73" s="23">
        <v>102</v>
      </c>
      <c r="B73" s="249" t="s">
        <v>850</v>
      </c>
      <c r="C73" s="628" t="s">
        <v>180</v>
      </c>
      <c r="D73" s="321" t="s">
        <v>622</v>
      </c>
      <c r="E73" s="33" t="s">
        <v>547</v>
      </c>
      <c r="F73" s="629" t="s">
        <v>830</v>
      </c>
      <c r="G73" s="630" t="s">
        <v>2086</v>
      </c>
      <c r="H73" s="33"/>
      <c r="I73" s="33" t="s">
        <v>2086</v>
      </c>
      <c r="J73" s="33" t="s">
        <v>2089</v>
      </c>
      <c r="K73" s="324">
        <v>0</v>
      </c>
    </row>
    <row r="74" spans="1:11" ht="13.5">
      <c r="A74" s="23">
        <v>102</v>
      </c>
      <c r="B74" s="249" t="s">
        <v>850</v>
      </c>
      <c r="C74" s="628" t="s">
        <v>180</v>
      </c>
      <c r="D74" s="321" t="s">
        <v>622</v>
      </c>
      <c r="E74" s="33" t="s">
        <v>175</v>
      </c>
      <c r="F74" s="629" t="s">
        <v>928</v>
      </c>
      <c r="G74" s="630" t="s">
        <v>2095</v>
      </c>
      <c r="H74" s="33" t="s">
        <v>19</v>
      </c>
      <c r="I74" s="33" t="s">
        <v>2111</v>
      </c>
      <c r="J74" s="33" t="s">
        <v>2112</v>
      </c>
      <c r="K74" s="324">
        <v>1.3</v>
      </c>
    </row>
    <row r="75" spans="1:11" ht="13.5">
      <c r="A75" s="23">
        <v>102</v>
      </c>
      <c r="B75" s="249" t="s">
        <v>850</v>
      </c>
      <c r="C75" s="628" t="s">
        <v>180</v>
      </c>
      <c r="D75" s="321" t="s">
        <v>622</v>
      </c>
      <c r="E75" s="33" t="s">
        <v>547</v>
      </c>
      <c r="F75" s="629" t="s">
        <v>933</v>
      </c>
      <c r="G75" s="630" t="s">
        <v>2086</v>
      </c>
      <c r="H75" s="33" t="s">
        <v>19</v>
      </c>
      <c r="I75" s="33" t="s">
        <v>2086</v>
      </c>
      <c r="J75" s="33" t="s">
        <v>2089</v>
      </c>
      <c r="K75" s="324">
        <v>0</v>
      </c>
    </row>
    <row r="76" spans="1:11" ht="13.5">
      <c r="A76" s="23">
        <v>102</v>
      </c>
      <c r="B76" s="249" t="s">
        <v>850</v>
      </c>
      <c r="C76" s="628" t="s">
        <v>180</v>
      </c>
      <c r="D76" s="321" t="s">
        <v>622</v>
      </c>
      <c r="E76" s="33" t="s">
        <v>175</v>
      </c>
      <c r="F76" s="629" t="s">
        <v>934</v>
      </c>
      <c r="G76" s="630" t="s">
        <v>2095</v>
      </c>
      <c r="H76" s="33" t="s">
        <v>19</v>
      </c>
      <c r="I76" s="33" t="s">
        <v>2111</v>
      </c>
      <c r="J76" s="33" t="s">
        <v>2112</v>
      </c>
      <c r="K76" s="324">
        <v>2.6</v>
      </c>
    </row>
    <row r="77" spans="1:11" ht="13.5">
      <c r="A77" s="23">
        <v>103</v>
      </c>
      <c r="B77" s="249" t="s">
        <v>718</v>
      </c>
      <c r="C77" s="628" t="s">
        <v>180</v>
      </c>
      <c r="D77" s="321" t="s">
        <v>358</v>
      </c>
      <c r="E77" s="33" t="s">
        <v>175</v>
      </c>
      <c r="F77" s="629" t="s">
        <v>391</v>
      </c>
      <c r="G77" s="630" t="s">
        <v>2095</v>
      </c>
      <c r="H77" s="33" t="s">
        <v>109</v>
      </c>
      <c r="I77" s="33" t="s">
        <v>2111</v>
      </c>
      <c r="J77" s="33" t="s">
        <v>2112</v>
      </c>
      <c r="K77" s="324">
        <v>10.452</v>
      </c>
    </row>
    <row r="78" spans="1:11" ht="13.5">
      <c r="A78" s="23">
        <v>103</v>
      </c>
      <c r="B78" s="249" t="s">
        <v>718</v>
      </c>
      <c r="C78" s="628" t="s">
        <v>180</v>
      </c>
      <c r="D78" s="321" t="s">
        <v>358</v>
      </c>
      <c r="E78" s="33" t="s">
        <v>175</v>
      </c>
      <c r="F78" s="629" t="s">
        <v>390</v>
      </c>
      <c r="G78" s="630" t="s">
        <v>2095</v>
      </c>
      <c r="H78" s="33" t="s">
        <v>19</v>
      </c>
      <c r="I78" s="33" t="s">
        <v>2111</v>
      </c>
      <c r="J78" s="33" t="s">
        <v>2112</v>
      </c>
      <c r="K78" s="324">
        <v>11.959999999999999</v>
      </c>
    </row>
    <row r="79" spans="1:11" ht="13.5">
      <c r="A79" s="23">
        <v>103</v>
      </c>
      <c r="B79" s="249" t="s">
        <v>718</v>
      </c>
      <c r="C79" s="628" t="s">
        <v>180</v>
      </c>
      <c r="D79" s="321" t="s">
        <v>358</v>
      </c>
      <c r="E79" s="33" t="s">
        <v>544</v>
      </c>
      <c r="F79" s="629" t="s">
        <v>393</v>
      </c>
      <c r="G79" s="630" t="s">
        <v>97</v>
      </c>
      <c r="H79" s="33" t="s">
        <v>166</v>
      </c>
      <c r="I79" s="33" t="s">
        <v>2111</v>
      </c>
      <c r="J79" s="33" t="s">
        <v>2114</v>
      </c>
      <c r="K79" s="324">
        <v>2.8600000000000003</v>
      </c>
    </row>
    <row r="80" spans="1:11" ht="13.5">
      <c r="A80" s="23">
        <v>103</v>
      </c>
      <c r="B80" s="249" t="s">
        <v>718</v>
      </c>
      <c r="C80" s="628" t="s">
        <v>180</v>
      </c>
      <c r="D80" s="321" t="s">
        <v>358</v>
      </c>
      <c r="E80" s="33" t="s">
        <v>175</v>
      </c>
      <c r="F80" s="629" t="s">
        <v>392</v>
      </c>
      <c r="G80" s="630" t="s">
        <v>2095</v>
      </c>
      <c r="H80" s="33" t="s">
        <v>166</v>
      </c>
      <c r="I80" s="33" t="s">
        <v>2111</v>
      </c>
      <c r="J80" s="33" t="s">
        <v>2112</v>
      </c>
      <c r="K80" s="324">
        <v>1.3</v>
      </c>
    </row>
    <row r="81" spans="1:11" ht="13.5">
      <c r="A81" s="23">
        <v>103</v>
      </c>
      <c r="B81" s="249" t="s">
        <v>718</v>
      </c>
      <c r="C81" s="628" t="s">
        <v>180</v>
      </c>
      <c r="D81" s="321" t="s">
        <v>358</v>
      </c>
      <c r="E81" s="33" t="s">
        <v>175</v>
      </c>
      <c r="F81" s="629" t="s">
        <v>394</v>
      </c>
      <c r="G81" s="630" t="s">
        <v>2095</v>
      </c>
      <c r="H81" s="33"/>
      <c r="I81" s="33" t="s">
        <v>2086</v>
      </c>
      <c r="J81" s="33" t="s">
        <v>2089</v>
      </c>
      <c r="K81" s="324">
        <v>0</v>
      </c>
    </row>
    <row r="82" spans="1:11" ht="13.5">
      <c r="A82" s="23">
        <v>103</v>
      </c>
      <c r="B82" s="249" t="s">
        <v>718</v>
      </c>
      <c r="C82" s="628" t="s">
        <v>180</v>
      </c>
      <c r="D82" s="321" t="s">
        <v>358</v>
      </c>
      <c r="E82" s="33" t="s">
        <v>175</v>
      </c>
      <c r="F82" s="629" t="s">
        <v>395</v>
      </c>
      <c r="G82" s="630" t="s">
        <v>2095</v>
      </c>
      <c r="H82" s="33" t="s">
        <v>44</v>
      </c>
      <c r="I82" s="33" t="s">
        <v>2111</v>
      </c>
      <c r="J82" s="33" t="s">
        <v>2112</v>
      </c>
      <c r="K82" s="324">
        <v>25.844000000000001</v>
      </c>
    </row>
    <row r="83" spans="1:11" ht="13.5">
      <c r="A83" s="23">
        <v>103</v>
      </c>
      <c r="B83" s="249" t="s">
        <v>718</v>
      </c>
      <c r="C83" s="628" t="s">
        <v>180</v>
      </c>
      <c r="D83" s="321" t="s">
        <v>358</v>
      </c>
      <c r="E83" s="33" t="s">
        <v>544</v>
      </c>
      <c r="F83" s="629" t="s">
        <v>398</v>
      </c>
      <c r="G83" s="630" t="s">
        <v>97</v>
      </c>
      <c r="H83" s="33" t="s">
        <v>166</v>
      </c>
      <c r="I83" s="33" t="s">
        <v>2111</v>
      </c>
      <c r="J83" s="33" t="s">
        <v>2114</v>
      </c>
      <c r="K83" s="324">
        <v>7.8000000000000007</v>
      </c>
    </row>
    <row r="84" spans="1:11" ht="13.5">
      <c r="A84" s="23">
        <v>103</v>
      </c>
      <c r="B84" s="249" t="s">
        <v>718</v>
      </c>
      <c r="C84" s="628" t="s">
        <v>180</v>
      </c>
      <c r="D84" s="321" t="s">
        <v>358</v>
      </c>
      <c r="E84" s="33" t="s">
        <v>175</v>
      </c>
      <c r="F84" s="629" t="s">
        <v>736</v>
      </c>
      <c r="G84" s="630" t="s">
        <v>2095</v>
      </c>
      <c r="H84" s="33" t="s">
        <v>44</v>
      </c>
      <c r="I84" s="33" t="s">
        <v>2111</v>
      </c>
      <c r="J84" s="33" t="s">
        <v>2112</v>
      </c>
      <c r="K84" s="324">
        <v>3.9000000000000004</v>
      </c>
    </row>
    <row r="85" spans="1:11" ht="13.5">
      <c r="A85" s="23">
        <v>103</v>
      </c>
      <c r="B85" s="249" t="s">
        <v>718</v>
      </c>
      <c r="C85" s="628" t="s">
        <v>180</v>
      </c>
      <c r="D85" s="321" t="s">
        <v>358</v>
      </c>
      <c r="E85" s="33" t="s">
        <v>737</v>
      </c>
      <c r="F85" s="629" t="s">
        <v>738</v>
      </c>
      <c r="G85" s="630" t="s">
        <v>97</v>
      </c>
      <c r="H85" s="33" t="s">
        <v>166</v>
      </c>
      <c r="I85" s="33" t="s">
        <v>2111</v>
      </c>
      <c r="J85" s="33" t="s">
        <v>2114</v>
      </c>
      <c r="K85" s="324">
        <v>4.55</v>
      </c>
    </row>
    <row r="86" spans="1:11" ht="13.5">
      <c r="A86" s="23">
        <v>103</v>
      </c>
      <c r="B86" s="249" t="s">
        <v>718</v>
      </c>
      <c r="C86" s="628" t="s">
        <v>180</v>
      </c>
      <c r="D86" s="321" t="s">
        <v>358</v>
      </c>
      <c r="E86" s="33" t="s">
        <v>737</v>
      </c>
      <c r="F86" s="629" t="s">
        <v>739</v>
      </c>
      <c r="G86" s="630" t="s">
        <v>97</v>
      </c>
      <c r="H86" s="33" t="s">
        <v>166</v>
      </c>
      <c r="I86" s="33" t="s">
        <v>2111</v>
      </c>
      <c r="J86" s="33" t="s">
        <v>2114</v>
      </c>
      <c r="K86" s="324">
        <v>6.5</v>
      </c>
    </row>
    <row r="87" spans="1:11" ht="13.5">
      <c r="A87" s="23">
        <v>103</v>
      </c>
      <c r="B87" s="249" t="s">
        <v>718</v>
      </c>
      <c r="C87" s="628" t="s">
        <v>180</v>
      </c>
      <c r="D87" s="321" t="s">
        <v>358</v>
      </c>
      <c r="E87" s="33" t="s">
        <v>175</v>
      </c>
      <c r="F87" s="629" t="s">
        <v>740</v>
      </c>
      <c r="G87" s="630" t="s">
        <v>2095</v>
      </c>
      <c r="H87" s="33" t="s">
        <v>109</v>
      </c>
      <c r="I87" s="33" t="s">
        <v>2111</v>
      </c>
      <c r="J87" s="33" t="s">
        <v>2112</v>
      </c>
      <c r="K87" s="324">
        <v>7.8715000000000002</v>
      </c>
    </row>
    <row r="88" spans="1:11" ht="13.5">
      <c r="A88" s="23">
        <v>103</v>
      </c>
      <c r="B88" s="249" t="s">
        <v>718</v>
      </c>
      <c r="C88" s="628" t="s">
        <v>180</v>
      </c>
      <c r="D88" s="321" t="s">
        <v>358</v>
      </c>
      <c r="E88" s="33" t="s">
        <v>737</v>
      </c>
      <c r="F88" s="629" t="s">
        <v>397</v>
      </c>
      <c r="G88" s="630" t="s">
        <v>97</v>
      </c>
      <c r="H88" s="33" t="s">
        <v>166</v>
      </c>
      <c r="I88" s="33" t="s">
        <v>2111</v>
      </c>
      <c r="J88" s="33" t="s">
        <v>2114</v>
      </c>
      <c r="K88" s="324">
        <v>8.254999999999999</v>
      </c>
    </row>
    <row r="89" spans="1:11" ht="13.5">
      <c r="A89" s="23">
        <v>103</v>
      </c>
      <c r="B89" s="249" t="s">
        <v>718</v>
      </c>
      <c r="C89" s="628" t="s">
        <v>180</v>
      </c>
      <c r="D89" s="321" t="s">
        <v>358</v>
      </c>
      <c r="E89" s="33" t="s">
        <v>175</v>
      </c>
      <c r="F89" s="629" t="s">
        <v>769</v>
      </c>
      <c r="G89" s="630" t="s">
        <v>2095</v>
      </c>
      <c r="H89" s="33" t="s">
        <v>12</v>
      </c>
      <c r="I89" s="33" t="s">
        <v>2111</v>
      </c>
      <c r="J89" s="33" t="s">
        <v>2112</v>
      </c>
      <c r="K89" s="324">
        <v>23</v>
      </c>
    </row>
    <row r="90" spans="1:11" ht="13.5">
      <c r="A90" s="23">
        <v>103</v>
      </c>
      <c r="B90" s="249" t="s">
        <v>718</v>
      </c>
      <c r="C90" s="628" t="s">
        <v>180</v>
      </c>
      <c r="D90" s="321" t="s">
        <v>328</v>
      </c>
      <c r="E90" s="33" t="s">
        <v>778</v>
      </c>
      <c r="F90" s="629" t="s">
        <v>543</v>
      </c>
      <c r="G90" s="630" t="s">
        <v>97</v>
      </c>
      <c r="H90" s="33" t="s">
        <v>166</v>
      </c>
      <c r="I90" s="33" t="s">
        <v>2111</v>
      </c>
      <c r="J90" s="33" t="s">
        <v>2114</v>
      </c>
      <c r="K90" s="324">
        <v>3.9000000000000004</v>
      </c>
    </row>
    <row r="91" spans="1:11" ht="13.5">
      <c r="A91" s="23">
        <v>103</v>
      </c>
      <c r="B91" s="249" t="s">
        <v>718</v>
      </c>
      <c r="C91" s="628" t="s">
        <v>180</v>
      </c>
      <c r="D91" s="321" t="s">
        <v>328</v>
      </c>
      <c r="E91" s="33" t="s">
        <v>175</v>
      </c>
      <c r="F91" s="629" t="s">
        <v>545</v>
      </c>
      <c r="G91" s="630" t="s">
        <v>2095</v>
      </c>
      <c r="H91" s="33" t="s">
        <v>44</v>
      </c>
      <c r="I91" s="33" t="s">
        <v>2111</v>
      </c>
      <c r="J91" s="33" t="s">
        <v>2112</v>
      </c>
      <c r="K91" s="324">
        <v>26</v>
      </c>
    </row>
    <row r="92" spans="1:11" ht="13.5">
      <c r="A92" s="23">
        <v>103</v>
      </c>
      <c r="B92" s="249" t="s">
        <v>718</v>
      </c>
      <c r="C92" s="628" t="s">
        <v>180</v>
      </c>
      <c r="D92" s="321" t="s">
        <v>328</v>
      </c>
      <c r="E92" s="33" t="s">
        <v>778</v>
      </c>
      <c r="F92" s="629" t="s">
        <v>542</v>
      </c>
      <c r="G92" s="630" t="s">
        <v>97</v>
      </c>
      <c r="H92" s="33" t="s">
        <v>166</v>
      </c>
      <c r="I92" s="33" t="s">
        <v>2111</v>
      </c>
      <c r="J92" s="33" t="s">
        <v>2114</v>
      </c>
      <c r="K92" s="324">
        <v>6.5</v>
      </c>
    </row>
    <row r="93" spans="1:11" ht="13.5">
      <c r="A93" s="23">
        <v>103</v>
      </c>
      <c r="B93" s="249" t="s">
        <v>718</v>
      </c>
      <c r="C93" s="628" t="s">
        <v>180</v>
      </c>
      <c r="D93" s="321" t="s">
        <v>328</v>
      </c>
      <c r="E93" s="33" t="s">
        <v>175</v>
      </c>
      <c r="F93" s="629" t="s">
        <v>550</v>
      </c>
      <c r="G93" s="630" t="s">
        <v>2095</v>
      </c>
      <c r="H93" s="33" t="s">
        <v>44</v>
      </c>
      <c r="I93" s="33" t="s">
        <v>2111</v>
      </c>
      <c r="J93" s="33" t="s">
        <v>2112</v>
      </c>
      <c r="K93" s="324">
        <v>126.10000000000001</v>
      </c>
    </row>
    <row r="94" spans="1:11" ht="13.5">
      <c r="A94" s="23">
        <v>103</v>
      </c>
      <c r="B94" s="249" t="s">
        <v>718</v>
      </c>
      <c r="C94" s="628" t="s">
        <v>180</v>
      </c>
      <c r="D94" s="321" t="s">
        <v>328</v>
      </c>
      <c r="E94" s="33" t="s">
        <v>778</v>
      </c>
      <c r="F94" s="629" t="s">
        <v>554</v>
      </c>
      <c r="G94" s="630" t="s">
        <v>97</v>
      </c>
      <c r="H94" s="33" t="s">
        <v>166</v>
      </c>
      <c r="I94" s="33" t="s">
        <v>2111</v>
      </c>
      <c r="J94" s="33" t="s">
        <v>2114</v>
      </c>
      <c r="K94" s="324">
        <v>7.8000000000000007</v>
      </c>
    </row>
    <row r="95" spans="1:11" ht="13.5">
      <c r="A95" s="23">
        <v>103</v>
      </c>
      <c r="B95" s="249" t="s">
        <v>718</v>
      </c>
      <c r="C95" s="628" t="s">
        <v>180</v>
      </c>
      <c r="D95" s="321" t="s">
        <v>328</v>
      </c>
      <c r="E95" s="33" t="s">
        <v>175</v>
      </c>
      <c r="F95" s="629" t="s">
        <v>779</v>
      </c>
      <c r="G95" s="630" t="s">
        <v>2095</v>
      </c>
      <c r="H95" s="33" t="s">
        <v>44</v>
      </c>
      <c r="I95" s="33" t="s">
        <v>2111</v>
      </c>
      <c r="J95" s="33" t="s">
        <v>2112</v>
      </c>
      <c r="K95" s="324">
        <v>38.583999999999996</v>
      </c>
    </row>
    <row r="96" spans="1:11" ht="13.5">
      <c r="A96" s="23">
        <v>103</v>
      </c>
      <c r="B96" s="249" t="s">
        <v>718</v>
      </c>
      <c r="C96" s="628" t="s">
        <v>180</v>
      </c>
      <c r="D96" s="321" t="s">
        <v>54</v>
      </c>
      <c r="E96" s="33" t="s">
        <v>175</v>
      </c>
      <c r="F96" s="629" t="s">
        <v>797</v>
      </c>
      <c r="G96" s="630" t="s">
        <v>2095</v>
      </c>
      <c r="H96" s="33" t="s">
        <v>44</v>
      </c>
      <c r="I96" s="33" t="s">
        <v>2111</v>
      </c>
      <c r="J96" s="33" t="s">
        <v>2112</v>
      </c>
      <c r="K96" s="324">
        <v>64.48</v>
      </c>
    </row>
    <row r="97" spans="1:11" ht="13.5">
      <c r="A97" s="23">
        <v>103</v>
      </c>
      <c r="B97" s="249" t="s">
        <v>718</v>
      </c>
      <c r="C97" s="628" t="s">
        <v>180</v>
      </c>
      <c r="D97" s="321" t="s">
        <v>54</v>
      </c>
      <c r="E97" s="33" t="s">
        <v>175</v>
      </c>
      <c r="F97" s="629" t="s">
        <v>799</v>
      </c>
      <c r="G97" s="630" t="s">
        <v>2095</v>
      </c>
      <c r="H97" s="33" t="s">
        <v>44</v>
      </c>
      <c r="I97" s="33" t="s">
        <v>2111</v>
      </c>
      <c r="J97" s="33" t="s">
        <v>2112</v>
      </c>
      <c r="K97" s="324">
        <v>6.1879999999999997</v>
      </c>
    </row>
    <row r="98" spans="1:11" ht="13.5">
      <c r="A98" s="23">
        <v>103</v>
      </c>
      <c r="B98" s="249" t="s">
        <v>718</v>
      </c>
      <c r="C98" s="628" t="s">
        <v>180</v>
      </c>
      <c r="D98" s="321" t="s">
        <v>54</v>
      </c>
      <c r="E98" s="33" t="s">
        <v>547</v>
      </c>
      <c r="F98" s="629" t="s">
        <v>629</v>
      </c>
      <c r="G98" s="630" t="s">
        <v>97</v>
      </c>
      <c r="H98" s="33" t="s">
        <v>166</v>
      </c>
      <c r="I98" s="33" t="s">
        <v>2111</v>
      </c>
      <c r="J98" s="33" t="s">
        <v>2114</v>
      </c>
      <c r="K98" s="324">
        <v>4.42</v>
      </c>
    </row>
    <row r="99" spans="1:11" ht="13.5">
      <c r="A99" s="23">
        <v>103</v>
      </c>
      <c r="B99" s="249" t="s">
        <v>718</v>
      </c>
      <c r="C99" s="628" t="s">
        <v>180</v>
      </c>
      <c r="D99" s="321" t="s">
        <v>54</v>
      </c>
      <c r="E99" s="33" t="s">
        <v>800</v>
      </c>
      <c r="F99" s="629" t="s">
        <v>801</v>
      </c>
      <c r="G99" s="630" t="s">
        <v>97</v>
      </c>
      <c r="H99" s="33" t="s">
        <v>821</v>
      </c>
      <c r="I99" s="33" t="s">
        <v>2086</v>
      </c>
      <c r="J99" s="33" t="s">
        <v>2089</v>
      </c>
      <c r="K99" s="324">
        <v>0</v>
      </c>
    </row>
    <row r="100" spans="1:11" ht="13.5">
      <c r="A100" s="23">
        <v>103</v>
      </c>
      <c r="B100" s="249" t="s">
        <v>718</v>
      </c>
      <c r="C100" s="628" t="s">
        <v>180</v>
      </c>
      <c r="D100" s="321" t="s">
        <v>54</v>
      </c>
      <c r="E100" s="33" t="s">
        <v>175</v>
      </c>
      <c r="F100" s="629" t="s">
        <v>802</v>
      </c>
      <c r="G100" s="630" t="s">
        <v>2095</v>
      </c>
      <c r="H100" s="33" t="s">
        <v>174</v>
      </c>
      <c r="I100" s="33" t="s">
        <v>2086</v>
      </c>
      <c r="J100" s="33" t="s">
        <v>2089</v>
      </c>
      <c r="K100" s="324">
        <v>0</v>
      </c>
    </row>
    <row r="101" spans="1:11" ht="13.5">
      <c r="A101" s="23">
        <v>103</v>
      </c>
      <c r="B101" s="249" t="s">
        <v>718</v>
      </c>
      <c r="C101" s="628" t="s">
        <v>180</v>
      </c>
      <c r="D101" s="321" t="s">
        <v>54</v>
      </c>
      <c r="E101" s="33" t="s">
        <v>175</v>
      </c>
      <c r="F101" s="629" t="s">
        <v>803</v>
      </c>
      <c r="G101" s="630" t="s">
        <v>2095</v>
      </c>
      <c r="H101" s="33" t="s">
        <v>44</v>
      </c>
      <c r="I101" s="33" t="s">
        <v>2111</v>
      </c>
      <c r="J101" s="33" t="s">
        <v>2112</v>
      </c>
      <c r="K101" s="324">
        <v>5.0959999999999992</v>
      </c>
    </row>
    <row r="102" spans="1:11" ht="13.5">
      <c r="A102" s="23">
        <v>103</v>
      </c>
      <c r="B102" s="249" t="s">
        <v>718</v>
      </c>
      <c r="C102" s="628" t="s">
        <v>180</v>
      </c>
      <c r="D102" s="321" t="s">
        <v>54</v>
      </c>
      <c r="E102" s="33" t="s">
        <v>547</v>
      </c>
      <c r="F102" s="629" t="s">
        <v>804</v>
      </c>
      <c r="G102" s="630" t="s">
        <v>97</v>
      </c>
      <c r="H102" s="33" t="s">
        <v>166</v>
      </c>
      <c r="I102" s="33" t="s">
        <v>2111</v>
      </c>
      <c r="J102" s="33" t="s">
        <v>2114</v>
      </c>
      <c r="K102" s="324">
        <v>3.9000000000000004</v>
      </c>
    </row>
    <row r="103" spans="1:11" ht="13.5">
      <c r="A103" s="23">
        <v>103</v>
      </c>
      <c r="B103" s="249" t="s">
        <v>718</v>
      </c>
      <c r="C103" s="628" t="s">
        <v>180</v>
      </c>
      <c r="D103" s="321" t="s">
        <v>622</v>
      </c>
      <c r="E103" s="33" t="s">
        <v>547</v>
      </c>
      <c r="F103" s="629" t="s">
        <v>675</v>
      </c>
      <c r="G103" s="630" t="s">
        <v>97</v>
      </c>
      <c r="H103" s="33"/>
      <c r="I103" s="33" t="s">
        <v>2086</v>
      </c>
      <c r="J103" s="33" t="s">
        <v>2089</v>
      </c>
      <c r="K103" s="324">
        <v>0</v>
      </c>
    </row>
    <row r="104" spans="1:11" ht="13.5">
      <c r="A104" s="23">
        <v>103</v>
      </c>
      <c r="B104" s="249" t="s">
        <v>718</v>
      </c>
      <c r="C104" s="628" t="s">
        <v>180</v>
      </c>
      <c r="D104" s="321" t="s">
        <v>622</v>
      </c>
      <c r="E104" s="33" t="s">
        <v>175</v>
      </c>
      <c r="F104" s="629" t="s">
        <v>827</v>
      </c>
      <c r="G104" s="630" t="s">
        <v>2095</v>
      </c>
      <c r="H104" s="33" t="s">
        <v>109</v>
      </c>
      <c r="I104" s="33" t="s">
        <v>2111</v>
      </c>
      <c r="J104" s="33" t="s">
        <v>2112</v>
      </c>
      <c r="K104" s="324">
        <v>1.3</v>
      </c>
    </row>
    <row r="105" spans="1:11" ht="13.5">
      <c r="A105" s="23">
        <v>103</v>
      </c>
      <c r="B105" s="249" t="s">
        <v>718</v>
      </c>
      <c r="C105" s="628" t="s">
        <v>180</v>
      </c>
      <c r="D105" s="321" t="s">
        <v>622</v>
      </c>
      <c r="E105" s="33" t="s">
        <v>547</v>
      </c>
      <c r="F105" s="629" t="s">
        <v>831</v>
      </c>
      <c r="G105" s="630" t="s">
        <v>97</v>
      </c>
      <c r="H105" s="33"/>
      <c r="I105" s="33" t="s">
        <v>2086</v>
      </c>
      <c r="J105" s="33" t="s">
        <v>2089</v>
      </c>
      <c r="K105" s="324">
        <v>0</v>
      </c>
    </row>
    <row r="106" spans="1:11" ht="13.5">
      <c r="A106" s="23">
        <v>103</v>
      </c>
      <c r="B106" s="249" t="s">
        <v>718</v>
      </c>
      <c r="C106" s="628" t="s">
        <v>180</v>
      </c>
      <c r="D106" s="321" t="s">
        <v>622</v>
      </c>
      <c r="E106" s="33" t="s">
        <v>547</v>
      </c>
      <c r="F106" s="629" t="s">
        <v>832</v>
      </c>
      <c r="G106" s="630" t="s">
        <v>97</v>
      </c>
      <c r="H106" s="33" t="s">
        <v>19</v>
      </c>
      <c r="I106" s="33" t="s">
        <v>2111</v>
      </c>
      <c r="J106" s="33" t="s">
        <v>2114</v>
      </c>
      <c r="K106" s="324">
        <v>2.6</v>
      </c>
    </row>
    <row r="107" spans="1:11" ht="13.5">
      <c r="A107" s="23">
        <v>103</v>
      </c>
      <c r="B107" s="249" t="s">
        <v>718</v>
      </c>
      <c r="C107" s="628" t="s">
        <v>180</v>
      </c>
      <c r="D107" s="321" t="s">
        <v>622</v>
      </c>
      <c r="E107" s="33" t="s">
        <v>175</v>
      </c>
      <c r="F107" s="629" t="s">
        <v>833</v>
      </c>
      <c r="G107" s="630" t="s">
        <v>2095</v>
      </c>
      <c r="H107" s="33" t="s">
        <v>109</v>
      </c>
      <c r="I107" s="33" t="s">
        <v>2111</v>
      </c>
      <c r="J107" s="33" t="s">
        <v>2112</v>
      </c>
      <c r="K107" s="324">
        <v>1.3</v>
      </c>
    </row>
    <row r="108" spans="1:11" ht="13.5">
      <c r="A108" s="23">
        <v>104</v>
      </c>
      <c r="B108" s="249" t="s">
        <v>165</v>
      </c>
      <c r="C108" s="628" t="s">
        <v>180</v>
      </c>
      <c r="D108" s="321" t="s">
        <v>358</v>
      </c>
      <c r="E108" s="33" t="s">
        <v>175</v>
      </c>
      <c r="F108" s="629" t="s">
        <v>391</v>
      </c>
      <c r="G108" s="630" t="s">
        <v>2095</v>
      </c>
      <c r="H108" s="33" t="s">
        <v>109</v>
      </c>
      <c r="I108" s="33" t="s">
        <v>2111</v>
      </c>
      <c r="J108" s="33" t="s">
        <v>2112</v>
      </c>
      <c r="K108" s="324">
        <v>13.955499999999999</v>
      </c>
    </row>
    <row r="109" spans="1:11" ht="13.5">
      <c r="A109" s="23">
        <v>104</v>
      </c>
      <c r="B109" s="249" t="s">
        <v>165</v>
      </c>
      <c r="C109" s="628" t="s">
        <v>180</v>
      </c>
      <c r="D109" s="321" t="s">
        <v>358</v>
      </c>
      <c r="E109" s="33" t="s">
        <v>175</v>
      </c>
      <c r="F109" s="629" t="s">
        <v>390</v>
      </c>
      <c r="G109" s="630" t="s">
        <v>2095</v>
      </c>
      <c r="H109" s="33" t="s">
        <v>109</v>
      </c>
      <c r="I109" s="33" t="s">
        <v>2111</v>
      </c>
      <c r="J109" s="33" t="s">
        <v>2112</v>
      </c>
      <c r="K109" s="324">
        <v>16.977999999999998</v>
      </c>
    </row>
    <row r="110" spans="1:11" ht="13.5">
      <c r="A110" s="23">
        <v>104</v>
      </c>
      <c r="B110" s="249" t="s">
        <v>165</v>
      </c>
      <c r="C110" s="628" t="s">
        <v>180</v>
      </c>
      <c r="D110" s="321" t="s">
        <v>358</v>
      </c>
      <c r="E110" s="33" t="s">
        <v>175</v>
      </c>
      <c r="F110" s="629" t="s">
        <v>393</v>
      </c>
      <c r="G110" s="630" t="s">
        <v>2095</v>
      </c>
      <c r="H110" s="33" t="s">
        <v>19</v>
      </c>
      <c r="I110" s="33" t="s">
        <v>2111</v>
      </c>
      <c r="J110" s="33" t="s">
        <v>2112</v>
      </c>
      <c r="K110" s="324">
        <v>18.421000000000003</v>
      </c>
    </row>
    <row r="111" spans="1:11" ht="13.5">
      <c r="A111" s="23">
        <v>104</v>
      </c>
      <c r="B111" s="249" t="s">
        <v>165</v>
      </c>
      <c r="C111" s="628" t="s">
        <v>180</v>
      </c>
      <c r="D111" s="321" t="s">
        <v>358</v>
      </c>
      <c r="E111" s="33" t="s">
        <v>175</v>
      </c>
      <c r="F111" s="629" t="s">
        <v>392</v>
      </c>
      <c r="G111" s="630" t="s">
        <v>2095</v>
      </c>
      <c r="H111" s="33" t="s">
        <v>109</v>
      </c>
      <c r="I111" s="33" t="s">
        <v>2111</v>
      </c>
      <c r="J111" s="33" t="s">
        <v>2112</v>
      </c>
      <c r="K111" s="324">
        <v>16.728400000000001</v>
      </c>
    </row>
    <row r="112" spans="1:11" ht="13.5">
      <c r="A112" s="23">
        <v>104</v>
      </c>
      <c r="B112" s="249" t="s">
        <v>165</v>
      </c>
      <c r="C112" s="628" t="s">
        <v>180</v>
      </c>
      <c r="D112" s="321" t="s">
        <v>358</v>
      </c>
      <c r="E112" s="33" t="s">
        <v>175</v>
      </c>
      <c r="F112" s="629" t="s">
        <v>394</v>
      </c>
      <c r="G112" s="630" t="s">
        <v>2095</v>
      </c>
      <c r="H112" s="33" t="s">
        <v>19</v>
      </c>
      <c r="I112" s="33" t="s">
        <v>2111</v>
      </c>
      <c r="J112" s="33" t="s">
        <v>2112</v>
      </c>
      <c r="K112" s="324">
        <v>37.979499999999994</v>
      </c>
    </row>
    <row r="113" spans="1:11" ht="13.5">
      <c r="A113" s="23">
        <v>104</v>
      </c>
      <c r="B113" s="249" t="s">
        <v>165</v>
      </c>
      <c r="C113" s="628" t="s">
        <v>180</v>
      </c>
      <c r="D113" s="321" t="s">
        <v>358</v>
      </c>
      <c r="E113" s="33" t="s">
        <v>175</v>
      </c>
      <c r="F113" s="629" t="s">
        <v>395</v>
      </c>
      <c r="G113" s="630" t="s">
        <v>2095</v>
      </c>
      <c r="H113" s="33" t="s">
        <v>520</v>
      </c>
      <c r="I113" s="33" t="s">
        <v>2111</v>
      </c>
      <c r="J113" s="33" t="s">
        <v>2112</v>
      </c>
      <c r="K113" s="324">
        <v>2.3400000000000003</v>
      </c>
    </row>
    <row r="114" spans="1:11" ht="13.5">
      <c r="A114" s="23">
        <v>104</v>
      </c>
      <c r="B114" s="249" t="s">
        <v>165</v>
      </c>
      <c r="C114" s="628" t="s">
        <v>180</v>
      </c>
      <c r="D114" s="321" t="s">
        <v>358</v>
      </c>
      <c r="E114" s="33" t="s">
        <v>175</v>
      </c>
      <c r="F114" s="629" t="s">
        <v>399</v>
      </c>
      <c r="G114" s="630" t="s">
        <v>2095</v>
      </c>
      <c r="H114" s="33" t="s">
        <v>19</v>
      </c>
      <c r="I114" s="33" t="s">
        <v>2111</v>
      </c>
      <c r="J114" s="33" t="s">
        <v>2112</v>
      </c>
      <c r="K114" s="324">
        <v>12.856999999999999</v>
      </c>
    </row>
    <row r="115" spans="1:11" ht="13.5">
      <c r="A115" s="23">
        <v>104</v>
      </c>
      <c r="B115" s="249" t="s">
        <v>165</v>
      </c>
      <c r="C115" s="628" t="s">
        <v>180</v>
      </c>
      <c r="D115" s="321" t="s">
        <v>358</v>
      </c>
      <c r="E115" s="33" t="s">
        <v>175</v>
      </c>
      <c r="F115" s="629" t="s">
        <v>401</v>
      </c>
      <c r="G115" s="630" t="s">
        <v>2095</v>
      </c>
      <c r="H115" s="33" t="s">
        <v>176</v>
      </c>
      <c r="I115" s="33" t="s">
        <v>2111</v>
      </c>
      <c r="J115" s="33" t="s">
        <v>2112</v>
      </c>
      <c r="K115" s="324">
        <v>5.07</v>
      </c>
    </row>
    <row r="116" spans="1:11" ht="13.5">
      <c r="A116" s="23">
        <v>104</v>
      </c>
      <c r="B116" s="249" t="s">
        <v>165</v>
      </c>
      <c r="C116" s="628" t="s">
        <v>180</v>
      </c>
      <c r="D116" s="321" t="s">
        <v>358</v>
      </c>
      <c r="E116" s="33" t="s">
        <v>410</v>
      </c>
      <c r="F116" s="629" t="s">
        <v>411</v>
      </c>
      <c r="G116" s="630" t="s">
        <v>97</v>
      </c>
      <c r="H116" s="33" t="s">
        <v>166</v>
      </c>
      <c r="I116" s="33" t="s">
        <v>2111</v>
      </c>
      <c r="J116" s="33" t="s">
        <v>2114</v>
      </c>
      <c r="K116" s="324">
        <v>6.5</v>
      </c>
    </row>
    <row r="117" spans="1:11" ht="13.5">
      <c r="A117" s="23">
        <v>104</v>
      </c>
      <c r="B117" s="249" t="s">
        <v>165</v>
      </c>
      <c r="C117" s="628" t="s">
        <v>180</v>
      </c>
      <c r="D117" s="321" t="s">
        <v>358</v>
      </c>
      <c r="E117" s="33" t="s">
        <v>175</v>
      </c>
      <c r="F117" s="629" t="s">
        <v>412</v>
      </c>
      <c r="G117" s="630" t="s">
        <v>2095</v>
      </c>
      <c r="H117" s="33" t="s">
        <v>166</v>
      </c>
      <c r="I117" s="33" t="s">
        <v>2111</v>
      </c>
      <c r="J117" s="33" t="s">
        <v>2112</v>
      </c>
      <c r="K117" s="324">
        <v>2.6</v>
      </c>
    </row>
    <row r="118" spans="1:11" ht="13.5">
      <c r="A118" s="23">
        <v>104</v>
      </c>
      <c r="B118" s="249" t="s">
        <v>165</v>
      </c>
      <c r="C118" s="628" t="s">
        <v>180</v>
      </c>
      <c r="D118" s="321" t="s">
        <v>358</v>
      </c>
      <c r="E118" s="33" t="s">
        <v>175</v>
      </c>
      <c r="F118" s="629" t="s">
        <v>415</v>
      </c>
      <c r="G118" s="630" t="s">
        <v>2095</v>
      </c>
      <c r="H118" s="33" t="s">
        <v>19</v>
      </c>
      <c r="I118" s="33" t="s">
        <v>2111</v>
      </c>
      <c r="J118" s="33" t="s">
        <v>2112</v>
      </c>
      <c r="K118" s="324">
        <v>6.5325000000000006</v>
      </c>
    </row>
    <row r="119" spans="1:11" ht="13.5">
      <c r="A119" s="23">
        <v>104</v>
      </c>
      <c r="B119" s="249" t="s">
        <v>165</v>
      </c>
      <c r="C119" s="628" t="s">
        <v>180</v>
      </c>
      <c r="D119" s="321" t="s">
        <v>358</v>
      </c>
      <c r="E119" s="33" t="s">
        <v>175</v>
      </c>
      <c r="F119" s="629" t="s">
        <v>418</v>
      </c>
      <c r="G119" s="630" t="s">
        <v>2095</v>
      </c>
      <c r="H119" s="33" t="s">
        <v>19</v>
      </c>
      <c r="I119" s="33" t="s">
        <v>2111</v>
      </c>
      <c r="J119" s="33" t="s">
        <v>2112</v>
      </c>
      <c r="K119" s="324">
        <v>7.8000000000000007</v>
      </c>
    </row>
    <row r="120" spans="1:11" ht="13.5">
      <c r="A120" s="23">
        <v>104</v>
      </c>
      <c r="B120" s="249" t="s">
        <v>165</v>
      </c>
      <c r="C120" s="628" t="s">
        <v>180</v>
      </c>
      <c r="D120" s="321" t="s">
        <v>54</v>
      </c>
      <c r="E120" s="33" t="s">
        <v>175</v>
      </c>
      <c r="F120" s="629" t="s">
        <v>543</v>
      </c>
      <c r="G120" s="630" t="s">
        <v>2095</v>
      </c>
      <c r="H120" s="33" t="s">
        <v>19</v>
      </c>
      <c r="I120" s="33" t="s">
        <v>2111</v>
      </c>
      <c r="J120" s="33" t="s">
        <v>2112</v>
      </c>
      <c r="K120" s="324">
        <v>10.185499999999999</v>
      </c>
    </row>
    <row r="121" spans="1:11" ht="13.5">
      <c r="A121" s="23">
        <v>104</v>
      </c>
      <c r="B121" s="249" t="s">
        <v>165</v>
      </c>
      <c r="C121" s="628" t="s">
        <v>180</v>
      </c>
      <c r="D121" s="321" t="s">
        <v>54</v>
      </c>
      <c r="E121" s="33" t="s">
        <v>544</v>
      </c>
      <c r="F121" s="629" t="s">
        <v>545</v>
      </c>
      <c r="G121" s="630" t="s">
        <v>97</v>
      </c>
      <c r="H121" s="33" t="s">
        <v>166</v>
      </c>
      <c r="I121" s="33" t="s">
        <v>2111</v>
      </c>
      <c r="J121" s="33" t="s">
        <v>2114</v>
      </c>
      <c r="K121" s="324">
        <v>2.6</v>
      </c>
    </row>
    <row r="122" spans="1:11" ht="13.5">
      <c r="A122" s="23">
        <v>104</v>
      </c>
      <c r="B122" s="249" t="s">
        <v>165</v>
      </c>
      <c r="C122" s="628" t="s">
        <v>180</v>
      </c>
      <c r="D122" s="321" t="s">
        <v>54</v>
      </c>
      <c r="E122" s="33" t="s">
        <v>175</v>
      </c>
      <c r="F122" s="629" t="s">
        <v>546</v>
      </c>
      <c r="G122" s="630" t="s">
        <v>2095</v>
      </c>
      <c r="H122" s="33" t="s">
        <v>19</v>
      </c>
      <c r="I122" s="33" t="s">
        <v>2111</v>
      </c>
      <c r="J122" s="33" t="s">
        <v>2112</v>
      </c>
      <c r="K122" s="324">
        <v>19.5</v>
      </c>
    </row>
    <row r="123" spans="1:11" ht="13.5">
      <c r="A123" s="23">
        <v>104</v>
      </c>
      <c r="B123" s="249" t="s">
        <v>165</v>
      </c>
      <c r="C123" s="628" t="s">
        <v>180</v>
      </c>
      <c r="D123" s="321" t="s">
        <v>54</v>
      </c>
      <c r="E123" s="33" t="s">
        <v>547</v>
      </c>
      <c r="F123" s="629" t="s">
        <v>548</v>
      </c>
      <c r="G123" s="630" t="s">
        <v>97</v>
      </c>
      <c r="H123" s="33" t="s">
        <v>166</v>
      </c>
      <c r="I123" s="33" t="s">
        <v>2111</v>
      </c>
      <c r="J123" s="33" t="s">
        <v>2114</v>
      </c>
      <c r="K123" s="324">
        <v>2.6</v>
      </c>
    </row>
    <row r="124" spans="1:11" ht="13.5">
      <c r="A124" s="23">
        <v>104</v>
      </c>
      <c r="B124" s="249" t="s">
        <v>165</v>
      </c>
      <c r="C124" s="628" t="s">
        <v>180</v>
      </c>
      <c r="D124" s="321" t="s">
        <v>54</v>
      </c>
      <c r="E124" s="33" t="s">
        <v>175</v>
      </c>
      <c r="F124" s="629" t="s">
        <v>552</v>
      </c>
      <c r="G124" s="630" t="s">
        <v>2095</v>
      </c>
      <c r="H124" s="33" t="s">
        <v>19</v>
      </c>
      <c r="I124" s="33" t="s">
        <v>2111</v>
      </c>
      <c r="J124" s="33" t="s">
        <v>2112</v>
      </c>
      <c r="K124" s="324">
        <v>33.800000000000004</v>
      </c>
    </row>
    <row r="125" spans="1:11" ht="13.5">
      <c r="A125" s="23">
        <v>104</v>
      </c>
      <c r="B125" s="249" t="s">
        <v>165</v>
      </c>
      <c r="C125" s="628" t="s">
        <v>180</v>
      </c>
      <c r="D125" s="321" t="s">
        <v>54</v>
      </c>
      <c r="E125" s="33" t="s">
        <v>560</v>
      </c>
      <c r="F125" s="629" t="s">
        <v>561</v>
      </c>
      <c r="G125" s="630" t="s">
        <v>97</v>
      </c>
      <c r="H125" s="33" t="s">
        <v>166</v>
      </c>
      <c r="I125" s="33" t="s">
        <v>2111</v>
      </c>
      <c r="J125" s="33" t="s">
        <v>2114</v>
      </c>
      <c r="K125" s="324">
        <v>3.9000000000000004</v>
      </c>
    </row>
    <row r="126" spans="1:11" ht="13.5">
      <c r="A126" s="23">
        <v>104</v>
      </c>
      <c r="B126" s="249" t="s">
        <v>165</v>
      </c>
      <c r="C126" s="628" t="s">
        <v>180</v>
      </c>
      <c r="D126" s="321" t="s">
        <v>54</v>
      </c>
      <c r="E126" s="33" t="s">
        <v>562</v>
      </c>
      <c r="F126" s="629" t="s">
        <v>563</v>
      </c>
      <c r="G126" s="630" t="s">
        <v>2086</v>
      </c>
      <c r="H126" s="33" t="s">
        <v>166</v>
      </c>
      <c r="I126" s="33" t="s">
        <v>2086</v>
      </c>
      <c r="J126" s="33" t="s">
        <v>2089</v>
      </c>
      <c r="K126" s="324">
        <v>0</v>
      </c>
    </row>
    <row r="127" spans="1:11" ht="13.5">
      <c r="A127" s="23">
        <v>104</v>
      </c>
      <c r="B127" s="249" t="s">
        <v>165</v>
      </c>
      <c r="C127" s="628" t="s">
        <v>180</v>
      </c>
      <c r="D127" s="321" t="s">
        <v>54</v>
      </c>
      <c r="E127" s="33" t="s">
        <v>175</v>
      </c>
      <c r="F127" s="629" t="s">
        <v>565</v>
      </c>
      <c r="G127" s="630" t="s">
        <v>2095</v>
      </c>
      <c r="H127" s="33" t="s">
        <v>19</v>
      </c>
      <c r="I127" s="33" t="s">
        <v>2111</v>
      </c>
      <c r="J127" s="33" t="s">
        <v>2112</v>
      </c>
      <c r="K127" s="324">
        <v>19.480499999999999</v>
      </c>
    </row>
    <row r="128" spans="1:11" ht="13.5">
      <c r="A128" s="23">
        <v>104</v>
      </c>
      <c r="B128" s="249" t="s">
        <v>165</v>
      </c>
      <c r="C128" s="628" t="s">
        <v>180</v>
      </c>
      <c r="D128" s="321" t="s">
        <v>54</v>
      </c>
      <c r="E128" s="33" t="s">
        <v>544</v>
      </c>
      <c r="F128" s="629" t="s">
        <v>566</v>
      </c>
      <c r="G128" s="630" t="s">
        <v>97</v>
      </c>
      <c r="H128" s="33" t="s">
        <v>166</v>
      </c>
      <c r="I128" s="33" t="s">
        <v>2111</v>
      </c>
      <c r="J128" s="33" t="s">
        <v>2114</v>
      </c>
      <c r="K128" s="324">
        <v>2.6</v>
      </c>
    </row>
    <row r="129" spans="1:11" ht="13.5">
      <c r="A129" s="23">
        <v>104</v>
      </c>
      <c r="B129" s="249" t="s">
        <v>165</v>
      </c>
      <c r="C129" s="628" t="s">
        <v>180</v>
      </c>
      <c r="D129" s="321" t="s">
        <v>54</v>
      </c>
      <c r="E129" s="33" t="s">
        <v>544</v>
      </c>
      <c r="F129" s="629" t="s">
        <v>567</v>
      </c>
      <c r="G129" s="630" t="s">
        <v>97</v>
      </c>
      <c r="H129" s="33" t="s">
        <v>166</v>
      </c>
      <c r="I129" s="33" t="s">
        <v>2111</v>
      </c>
      <c r="J129" s="33" t="s">
        <v>2114</v>
      </c>
      <c r="K129" s="324">
        <v>1.3</v>
      </c>
    </row>
    <row r="130" spans="1:11" ht="13.5">
      <c r="A130" s="23">
        <v>104</v>
      </c>
      <c r="B130" s="249" t="s">
        <v>165</v>
      </c>
      <c r="C130" s="628" t="s">
        <v>180</v>
      </c>
      <c r="D130" s="321" t="s">
        <v>54</v>
      </c>
      <c r="E130" s="33" t="s">
        <v>544</v>
      </c>
      <c r="F130" s="629" t="s">
        <v>568</v>
      </c>
      <c r="G130" s="630" t="s">
        <v>97</v>
      </c>
      <c r="H130" s="33" t="s">
        <v>166</v>
      </c>
      <c r="I130" s="33" t="s">
        <v>2111</v>
      </c>
      <c r="J130" s="33" t="s">
        <v>2114</v>
      </c>
      <c r="K130" s="324">
        <v>3.9000000000000004</v>
      </c>
    </row>
    <row r="131" spans="1:11" ht="13.5">
      <c r="A131" s="23">
        <v>104</v>
      </c>
      <c r="B131" s="249" t="s">
        <v>165</v>
      </c>
      <c r="C131" s="628" t="s">
        <v>180</v>
      </c>
      <c r="D131" s="321" t="s">
        <v>54</v>
      </c>
      <c r="E131" s="33" t="s">
        <v>175</v>
      </c>
      <c r="F131" s="629" t="s">
        <v>569</v>
      </c>
      <c r="G131" s="630" t="s">
        <v>2095</v>
      </c>
      <c r="H131" s="33" t="s">
        <v>19</v>
      </c>
      <c r="I131" s="33" t="s">
        <v>2111</v>
      </c>
      <c r="J131" s="33" t="s">
        <v>2112</v>
      </c>
      <c r="K131" s="324">
        <v>5.2</v>
      </c>
    </row>
    <row r="132" spans="1:11" ht="13.5">
      <c r="A132" s="23">
        <v>104</v>
      </c>
      <c r="B132" s="249" t="s">
        <v>165</v>
      </c>
      <c r="C132" s="628" t="s">
        <v>180</v>
      </c>
      <c r="D132" s="321" t="s">
        <v>54</v>
      </c>
      <c r="E132" s="33" t="s">
        <v>175</v>
      </c>
      <c r="F132" s="629" t="s">
        <v>576</v>
      </c>
      <c r="G132" s="630" t="s">
        <v>2095</v>
      </c>
      <c r="H132" s="33" t="s">
        <v>19</v>
      </c>
      <c r="I132" s="33" t="s">
        <v>2111</v>
      </c>
      <c r="J132" s="33" t="s">
        <v>2112</v>
      </c>
      <c r="K132" s="324">
        <v>5.2</v>
      </c>
    </row>
    <row r="133" spans="1:11" ht="13.5">
      <c r="A133" s="23">
        <v>104</v>
      </c>
      <c r="B133" s="249" t="s">
        <v>165</v>
      </c>
      <c r="C133" s="628" t="s">
        <v>180</v>
      </c>
      <c r="D133" s="321" t="s">
        <v>622</v>
      </c>
      <c r="E133" s="33" t="s">
        <v>175</v>
      </c>
      <c r="F133" s="629" t="s">
        <v>625</v>
      </c>
      <c r="G133" s="630" t="s">
        <v>2095</v>
      </c>
      <c r="H133" s="33" t="s">
        <v>19</v>
      </c>
      <c r="I133" s="33" t="s">
        <v>2111</v>
      </c>
      <c r="J133" s="33" t="s">
        <v>2112</v>
      </c>
      <c r="K133" s="324">
        <v>6.5</v>
      </c>
    </row>
    <row r="134" spans="1:11" ht="13.5">
      <c r="A134" s="23">
        <v>104</v>
      </c>
      <c r="B134" s="249" t="s">
        <v>165</v>
      </c>
      <c r="C134" s="628" t="s">
        <v>180</v>
      </c>
      <c r="D134" s="321" t="s">
        <v>622</v>
      </c>
      <c r="E134" s="33" t="s">
        <v>626</v>
      </c>
      <c r="F134" s="629" t="s">
        <v>627</v>
      </c>
      <c r="G134" s="630" t="s">
        <v>97</v>
      </c>
      <c r="H134" s="33" t="s">
        <v>166</v>
      </c>
      <c r="I134" s="33" t="s">
        <v>2111</v>
      </c>
      <c r="J134" s="33" t="s">
        <v>2114</v>
      </c>
      <c r="K134" s="324">
        <v>11.700000000000001</v>
      </c>
    </row>
    <row r="135" spans="1:11" ht="13.5">
      <c r="A135" s="23">
        <v>104</v>
      </c>
      <c r="B135" s="249" t="s">
        <v>165</v>
      </c>
      <c r="C135" s="628" t="s">
        <v>180</v>
      </c>
      <c r="D135" s="321" t="s">
        <v>622</v>
      </c>
      <c r="E135" s="33" t="s">
        <v>560</v>
      </c>
      <c r="F135" s="629" t="s">
        <v>633</v>
      </c>
      <c r="G135" s="630" t="s">
        <v>2086</v>
      </c>
      <c r="H135" s="33" t="s">
        <v>166</v>
      </c>
      <c r="I135" s="33" t="s">
        <v>2086</v>
      </c>
      <c r="J135" s="33" t="s">
        <v>2089</v>
      </c>
      <c r="K135" s="324">
        <v>0</v>
      </c>
    </row>
    <row r="136" spans="1:11" ht="13.5">
      <c r="A136" s="23">
        <v>104</v>
      </c>
      <c r="B136" s="249" t="s">
        <v>165</v>
      </c>
      <c r="C136" s="628" t="s">
        <v>180</v>
      </c>
      <c r="D136" s="321" t="s">
        <v>622</v>
      </c>
      <c r="E136" s="33" t="s">
        <v>175</v>
      </c>
      <c r="F136" s="629" t="s">
        <v>634</v>
      </c>
      <c r="G136" s="630" t="s">
        <v>2095</v>
      </c>
      <c r="H136" s="33" t="s">
        <v>19</v>
      </c>
      <c r="I136" s="33" t="s">
        <v>2111</v>
      </c>
      <c r="J136" s="33" t="s">
        <v>2112</v>
      </c>
      <c r="K136" s="324">
        <v>15.600000000000001</v>
      </c>
    </row>
    <row r="137" spans="1:11" ht="13.5">
      <c r="A137" s="23">
        <v>104</v>
      </c>
      <c r="B137" s="249" t="s">
        <v>165</v>
      </c>
      <c r="C137" s="628" t="s">
        <v>180</v>
      </c>
      <c r="D137" s="321" t="s">
        <v>622</v>
      </c>
      <c r="E137" s="33" t="s">
        <v>635</v>
      </c>
      <c r="F137" s="629" t="s">
        <v>636</v>
      </c>
      <c r="G137" s="630" t="s">
        <v>97</v>
      </c>
      <c r="H137" s="33" t="s">
        <v>166</v>
      </c>
      <c r="I137" s="33" t="s">
        <v>2111</v>
      </c>
      <c r="J137" s="33" t="s">
        <v>2114</v>
      </c>
      <c r="K137" s="324">
        <v>15.600000000000001</v>
      </c>
    </row>
    <row r="138" spans="1:11" ht="13.5">
      <c r="A138" s="23">
        <v>104</v>
      </c>
      <c r="B138" s="249" t="s">
        <v>165</v>
      </c>
      <c r="C138" s="628" t="s">
        <v>180</v>
      </c>
      <c r="D138" s="321" t="s">
        <v>622</v>
      </c>
      <c r="E138" s="33" t="s">
        <v>547</v>
      </c>
      <c r="F138" s="629" t="s">
        <v>639</v>
      </c>
      <c r="G138" s="630" t="s">
        <v>97</v>
      </c>
      <c r="H138" s="33" t="s">
        <v>166</v>
      </c>
      <c r="I138" s="33" t="s">
        <v>2111</v>
      </c>
      <c r="J138" s="33" t="s">
        <v>2114</v>
      </c>
      <c r="K138" s="324">
        <v>2.6</v>
      </c>
    </row>
    <row r="139" spans="1:11" ht="13.5">
      <c r="A139" s="23">
        <v>104</v>
      </c>
      <c r="B139" s="249" t="s">
        <v>165</v>
      </c>
      <c r="C139" s="628" t="s">
        <v>180</v>
      </c>
      <c r="D139" s="321" t="s">
        <v>622</v>
      </c>
      <c r="E139" s="33" t="s">
        <v>175</v>
      </c>
      <c r="F139" s="629" t="s">
        <v>640</v>
      </c>
      <c r="G139" s="630" t="s">
        <v>2095</v>
      </c>
      <c r="H139" s="33" t="s">
        <v>19</v>
      </c>
      <c r="I139" s="33" t="s">
        <v>2111</v>
      </c>
      <c r="J139" s="33" t="s">
        <v>2112</v>
      </c>
      <c r="K139" s="324">
        <v>3.9000000000000004</v>
      </c>
    </row>
    <row r="140" spans="1:11" ht="13.5">
      <c r="A140" s="23">
        <v>104</v>
      </c>
      <c r="B140" s="249" t="s">
        <v>165</v>
      </c>
      <c r="C140" s="628" t="s">
        <v>180</v>
      </c>
      <c r="D140" s="321" t="s">
        <v>622</v>
      </c>
      <c r="E140" s="33" t="s">
        <v>635</v>
      </c>
      <c r="F140" s="629" t="s">
        <v>641</v>
      </c>
      <c r="G140" s="630" t="s">
        <v>97</v>
      </c>
      <c r="H140" s="33" t="s">
        <v>166</v>
      </c>
      <c r="I140" s="33" t="s">
        <v>2111</v>
      </c>
      <c r="J140" s="33" t="s">
        <v>2114</v>
      </c>
      <c r="K140" s="324">
        <v>9.1</v>
      </c>
    </row>
    <row r="141" spans="1:11" ht="13.5">
      <c r="A141" s="23">
        <v>104</v>
      </c>
      <c r="B141" s="249" t="s">
        <v>165</v>
      </c>
      <c r="C141" s="628" t="s">
        <v>180</v>
      </c>
      <c r="D141" s="321" t="s">
        <v>673</v>
      </c>
      <c r="E141" s="33" t="s">
        <v>635</v>
      </c>
      <c r="F141" s="629" t="s">
        <v>674</v>
      </c>
      <c r="G141" s="630" t="s">
        <v>2086</v>
      </c>
      <c r="H141" s="33" t="s">
        <v>166</v>
      </c>
      <c r="I141" s="33" t="s">
        <v>2086</v>
      </c>
      <c r="J141" s="33" t="s">
        <v>2089</v>
      </c>
      <c r="K141" s="324">
        <v>0</v>
      </c>
    </row>
    <row r="142" spans="1:11" ht="13.5">
      <c r="A142" s="23">
        <v>104</v>
      </c>
      <c r="B142" s="249" t="s">
        <v>165</v>
      </c>
      <c r="C142" s="628" t="s">
        <v>180</v>
      </c>
      <c r="D142" s="321" t="s">
        <v>673</v>
      </c>
      <c r="E142" s="33" t="s">
        <v>175</v>
      </c>
      <c r="F142" s="629" t="s">
        <v>676</v>
      </c>
      <c r="G142" s="630" t="s">
        <v>2095</v>
      </c>
      <c r="H142" s="33" t="s">
        <v>19</v>
      </c>
      <c r="I142" s="33" t="s">
        <v>2111</v>
      </c>
      <c r="J142" s="33" t="s">
        <v>2112</v>
      </c>
      <c r="K142" s="324">
        <v>99.71</v>
      </c>
    </row>
    <row r="143" spans="1:11" ht="13.5">
      <c r="A143" s="23">
        <v>104</v>
      </c>
      <c r="B143" s="249" t="s">
        <v>165</v>
      </c>
      <c r="C143" s="628" t="s">
        <v>180</v>
      </c>
      <c r="D143" s="321" t="s">
        <v>673</v>
      </c>
      <c r="E143" s="33" t="s">
        <v>635</v>
      </c>
      <c r="F143" s="629" t="s">
        <v>677</v>
      </c>
      <c r="G143" s="630" t="s">
        <v>2086</v>
      </c>
      <c r="H143" s="33" t="s">
        <v>166</v>
      </c>
      <c r="I143" s="33" t="s">
        <v>2086</v>
      </c>
      <c r="J143" s="33" t="s">
        <v>2089</v>
      </c>
      <c r="K143" s="324">
        <v>0</v>
      </c>
    </row>
    <row r="144" spans="1:11" ht="13.5">
      <c r="A144" s="23">
        <v>104</v>
      </c>
      <c r="B144" s="249" t="s">
        <v>165</v>
      </c>
      <c r="C144" s="628" t="s">
        <v>180</v>
      </c>
      <c r="D144" s="321" t="s">
        <v>673</v>
      </c>
      <c r="E144" s="33" t="s">
        <v>175</v>
      </c>
      <c r="F144" s="629" t="s">
        <v>678</v>
      </c>
      <c r="G144" s="630" t="s">
        <v>2095</v>
      </c>
      <c r="H144" s="33" t="s">
        <v>44</v>
      </c>
      <c r="I144" s="33" t="s">
        <v>2111</v>
      </c>
      <c r="J144" s="33" t="s">
        <v>2112</v>
      </c>
      <c r="K144" s="324">
        <v>158.6</v>
      </c>
    </row>
    <row r="145" spans="1:11" ht="13.5">
      <c r="A145" s="23">
        <v>104</v>
      </c>
      <c r="B145" s="249" t="s">
        <v>165</v>
      </c>
      <c r="C145" s="628" t="s">
        <v>180</v>
      </c>
      <c r="D145" s="321" t="s">
        <v>673</v>
      </c>
      <c r="E145" s="33" t="s">
        <v>175</v>
      </c>
      <c r="F145" s="629" t="s">
        <v>679</v>
      </c>
      <c r="G145" s="630" t="s">
        <v>2095</v>
      </c>
      <c r="H145" s="33" t="s">
        <v>44</v>
      </c>
      <c r="I145" s="33" t="s">
        <v>2111</v>
      </c>
      <c r="J145" s="33" t="s">
        <v>2112</v>
      </c>
      <c r="K145" s="324">
        <v>39</v>
      </c>
    </row>
    <row r="146" spans="1:11" ht="13.5">
      <c r="A146" s="23">
        <v>104</v>
      </c>
      <c r="B146" s="249" t="s">
        <v>165</v>
      </c>
      <c r="C146" s="628" t="s">
        <v>180</v>
      </c>
      <c r="D146" s="321" t="s">
        <v>673</v>
      </c>
      <c r="E146" s="33" t="s">
        <v>175</v>
      </c>
      <c r="F146" s="629" t="s">
        <v>680</v>
      </c>
      <c r="G146" s="630" t="s">
        <v>2095</v>
      </c>
      <c r="H146" s="33" t="s">
        <v>166</v>
      </c>
      <c r="I146" s="33" t="s">
        <v>2086</v>
      </c>
      <c r="J146" s="33" t="s">
        <v>2089</v>
      </c>
      <c r="K146" s="324">
        <v>0</v>
      </c>
    </row>
    <row r="147" spans="1:11" ht="13.5">
      <c r="A147" s="23">
        <v>105</v>
      </c>
      <c r="B147" s="249" t="s">
        <v>851</v>
      </c>
      <c r="C147" s="628" t="s">
        <v>180</v>
      </c>
      <c r="D147" s="321" t="s">
        <v>856</v>
      </c>
      <c r="E147" s="33" t="s">
        <v>175</v>
      </c>
      <c r="F147" s="629" t="s">
        <v>391</v>
      </c>
      <c r="G147" s="630" t="s">
        <v>2095</v>
      </c>
      <c r="H147" s="33" t="s">
        <v>44</v>
      </c>
      <c r="I147" s="33" t="s">
        <v>2111</v>
      </c>
      <c r="J147" s="33" t="s">
        <v>2112</v>
      </c>
      <c r="K147" s="324">
        <v>2.7949999999999999</v>
      </c>
    </row>
    <row r="148" spans="1:11" ht="13.5">
      <c r="A148" s="23">
        <v>105</v>
      </c>
      <c r="B148" s="249" t="s">
        <v>851</v>
      </c>
      <c r="C148" s="628" t="s">
        <v>180</v>
      </c>
      <c r="D148" s="321" t="s">
        <v>856</v>
      </c>
      <c r="E148" s="33" t="s">
        <v>175</v>
      </c>
      <c r="F148" s="629" t="s">
        <v>390</v>
      </c>
      <c r="G148" s="630" t="s">
        <v>2095</v>
      </c>
      <c r="H148" s="33"/>
      <c r="I148" s="33" t="s">
        <v>2086</v>
      </c>
      <c r="J148" s="33" t="s">
        <v>2089</v>
      </c>
      <c r="K148" s="324">
        <v>0</v>
      </c>
    </row>
    <row r="149" spans="1:11" ht="13.5">
      <c r="A149" s="23">
        <v>105</v>
      </c>
      <c r="B149" s="249" t="s">
        <v>851</v>
      </c>
      <c r="C149" s="628" t="s">
        <v>180</v>
      </c>
      <c r="D149" s="321" t="s">
        <v>856</v>
      </c>
      <c r="E149" s="33" t="s">
        <v>175</v>
      </c>
      <c r="F149" s="629" t="s">
        <v>393</v>
      </c>
      <c r="G149" s="630" t="s">
        <v>2095</v>
      </c>
      <c r="H149" s="33" t="s">
        <v>44</v>
      </c>
      <c r="I149" s="33" t="s">
        <v>2111</v>
      </c>
      <c r="J149" s="33" t="s">
        <v>2112</v>
      </c>
      <c r="K149" s="324">
        <v>1.9500000000000002</v>
      </c>
    </row>
    <row r="150" spans="1:11" ht="13.5">
      <c r="A150" s="23">
        <v>105</v>
      </c>
      <c r="B150" s="249" t="s">
        <v>851</v>
      </c>
      <c r="C150" s="628" t="s">
        <v>180</v>
      </c>
      <c r="D150" s="321" t="s">
        <v>856</v>
      </c>
      <c r="E150" s="33" t="s">
        <v>175</v>
      </c>
      <c r="F150" s="629" t="s">
        <v>981</v>
      </c>
      <c r="G150" s="630" t="s">
        <v>2095</v>
      </c>
      <c r="H150" s="33" t="s">
        <v>44</v>
      </c>
      <c r="I150" s="33" t="s">
        <v>2111</v>
      </c>
      <c r="J150" s="33" t="s">
        <v>2112</v>
      </c>
      <c r="K150" s="324">
        <v>4.2120000000000006</v>
      </c>
    </row>
    <row r="151" spans="1:11" ht="13.5">
      <c r="A151" s="23">
        <v>105</v>
      </c>
      <c r="B151" s="249" t="s">
        <v>851</v>
      </c>
      <c r="C151" s="628" t="s">
        <v>180</v>
      </c>
      <c r="D151" s="321" t="s">
        <v>856</v>
      </c>
      <c r="E151" s="33" t="s">
        <v>175</v>
      </c>
      <c r="F151" s="629" t="s">
        <v>982</v>
      </c>
      <c r="G151" s="630" t="s">
        <v>2095</v>
      </c>
      <c r="H151" s="33" t="s">
        <v>44</v>
      </c>
      <c r="I151" s="33" t="s">
        <v>2111</v>
      </c>
      <c r="J151" s="33" t="s">
        <v>2112</v>
      </c>
      <c r="K151" s="324">
        <v>6.1490000000000009</v>
      </c>
    </row>
    <row r="152" spans="1:11" ht="13.5">
      <c r="A152" s="23">
        <v>105</v>
      </c>
      <c r="B152" s="249" t="s">
        <v>851</v>
      </c>
      <c r="C152" s="628" t="s">
        <v>180</v>
      </c>
      <c r="D152" s="321" t="s">
        <v>856</v>
      </c>
      <c r="E152" s="33" t="s">
        <v>175</v>
      </c>
      <c r="F152" s="629" t="s">
        <v>983</v>
      </c>
      <c r="G152" s="630" t="s">
        <v>2095</v>
      </c>
      <c r="H152" s="33" t="s">
        <v>44</v>
      </c>
      <c r="I152" s="33" t="s">
        <v>2111</v>
      </c>
      <c r="J152" s="33" t="s">
        <v>2112</v>
      </c>
      <c r="K152" s="324">
        <v>8.6709999999999994</v>
      </c>
    </row>
    <row r="153" spans="1:11" ht="13.5">
      <c r="A153" s="23">
        <v>105</v>
      </c>
      <c r="B153" s="249" t="s">
        <v>851</v>
      </c>
      <c r="C153" s="628" t="s">
        <v>180</v>
      </c>
      <c r="D153" s="321" t="s">
        <v>328</v>
      </c>
      <c r="E153" s="33" t="s">
        <v>894</v>
      </c>
      <c r="F153" s="629" t="s">
        <v>549</v>
      </c>
      <c r="G153" s="630" t="s">
        <v>97</v>
      </c>
      <c r="H153" s="33" t="s">
        <v>166</v>
      </c>
      <c r="I153" s="33" t="s">
        <v>2111</v>
      </c>
      <c r="J153" s="33" t="s">
        <v>2114</v>
      </c>
      <c r="K153" s="324">
        <v>6</v>
      </c>
    </row>
    <row r="154" spans="1:11" ht="13.5">
      <c r="A154" s="23">
        <v>105</v>
      </c>
      <c r="B154" s="249" t="s">
        <v>851</v>
      </c>
      <c r="C154" s="628" t="s">
        <v>180</v>
      </c>
      <c r="D154" s="321" t="s">
        <v>328</v>
      </c>
      <c r="E154" s="33" t="s">
        <v>175</v>
      </c>
      <c r="F154" s="629" t="s">
        <v>989</v>
      </c>
      <c r="G154" s="630" t="s">
        <v>2095</v>
      </c>
      <c r="H154" s="33" t="s">
        <v>19</v>
      </c>
      <c r="I154" s="33" t="s">
        <v>2111</v>
      </c>
      <c r="J154" s="33" t="s">
        <v>2112</v>
      </c>
      <c r="K154" s="324">
        <v>25</v>
      </c>
    </row>
    <row r="155" spans="1:11" ht="13.5">
      <c r="A155" s="23">
        <v>105</v>
      </c>
      <c r="B155" s="249" t="s">
        <v>851</v>
      </c>
      <c r="C155" s="628" t="s">
        <v>180</v>
      </c>
      <c r="D155" s="321" t="s">
        <v>54</v>
      </c>
      <c r="E155" s="33" t="s">
        <v>175</v>
      </c>
      <c r="F155" s="629" t="s">
        <v>994</v>
      </c>
      <c r="G155" s="630" t="s">
        <v>2095</v>
      </c>
      <c r="H155" s="33" t="s">
        <v>174</v>
      </c>
      <c r="I155" s="33" t="s">
        <v>2111</v>
      </c>
      <c r="J155" s="33" t="s">
        <v>2112</v>
      </c>
      <c r="K155" s="324">
        <v>156.79300000000001</v>
      </c>
    </row>
    <row r="156" spans="1:11" ht="13.5">
      <c r="A156" s="23">
        <v>105</v>
      </c>
      <c r="B156" s="249" t="s">
        <v>851</v>
      </c>
      <c r="C156" s="628" t="s">
        <v>180</v>
      </c>
      <c r="D156" s="321" t="s">
        <v>54</v>
      </c>
      <c r="E156" s="33" t="s">
        <v>175</v>
      </c>
      <c r="F156" s="629" t="s">
        <v>995</v>
      </c>
      <c r="G156" s="630" t="s">
        <v>2095</v>
      </c>
      <c r="H156" s="33" t="s">
        <v>174</v>
      </c>
      <c r="I156" s="33" t="s">
        <v>2086</v>
      </c>
      <c r="J156" s="33" t="s">
        <v>2089</v>
      </c>
      <c r="K156" s="324">
        <v>0</v>
      </c>
    </row>
    <row r="157" spans="1:11" ht="13.5">
      <c r="A157" s="23">
        <v>105</v>
      </c>
      <c r="B157" s="249" t="s">
        <v>851</v>
      </c>
      <c r="C157" s="628" t="s">
        <v>180</v>
      </c>
      <c r="D157" s="321" t="s">
        <v>54</v>
      </c>
      <c r="E157" s="33" t="s">
        <v>175</v>
      </c>
      <c r="F157" s="629" t="s">
        <v>996</v>
      </c>
      <c r="G157" s="630" t="s">
        <v>2095</v>
      </c>
      <c r="H157" s="33" t="s">
        <v>174</v>
      </c>
      <c r="I157" s="33" t="s">
        <v>2111</v>
      </c>
      <c r="J157" s="33" t="s">
        <v>2112</v>
      </c>
      <c r="K157" s="324">
        <v>6.6820000000000013</v>
      </c>
    </row>
    <row r="158" spans="1:11" ht="13.5">
      <c r="A158" s="23">
        <v>105</v>
      </c>
      <c r="B158" s="249" t="s">
        <v>851</v>
      </c>
      <c r="C158" s="628" t="s">
        <v>180</v>
      </c>
      <c r="D158" s="321" t="s">
        <v>54</v>
      </c>
      <c r="E158" s="33" t="s">
        <v>547</v>
      </c>
      <c r="F158" s="629" t="s">
        <v>997</v>
      </c>
      <c r="G158" s="630" t="s">
        <v>97</v>
      </c>
      <c r="H158" s="33" t="s">
        <v>166</v>
      </c>
      <c r="I158" s="33" t="s">
        <v>2111</v>
      </c>
      <c r="J158" s="33" t="s">
        <v>2114</v>
      </c>
      <c r="K158" s="324">
        <v>3.25</v>
      </c>
    </row>
    <row r="159" spans="1:11" ht="13.5">
      <c r="A159" s="23">
        <v>105</v>
      </c>
      <c r="B159" s="249" t="s">
        <v>851</v>
      </c>
      <c r="C159" s="628" t="s">
        <v>180</v>
      </c>
      <c r="D159" s="321" t="s">
        <v>54</v>
      </c>
      <c r="E159" s="33" t="s">
        <v>175</v>
      </c>
      <c r="F159" s="629" t="s">
        <v>627</v>
      </c>
      <c r="G159" s="630" t="s">
        <v>2095</v>
      </c>
      <c r="H159" s="33" t="s">
        <v>174</v>
      </c>
      <c r="I159" s="33" t="s">
        <v>2111</v>
      </c>
      <c r="J159" s="33" t="s">
        <v>2112</v>
      </c>
      <c r="K159" s="324">
        <v>8.4240000000000013</v>
      </c>
    </row>
    <row r="160" spans="1:11" ht="13.5">
      <c r="A160" s="23">
        <v>105</v>
      </c>
      <c r="B160" s="249" t="s">
        <v>851</v>
      </c>
      <c r="C160" s="628" t="s">
        <v>180</v>
      </c>
      <c r="D160" s="321" t="s">
        <v>54</v>
      </c>
      <c r="E160" s="33" t="s">
        <v>175</v>
      </c>
      <c r="F160" s="629" t="s">
        <v>797</v>
      </c>
      <c r="G160" s="630" t="s">
        <v>2095</v>
      </c>
      <c r="H160" s="33" t="s">
        <v>19</v>
      </c>
      <c r="I160" s="33" t="s">
        <v>2111</v>
      </c>
      <c r="J160" s="33" t="s">
        <v>2112</v>
      </c>
      <c r="K160" s="324">
        <v>7.48</v>
      </c>
    </row>
    <row r="161" spans="1:11" ht="13.5">
      <c r="A161" s="23">
        <v>105</v>
      </c>
      <c r="B161" s="249" t="s">
        <v>851</v>
      </c>
      <c r="C161" s="628" t="s">
        <v>180</v>
      </c>
      <c r="D161" s="321" t="s">
        <v>54</v>
      </c>
      <c r="E161" s="33" t="s">
        <v>894</v>
      </c>
      <c r="F161" s="629" t="s">
        <v>799</v>
      </c>
      <c r="G161" s="630" t="s">
        <v>2086</v>
      </c>
      <c r="H161" s="33" t="s">
        <v>174</v>
      </c>
      <c r="I161" s="33" t="s">
        <v>2086</v>
      </c>
      <c r="J161" s="33" t="s">
        <v>2089</v>
      </c>
      <c r="K161" s="324">
        <v>0</v>
      </c>
    </row>
    <row r="162" spans="1:11" ht="13.5">
      <c r="A162" s="23">
        <v>105</v>
      </c>
      <c r="B162" s="249" t="s">
        <v>851</v>
      </c>
      <c r="C162" s="628" t="s">
        <v>180</v>
      </c>
      <c r="D162" s="321" t="s">
        <v>54</v>
      </c>
      <c r="E162" s="33" t="s">
        <v>175</v>
      </c>
      <c r="F162" s="629" t="s">
        <v>998</v>
      </c>
      <c r="G162" s="630" t="s">
        <v>2095</v>
      </c>
      <c r="H162" s="33" t="s">
        <v>169</v>
      </c>
      <c r="I162" s="33" t="s">
        <v>2111</v>
      </c>
      <c r="J162" s="33" t="s">
        <v>2112</v>
      </c>
      <c r="K162" s="324">
        <v>109.59</v>
      </c>
    </row>
    <row r="163" spans="1:11" ht="13.5">
      <c r="A163" s="23">
        <v>105</v>
      </c>
      <c r="B163" s="249" t="s">
        <v>851</v>
      </c>
      <c r="C163" s="628" t="s">
        <v>180</v>
      </c>
      <c r="D163" s="321" t="s">
        <v>54</v>
      </c>
      <c r="E163" s="33" t="s">
        <v>175</v>
      </c>
      <c r="F163" s="629" t="s">
        <v>999</v>
      </c>
      <c r="G163" s="630" t="s">
        <v>2095</v>
      </c>
      <c r="H163" s="33" t="s">
        <v>44</v>
      </c>
      <c r="I163" s="33" t="s">
        <v>2111</v>
      </c>
      <c r="J163" s="33" t="s">
        <v>2112</v>
      </c>
      <c r="K163" s="324">
        <v>19.655999999999999</v>
      </c>
    </row>
    <row r="164" spans="1:11" ht="13.5">
      <c r="A164" s="23">
        <v>105</v>
      </c>
      <c r="B164" s="249" t="s">
        <v>851</v>
      </c>
      <c r="C164" s="628" t="s">
        <v>180</v>
      </c>
      <c r="D164" s="321" t="s">
        <v>54</v>
      </c>
      <c r="E164" s="33" t="s">
        <v>175</v>
      </c>
      <c r="F164" s="629" t="s">
        <v>1000</v>
      </c>
      <c r="G164" s="630" t="s">
        <v>2095</v>
      </c>
      <c r="H164" s="33" t="s">
        <v>44</v>
      </c>
      <c r="I164" s="33" t="s">
        <v>2111</v>
      </c>
      <c r="J164" s="33" t="s">
        <v>2112</v>
      </c>
      <c r="K164" s="324">
        <v>5.7525000000000004</v>
      </c>
    </row>
    <row r="165" spans="1:11" ht="13.5">
      <c r="A165" s="23">
        <v>105</v>
      </c>
      <c r="B165" s="249" t="s">
        <v>851</v>
      </c>
      <c r="C165" s="628" t="s">
        <v>180</v>
      </c>
      <c r="D165" s="321" t="s">
        <v>54</v>
      </c>
      <c r="E165" s="33" t="s">
        <v>547</v>
      </c>
      <c r="F165" s="629" t="s">
        <v>801</v>
      </c>
      <c r="G165" s="630" t="s">
        <v>97</v>
      </c>
      <c r="H165" s="33" t="s">
        <v>166</v>
      </c>
      <c r="I165" s="33" t="s">
        <v>2111</v>
      </c>
      <c r="J165" s="33" t="s">
        <v>2114</v>
      </c>
      <c r="K165" s="324">
        <v>3.25</v>
      </c>
    </row>
    <row r="166" spans="1:11" ht="13.5">
      <c r="A166" s="23">
        <v>105</v>
      </c>
      <c r="B166" s="249" t="s">
        <v>851</v>
      </c>
      <c r="C166" s="628" t="s">
        <v>180</v>
      </c>
      <c r="D166" s="321" t="s">
        <v>54</v>
      </c>
      <c r="E166" s="33" t="s">
        <v>175</v>
      </c>
      <c r="F166" s="629" t="s">
        <v>804</v>
      </c>
      <c r="G166" s="630" t="s">
        <v>2095</v>
      </c>
      <c r="H166" s="33" t="s">
        <v>44</v>
      </c>
      <c r="I166" s="33" t="s">
        <v>2111</v>
      </c>
      <c r="J166" s="33" t="s">
        <v>2112</v>
      </c>
      <c r="K166" s="324">
        <v>10.432499999999999</v>
      </c>
    </row>
    <row r="167" spans="1:11" ht="13.5">
      <c r="A167" s="23">
        <v>105</v>
      </c>
      <c r="B167" s="249" t="s">
        <v>851</v>
      </c>
      <c r="C167" s="628" t="s">
        <v>180</v>
      </c>
      <c r="D167" s="321" t="s">
        <v>54</v>
      </c>
      <c r="E167" s="33" t="s">
        <v>175</v>
      </c>
      <c r="F167" s="629" t="s">
        <v>1001</v>
      </c>
      <c r="G167" s="630" t="s">
        <v>2095</v>
      </c>
      <c r="H167" s="33" t="s">
        <v>44</v>
      </c>
      <c r="I167" s="33" t="s">
        <v>2111</v>
      </c>
      <c r="J167" s="33" t="s">
        <v>2112</v>
      </c>
      <c r="K167" s="324">
        <v>13.123500000000002</v>
      </c>
    </row>
    <row r="168" spans="1:11" ht="13.5">
      <c r="A168" s="23">
        <v>105</v>
      </c>
      <c r="B168" s="249" t="s">
        <v>851</v>
      </c>
      <c r="C168" s="628" t="s">
        <v>180</v>
      </c>
      <c r="D168" s="321" t="s">
        <v>622</v>
      </c>
      <c r="E168" s="33" t="s">
        <v>547</v>
      </c>
      <c r="F168" s="629" t="s">
        <v>1013</v>
      </c>
      <c r="G168" s="630" t="s">
        <v>2086</v>
      </c>
      <c r="H168" s="33"/>
      <c r="I168" s="33" t="s">
        <v>2086</v>
      </c>
      <c r="J168" s="33" t="s">
        <v>2089</v>
      </c>
      <c r="K168" s="324">
        <v>0</v>
      </c>
    </row>
    <row r="169" spans="1:11" ht="13.5">
      <c r="A169" s="23">
        <v>105</v>
      </c>
      <c r="B169" s="249" t="s">
        <v>851</v>
      </c>
      <c r="C169" s="628" t="s">
        <v>180</v>
      </c>
      <c r="D169" s="321" t="s">
        <v>622</v>
      </c>
      <c r="E169" s="33" t="s">
        <v>175</v>
      </c>
      <c r="F169" s="629" t="s">
        <v>1014</v>
      </c>
      <c r="G169" s="630" t="s">
        <v>2095</v>
      </c>
      <c r="H169" s="33" t="s">
        <v>174</v>
      </c>
      <c r="I169" s="33" t="s">
        <v>2111</v>
      </c>
      <c r="J169" s="33" t="s">
        <v>2112</v>
      </c>
      <c r="K169" s="324">
        <v>1.3</v>
      </c>
    </row>
    <row r="170" spans="1:11" ht="13.5">
      <c r="A170" s="23">
        <v>105</v>
      </c>
      <c r="B170" s="249" t="s">
        <v>851</v>
      </c>
      <c r="C170" s="628" t="s">
        <v>180</v>
      </c>
      <c r="D170" s="321" t="s">
        <v>622</v>
      </c>
      <c r="E170" s="33" t="s">
        <v>547</v>
      </c>
      <c r="F170" s="629" t="s">
        <v>931</v>
      </c>
      <c r="G170" s="630" t="s">
        <v>2086</v>
      </c>
      <c r="H170" s="33"/>
      <c r="I170" s="33" t="s">
        <v>2086</v>
      </c>
      <c r="J170" s="33" t="s">
        <v>2089</v>
      </c>
      <c r="K170" s="324">
        <v>0</v>
      </c>
    </row>
    <row r="171" spans="1:11" ht="13.5">
      <c r="A171" s="23">
        <v>105</v>
      </c>
      <c r="B171" s="249" t="s">
        <v>851</v>
      </c>
      <c r="C171" s="628" t="s">
        <v>180</v>
      </c>
      <c r="D171" s="321" t="s">
        <v>622</v>
      </c>
      <c r="E171" s="33" t="s">
        <v>175</v>
      </c>
      <c r="F171" s="629" t="s">
        <v>1018</v>
      </c>
      <c r="G171" s="630" t="s">
        <v>2095</v>
      </c>
      <c r="H171" s="33" t="s">
        <v>44</v>
      </c>
      <c r="I171" s="33" t="s">
        <v>2111</v>
      </c>
      <c r="J171" s="33" t="s">
        <v>2112</v>
      </c>
      <c r="K171" s="324">
        <v>11.602499999999999</v>
      </c>
    </row>
    <row r="172" spans="1:11" ht="13.5">
      <c r="A172" s="23">
        <v>106</v>
      </c>
      <c r="B172" s="249" t="s">
        <v>1036</v>
      </c>
      <c r="C172" s="628" t="s">
        <v>22</v>
      </c>
      <c r="D172" s="321"/>
      <c r="E172" s="33" t="s">
        <v>292</v>
      </c>
      <c r="F172" s="629" t="s">
        <v>16</v>
      </c>
      <c r="G172" s="630" t="s">
        <v>2113</v>
      </c>
      <c r="H172" s="33" t="s">
        <v>109</v>
      </c>
      <c r="I172" s="33" t="s">
        <v>2086</v>
      </c>
      <c r="J172" s="33" t="s">
        <v>2089</v>
      </c>
      <c r="K172" s="324">
        <v>39</v>
      </c>
    </row>
    <row r="173" spans="1:11" ht="13.5">
      <c r="A173" s="23">
        <v>116</v>
      </c>
      <c r="B173" s="249" t="s">
        <v>238</v>
      </c>
      <c r="C173" s="628" t="s">
        <v>22</v>
      </c>
      <c r="D173" s="321"/>
      <c r="E173" s="33" t="s">
        <v>175</v>
      </c>
      <c r="F173" s="629" t="s">
        <v>16</v>
      </c>
      <c r="G173" s="630" t="s">
        <v>2095</v>
      </c>
      <c r="H173" s="33" t="s">
        <v>160</v>
      </c>
      <c r="I173" s="33" t="s">
        <v>2111</v>
      </c>
      <c r="J173" s="33" t="s">
        <v>2112</v>
      </c>
      <c r="K173" s="324">
        <v>5</v>
      </c>
    </row>
    <row r="174" spans="1:11" ht="13.5">
      <c r="A174" s="23">
        <v>116</v>
      </c>
      <c r="B174" s="249" t="s">
        <v>238</v>
      </c>
      <c r="C174" s="628" t="s">
        <v>22</v>
      </c>
      <c r="D174" s="321"/>
      <c r="E174" s="33" t="s">
        <v>175</v>
      </c>
      <c r="F174" s="629" t="s">
        <v>182</v>
      </c>
      <c r="G174" s="630" t="s">
        <v>2095</v>
      </c>
      <c r="H174" s="33" t="s">
        <v>109</v>
      </c>
      <c r="I174" s="33" t="s">
        <v>2111</v>
      </c>
      <c r="J174" s="33" t="s">
        <v>2112</v>
      </c>
      <c r="K174" s="324">
        <v>6</v>
      </c>
    </row>
    <row r="175" spans="1:11" ht="13.5">
      <c r="A175" s="23">
        <v>116</v>
      </c>
      <c r="B175" s="249" t="s">
        <v>238</v>
      </c>
      <c r="C175" s="628" t="s">
        <v>22</v>
      </c>
      <c r="D175" s="321"/>
      <c r="E175" s="33" t="s">
        <v>175</v>
      </c>
      <c r="F175" s="629" t="s">
        <v>1824</v>
      </c>
      <c r="G175" s="630" t="s">
        <v>2095</v>
      </c>
      <c r="H175" s="33" t="s">
        <v>160</v>
      </c>
      <c r="I175" s="33" t="s">
        <v>2111</v>
      </c>
      <c r="J175" s="33" t="s">
        <v>2112</v>
      </c>
      <c r="K175" s="324">
        <v>15</v>
      </c>
    </row>
    <row r="176" spans="1:11" ht="13.5">
      <c r="A176" s="23">
        <v>117</v>
      </c>
      <c r="B176" s="249" t="s">
        <v>297</v>
      </c>
      <c r="C176" s="628" t="s">
        <v>22</v>
      </c>
      <c r="D176" s="321"/>
      <c r="E176" s="33" t="s">
        <v>175</v>
      </c>
      <c r="F176" s="629" t="s">
        <v>1833</v>
      </c>
      <c r="G176" s="630" t="s">
        <v>2095</v>
      </c>
      <c r="H176" s="33" t="s">
        <v>160</v>
      </c>
      <c r="I176" s="33" t="s">
        <v>2111</v>
      </c>
      <c r="J176" s="33" t="s">
        <v>2112</v>
      </c>
      <c r="K176" s="324">
        <v>13</v>
      </c>
    </row>
    <row r="177" spans="1:11" ht="13.5">
      <c r="A177" s="23">
        <v>117</v>
      </c>
      <c r="B177" s="249" t="s">
        <v>297</v>
      </c>
      <c r="C177" s="628" t="s">
        <v>22</v>
      </c>
      <c r="D177" s="321"/>
      <c r="E177" s="33" t="s">
        <v>175</v>
      </c>
      <c r="F177" s="629" t="s">
        <v>213</v>
      </c>
      <c r="G177" s="630" t="s">
        <v>2095</v>
      </c>
      <c r="H177" s="33" t="s">
        <v>160</v>
      </c>
      <c r="I177" s="33" t="s">
        <v>2111</v>
      </c>
      <c r="J177" s="33" t="s">
        <v>2112</v>
      </c>
      <c r="K177" s="324">
        <v>11</v>
      </c>
    </row>
    <row r="178" spans="1:11" ht="13.5">
      <c r="A178" s="23">
        <v>117</v>
      </c>
      <c r="B178" s="249" t="s">
        <v>297</v>
      </c>
      <c r="C178" s="628" t="s">
        <v>22</v>
      </c>
      <c r="D178" s="321"/>
      <c r="E178" s="33" t="s">
        <v>175</v>
      </c>
      <c r="F178" s="629" t="s">
        <v>16</v>
      </c>
      <c r="G178" s="630" t="s">
        <v>2095</v>
      </c>
      <c r="H178" s="33" t="s">
        <v>160</v>
      </c>
      <c r="I178" s="33" t="s">
        <v>2111</v>
      </c>
      <c r="J178" s="33" t="s">
        <v>2112</v>
      </c>
      <c r="K178" s="324">
        <v>3</v>
      </c>
    </row>
    <row r="179" spans="1:11" ht="13.5">
      <c r="A179" s="23">
        <v>117</v>
      </c>
      <c r="B179" s="249" t="s">
        <v>297</v>
      </c>
      <c r="C179" s="628" t="s">
        <v>22</v>
      </c>
      <c r="D179" s="321"/>
      <c r="E179" s="33" t="s">
        <v>175</v>
      </c>
      <c r="F179" s="629" t="s">
        <v>182</v>
      </c>
      <c r="G179" s="630" t="s">
        <v>2095</v>
      </c>
      <c r="H179" s="33" t="s">
        <v>109</v>
      </c>
      <c r="I179" s="33" t="s">
        <v>2111</v>
      </c>
      <c r="J179" s="33" t="s">
        <v>2112</v>
      </c>
      <c r="K179" s="324">
        <v>7</v>
      </c>
    </row>
    <row r="180" spans="1:11" ht="13.5">
      <c r="A180" s="23">
        <v>117</v>
      </c>
      <c r="B180" s="249" t="s">
        <v>297</v>
      </c>
      <c r="C180" s="628" t="s">
        <v>22</v>
      </c>
      <c r="D180" s="321"/>
      <c r="E180" s="33" t="s">
        <v>175</v>
      </c>
      <c r="F180" s="629" t="s">
        <v>183</v>
      </c>
      <c r="G180" s="630" t="s">
        <v>2095</v>
      </c>
      <c r="H180" s="33" t="s">
        <v>109</v>
      </c>
      <c r="I180" s="33" t="s">
        <v>2111</v>
      </c>
      <c r="J180" s="33" t="s">
        <v>2112</v>
      </c>
      <c r="K180" s="324">
        <v>19</v>
      </c>
    </row>
    <row r="181" spans="1:11" ht="13.5">
      <c r="A181" s="23">
        <v>117</v>
      </c>
      <c r="B181" s="249" t="s">
        <v>297</v>
      </c>
      <c r="C181" s="628" t="s">
        <v>22</v>
      </c>
      <c r="D181" s="321"/>
      <c r="E181" s="33" t="s">
        <v>175</v>
      </c>
      <c r="F181" s="629" t="s">
        <v>1843</v>
      </c>
      <c r="G181" s="630" t="s">
        <v>2095</v>
      </c>
      <c r="H181" s="33" t="s">
        <v>160</v>
      </c>
      <c r="I181" s="33" t="s">
        <v>2111</v>
      </c>
      <c r="J181" s="33" t="s">
        <v>2112</v>
      </c>
      <c r="K181" s="324">
        <v>12</v>
      </c>
    </row>
    <row r="182" spans="1:11" ht="13.5">
      <c r="A182" s="23">
        <v>117</v>
      </c>
      <c r="B182" s="249" t="s">
        <v>297</v>
      </c>
      <c r="C182" s="628" t="s">
        <v>22</v>
      </c>
      <c r="D182" s="321"/>
      <c r="E182" s="33" t="s">
        <v>175</v>
      </c>
      <c r="F182" s="629" t="s">
        <v>1847</v>
      </c>
      <c r="G182" s="630" t="s">
        <v>2095</v>
      </c>
      <c r="H182" s="33" t="s">
        <v>160</v>
      </c>
      <c r="I182" s="33" t="s">
        <v>2111</v>
      </c>
      <c r="J182" s="33" t="s">
        <v>2112</v>
      </c>
      <c r="K182" s="324">
        <v>4</v>
      </c>
    </row>
    <row r="183" spans="1:11" ht="13.5">
      <c r="A183" s="23">
        <v>118</v>
      </c>
      <c r="B183" s="249" t="s">
        <v>198</v>
      </c>
      <c r="C183" s="628" t="s">
        <v>22</v>
      </c>
      <c r="D183" s="321"/>
      <c r="E183" s="33" t="s">
        <v>175</v>
      </c>
      <c r="F183" s="629" t="s">
        <v>16</v>
      </c>
      <c r="G183" s="630" t="s">
        <v>2095</v>
      </c>
      <c r="H183" s="33" t="s">
        <v>109</v>
      </c>
      <c r="I183" s="33" t="s">
        <v>2111</v>
      </c>
      <c r="J183" s="33" t="s">
        <v>2112</v>
      </c>
      <c r="K183" s="324">
        <v>6</v>
      </c>
    </row>
    <row r="184" spans="1:11" ht="13.5">
      <c r="A184" s="23">
        <v>119</v>
      </c>
      <c r="B184" s="249" t="s">
        <v>311</v>
      </c>
      <c r="C184" s="628" t="s">
        <v>22</v>
      </c>
      <c r="D184" s="321"/>
      <c r="E184" s="33" t="s">
        <v>175</v>
      </c>
      <c r="F184" s="629" t="s">
        <v>16</v>
      </c>
      <c r="G184" s="630" t="s">
        <v>2095</v>
      </c>
      <c r="H184" s="33" t="s">
        <v>176</v>
      </c>
      <c r="I184" s="33" t="s">
        <v>2111</v>
      </c>
      <c r="J184" s="33" t="s">
        <v>2112</v>
      </c>
      <c r="K184" s="324">
        <v>37</v>
      </c>
    </row>
    <row r="185" spans="1:11" ht="13.5">
      <c r="A185" s="23">
        <v>120</v>
      </c>
      <c r="B185" s="249" t="s">
        <v>301</v>
      </c>
      <c r="C185" s="628" t="s">
        <v>22</v>
      </c>
      <c r="D185" s="321"/>
      <c r="E185" s="33" t="s">
        <v>175</v>
      </c>
      <c r="F185" s="629" t="s">
        <v>16</v>
      </c>
      <c r="G185" s="630" t="s">
        <v>2095</v>
      </c>
      <c r="H185" s="33" t="s">
        <v>1327</v>
      </c>
      <c r="I185" s="33" t="s">
        <v>2111</v>
      </c>
      <c r="J185" s="33" t="s">
        <v>2112</v>
      </c>
      <c r="K185" s="324">
        <v>75</v>
      </c>
    </row>
    <row r="186" spans="1:11" ht="13.5">
      <c r="A186" s="23">
        <v>120</v>
      </c>
      <c r="B186" s="249" t="s">
        <v>301</v>
      </c>
      <c r="C186" s="628" t="s">
        <v>22</v>
      </c>
      <c r="D186" s="321"/>
      <c r="E186" s="33" t="s">
        <v>303</v>
      </c>
      <c r="F186" s="629" t="s">
        <v>182</v>
      </c>
      <c r="G186" s="630" t="s">
        <v>2095</v>
      </c>
      <c r="H186" s="33" t="s">
        <v>160</v>
      </c>
      <c r="I186" s="33" t="s">
        <v>2111</v>
      </c>
      <c r="J186" s="33" t="s">
        <v>2112</v>
      </c>
      <c r="K186" s="324">
        <v>12</v>
      </c>
    </row>
    <row r="187" spans="1:11" ht="13.5">
      <c r="A187" s="23">
        <v>120</v>
      </c>
      <c r="B187" s="249" t="s">
        <v>301</v>
      </c>
      <c r="C187" s="628" t="s">
        <v>22</v>
      </c>
      <c r="D187" s="321"/>
      <c r="E187" s="33" t="s">
        <v>303</v>
      </c>
      <c r="F187" s="629" t="s">
        <v>1843</v>
      </c>
      <c r="G187" s="630" t="s">
        <v>2095</v>
      </c>
      <c r="H187" s="33" t="s">
        <v>160</v>
      </c>
      <c r="I187" s="33" t="s">
        <v>2111</v>
      </c>
      <c r="J187" s="33" t="s">
        <v>2112</v>
      </c>
      <c r="K187" s="324">
        <v>12</v>
      </c>
    </row>
    <row r="188" spans="1:11" ht="13.5">
      <c r="A188" s="23">
        <v>120</v>
      </c>
      <c r="B188" s="249" t="s">
        <v>301</v>
      </c>
      <c r="C188" s="628" t="s">
        <v>22</v>
      </c>
      <c r="D188" s="321"/>
      <c r="E188" s="33" t="s">
        <v>303</v>
      </c>
      <c r="F188" s="629" t="s">
        <v>1857</v>
      </c>
      <c r="G188" s="630" t="s">
        <v>2095</v>
      </c>
      <c r="H188" s="33" t="s">
        <v>160</v>
      </c>
      <c r="I188" s="33" t="s">
        <v>2111</v>
      </c>
      <c r="J188" s="33" t="s">
        <v>2112</v>
      </c>
      <c r="K188" s="324">
        <v>10</v>
      </c>
    </row>
    <row r="189" spans="1:11" ht="13.5">
      <c r="A189" s="23">
        <v>121</v>
      </c>
      <c r="B189" s="249" t="s">
        <v>181</v>
      </c>
      <c r="C189" s="628" t="s">
        <v>22</v>
      </c>
      <c r="D189" s="321"/>
      <c r="E189" s="33" t="s">
        <v>175</v>
      </c>
      <c r="F189" s="629" t="s">
        <v>16</v>
      </c>
      <c r="G189" s="630" t="s">
        <v>2095</v>
      </c>
      <c r="H189" s="33" t="s">
        <v>160</v>
      </c>
      <c r="I189" s="33" t="s">
        <v>2111</v>
      </c>
      <c r="J189" s="33" t="s">
        <v>2112</v>
      </c>
      <c r="K189" s="324">
        <v>9</v>
      </c>
    </row>
    <row r="190" spans="1:11" ht="13.5">
      <c r="A190" s="23">
        <v>121</v>
      </c>
      <c r="B190" s="249" t="s">
        <v>181</v>
      </c>
      <c r="C190" s="628" t="s">
        <v>22</v>
      </c>
      <c r="D190" s="321"/>
      <c r="E190" s="33" t="s">
        <v>175</v>
      </c>
      <c r="F190" s="629" t="s">
        <v>182</v>
      </c>
      <c r="G190" s="630" t="s">
        <v>2095</v>
      </c>
      <c r="H190" s="33" t="s">
        <v>109</v>
      </c>
      <c r="I190" s="33" t="s">
        <v>2111</v>
      </c>
      <c r="J190" s="33" t="s">
        <v>2112</v>
      </c>
      <c r="K190" s="324">
        <v>6.55</v>
      </c>
    </row>
    <row r="191" spans="1:11" ht="13.5">
      <c r="A191" s="23">
        <v>121</v>
      </c>
      <c r="B191" s="249" t="s">
        <v>181</v>
      </c>
      <c r="C191" s="628" t="s">
        <v>22</v>
      </c>
      <c r="D191" s="321"/>
      <c r="E191" s="33" t="s">
        <v>175</v>
      </c>
      <c r="F191" s="629" t="s">
        <v>183</v>
      </c>
      <c r="G191" s="630" t="s">
        <v>2095</v>
      </c>
      <c r="H191" s="33" t="s">
        <v>160</v>
      </c>
      <c r="I191" s="33" t="s">
        <v>2111</v>
      </c>
      <c r="J191" s="33" t="s">
        <v>2112</v>
      </c>
      <c r="K191" s="324">
        <v>8.7200000000000006</v>
      </c>
    </row>
    <row r="192" spans="1:11" ht="13.5">
      <c r="A192" s="23">
        <v>121</v>
      </c>
      <c r="B192" s="249" t="s">
        <v>181</v>
      </c>
      <c r="C192" s="628" t="s">
        <v>22</v>
      </c>
      <c r="D192" s="321"/>
      <c r="E192" s="33" t="s">
        <v>175</v>
      </c>
      <c r="F192" s="629" t="s">
        <v>1870</v>
      </c>
      <c r="G192" s="630" t="s">
        <v>2095</v>
      </c>
      <c r="H192" s="33" t="s">
        <v>176</v>
      </c>
      <c r="I192" s="33" t="s">
        <v>2111</v>
      </c>
      <c r="J192" s="33" t="s">
        <v>2112</v>
      </c>
      <c r="K192" s="324">
        <v>17.940000000000001</v>
      </c>
    </row>
    <row r="193" spans="1:11" ht="13.5">
      <c r="A193" s="23">
        <v>1002</v>
      </c>
      <c r="B193" s="249" t="s">
        <v>1071</v>
      </c>
      <c r="C193" s="628" t="s">
        <v>1044</v>
      </c>
      <c r="D193" s="321"/>
      <c r="E193" s="33" t="s">
        <v>175</v>
      </c>
      <c r="F193" s="629" t="s">
        <v>735</v>
      </c>
      <c r="G193" s="630" t="s">
        <v>2095</v>
      </c>
      <c r="H193" s="33" t="s">
        <v>109</v>
      </c>
      <c r="I193" s="33" t="s">
        <v>2111</v>
      </c>
      <c r="J193" s="33" t="s">
        <v>2112</v>
      </c>
      <c r="K193" s="324">
        <v>2.8</v>
      </c>
    </row>
    <row r="194" spans="1:11" ht="13.5">
      <c r="A194" s="23">
        <v>303</v>
      </c>
      <c r="B194" s="249" t="s">
        <v>133</v>
      </c>
      <c r="C194" s="628" t="s">
        <v>1411</v>
      </c>
      <c r="D194" s="321"/>
      <c r="E194" s="33" t="s">
        <v>292</v>
      </c>
      <c r="F194" s="629" t="s">
        <v>1893</v>
      </c>
      <c r="G194" s="630" t="s">
        <v>2095</v>
      </c>
      <c r="H194" s="33" t="s">
        <v>12</v>
      </c>
      <c r="I194" s="33" t="s">
        <v>2111</v>
      </c>
      <c r="J194" s="33" t="s">
        <v>2112</v>
      </c>
      <c r="K194" s="324">
        <v>4</v>
      </c>
    </row>
    <row r="195" spans="1:11" ht="13.5">
      <c r="A195" s="23">
        <v>303</v>
      </c>
      <c r="B195" s="249" t="s">
        <v>133</v>
      </c>
      <c r="C195" s="628" t="s">
        <v>1411</v>
      </c>
      <c r="D195" s="321"/>
      <c r="E195" s="33" t="s">
        <v>292</v>
      </c>
      <c r="F195" s="629" t="s">
        <v>1894</v>
      </c>
      <c r="G195" s="630" t="s">
        <v>2095</v>
      </c>
      <c r="H195" s="33" t="s">
        <v>160</v>
      </c>
      <c r="I195" s="33" t="s">
        <v>2111</v>
      </c>
      <c r="J195" s="33" t="s">
        <v>2112</v>
      </c>
      <c r="K195" s="324">
        <v>16</v>
      </c>
    </row>
    <row r="196" spans="1:11" ht="13.5">
      <c r="A196" s="23">
        <v>303</v>
      </c>
      <c r="B196" s="249" t="s">
        <v>133</v>
      </c>
      <c r="C196" s="628" t="s">
        <v>1411</v>
      </c>
      <c r="D196" s="321"/>
      <c r="E196" s="33" t="s">
        <v>292</v>
      </c>
      <c r="F196" s="629" t="s">
        <v>1895</v>
      </c>
      <c r="G196" s="630" t="s">
        <v>2095</v>
      </c>
      <c r="H196" s="33" t="s">
        <v>160</v>
      </c>
      <c r="I196" s="33" t="s">
        <v>2111</v>
      </c>
      <c r="J196" s="33" t="s">
        <v>2112</v>
      </c>
      <c r="K196" s="324">
        <v>7</v>
      </c>
    </row>
    <row r="197" spans="1:11" ht="13.5">
      <c r="A197" s="23">
        <v>307</v>
      </c>
      <c r="B197" s="249" t="s">
        <v>1412</v>
      </c>
      <c r="C197" s="628" t="s">
        <v>1411</v>
      </c>
      <c r="D197" s="321"/>
      <c r="E197" s="33" t="s">
        <v>292</v>
      </c>
      <c r="F197" s="629" t="s">
        <v>182</v>
      </c>
      <c r="G197" s="630" t="s">
        <v>2095</v>
      </c>
      <c r="H197" s="33" t="s">
        <v>109</v>
      </c>
      <c r="I197" s="33" t="s">
        <v>2111</v>
      </c>
      <c r="J197" s="33" t="s">
        <v>2112</v>
      </c>
      <c r="K197" s="324">
        <v>3</v>
      </c>
    </row>
  </sheetData>
  <autoFilter ref="A37:K197" xr:uid="{31214677-D320-4899-878A-623F847A0B93}"/>
  <mergeCells count="1">
    <mergeCell ref="A12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K59"/>
  <sheetViews>
    <sheetView showGridLines="0" tabSelected="1" zoomScaleNormal="100" workbookViewId="0">
      <pane ySplit="12" topLeftCell="A13" activePane="bottomLeft" state="frozen"/>
      <selection activeCell="F32" sqref="F32"/>
      <selection pane="bottomLeft" activeCell="B11" sqref="B11"/>
    </sheetView>
  </sheetViews>
  <sheetFormatPr defaultColWidth="9.28515625" defaultRowHeight="13.5"/>
  <cols>
    <col min="1" max="1" width="35.5703125" style="6" customWidth="1"/>
    <col min="2" max="2" width="22.85546875" style="6" bestFit="1" customWidth="1"/>
    <col min="3" max="3" width="16.140625" style="6" customWidth="1"/>
    <col min="4" max="4" width="3.7109375" style="6" customWidth="1"/>
    <col min="5" max="5" width="12.7109375" style="6" customWidth="1"/>
    <col min="6" max="6" width="12" style="6" customWidth="1"/>
    <col min="7" max="7" width="12.7109375" style="6" customWidth="1"/>
    <col min="8" max="8" width="19.85546875" style="6" customWidth="1"/>
    <col min="9" max="9" width="2.42578125" style="6" customWidth="1"/>
    <col min="10" max="10" width="18" style="6" bestFit="1" customWidth="1"/>
    <col min="11" max="16384" width="9.28515625" style="6"/>
  </cols>
  <sheetData>
    <row r="1" spans="1:11">
      <c r="A1" s="348" t="s">
        <v>2</v>
      </c>
      <c r="B1" s="5"/>
      <c r="C1" s="5"/>
    </row>
    <row r="2" spans="1:11">
      <c r="A2" s="8"/>
      <c r="B2" s="5"/>
      <c r="C2" s="5"/>
    </row>
    <row r="3" spans="1:11" s="34" customFormat="1" ht="17.25">
      <c r="A3" s="349" t="s">
        <v>3</v>
      </c>
      <c r="B3" s="617" t="s">
        <v>2079</v>
      </c>
      <c r="C3" s="350"/>
      <c r="D3" s="351"/>
      <c r="E3" s="11"/>
      <c r="F3" s="11"/>
      <c r="G3" s="6"/>
      <c r="H3" s="12"/>
    </row>
    <row r="4" spans="1:11" s="34" customFormat="1" ht="17.25">
      <c r="A4" s="349" t="s">
        <v>8</v>
      </c>
      <c r="B4" s="350" t="str">
        <f ca="1">MID(CELL("bestandsnaam",$D$11),SEARCH("]",CELL("bestandsnaam",$D$11),1)+1,256)</f>
        <v>1-Inschrijfstaat</v>
      </c>
      <c r="C4" s="350"/>
      <c r="D4" s="351"/>
      <c r="E4" s="11"/>
      <c r="F4" s="11"/>
      <c r="G4" s="6"/>
      <c r="H4" s="6"/>
      <c r="I4" s="6"/>
    </row>
    <row r="5" spans="1:11" s="34" customFormat="1" ht="17.25">
      <c r="A5" s="349" t="s">
        <v>4</v>
      </c>
      <c r="B5" s="350" t="s">
        <v>1080</v>
      </c>
      <c r="C5" s="350"/>
      <c r="D5" s="351"/>
      <c r="E5" s="11"/>
      <c r="F5" s="11"/>
      <c r="G5" s="6"/>
      <c r="H5" s="12"/>
      <c r="J5" s="539"/>
    </row>
    <row r="6" spans="1:11" s="34" customFormat="1" ht="17.25">
      <c r="A6" s="349" t="s">
        <v>9</v>
      </c>
      <c r="B6" s="617" t="s">
        <v>2080</v>
      </c>
      <c r="C6" s="350"/>
      <c r="D6" s="351"/>
      <c r="E6" s="11"/>
      <c r="F6" s="11"/>
      <c r="G6" s="6"/>
      <c r="H6" s="6"/>
      <c r="I6" s="6"/>
    </row>
    <row r="7" spans="1:11" s="34" customFormat="1" ht="17.25">
      <c r="A7" s="349" t="s">
        <v>6</v>
      </c>
      <c r="B7" s="675" t="s">
        <v>2054</v>
      </c>
      <c r="C7" s="675"/>
      <c r="D7" s="676"/>
      <c r="E7" s="11"/>
      <c r="F7" s="11"/>
      <c r="G7" s="6"/>
      <c r="H7" s="12"/>
    </row>
    <row r="8" spans="1:11" s="34" customFormat="1" ht="17.25">
      <c r="A8" s="349" t="s">
        <v>7</v>
      </c>
      <c r="B8" s="573" t="s">
        <v>2052</v>
      </c>
      <c r="C8" s="16"/>
      <c r="D8" s="11"/>
      <c r="E8" s="11"/>
      <c r="F8" s="11"/>
      <c r="G8" s="6"/>
      <c r="H8" s="12"/>
    </row>
    <row r="9" spans="1:11" s="34" customFormat="1" ht="17.25">
      <c r="A9" s="349" t="s">
        <v>0</v>
      </c>
      <c r="B9" s="16" t="s">
        <v>2001</v>
      </c>
      <c r="C9" s="16"/>
      <c r="D9" s="11"/>
      <c r="E9" s="11"/>
      <c r="F9" s="11"/>
      <c r="G9" s="6"/>
      <c r="H9" s="12"/>
    </row>
    <row r="10" spans="1:11" s="34" customFormat="1" ht="17.25">
      <c r="A10" s="607" t="s">
        <v>2067</v>
      </c>
      <c r="B10" s="608" t="s">
        <v>2120</v>
      </c>
      <c r="C10" s="16"/>
      <c r="D10" s="11"/>
      <c r="E10" s="11"/>
      <c r="F10" s="11"/>
      <c r="G10" s="6"/>
      <c r="H10" s="12"/>
    </row>
    <row r="11" spans="1:11" s="34" customFormat="1" ht="17.25">
      <c r="A11" s="35"/>
      <c r="H11" s="36"/>
    </row>
    <row r="12" spans="1:11" s="34" customFormat="1" ht="17.25">
      <c r="A12" s="684" t="s">
        <v>1706</v>
      </c>
      <c r="B12" s="685"/>
      <c r="C12" s="685"/>
      <c r="D12" s="685"/>
      <c r="E12" s="685"/>
      <c r="F12" s="685"/>
      <c r="G12" s="685"/>
      <c r="H12" s="686"/>
    </row>
    <row r="13" spans="1:11" ht="17.25">
      <c r="I13" s="34"/>
    </row>
    <row r="14" spans="1:11">
      <c r="A14" s="352"/>
      <c r="D14" s="353"/>
      <c r="E14" s="353"/>
      <c r="F14" s="353"/>
      <c r="G14" s="353"/>
      <c r="H14" s="572" t="s">
        <v>1081</v>
      </c>
      <c r="I14" s="37"/>
      <c r="K14" s="549"/>
    </row>
    <row r="15" spans="1:11">
      <c r="A15" s="38"/>
      <c r="G15" s="37"/>
      <c r="H15" s="39"/>
      <c r="I15" s="40"/>
      <c r="K15" s="549"/>
    </row>
    <row r="16" spans="1:11">
      <c r="A16" s="41" t="str">
        <f ca="1">'4-Schrobben vloeren'!B4</f>
        <v>4-Schrobben vloeren</v>
      </c>
      <c r="H16" s="39" t="e">
        <f>'4-Schrobben vloeren'!N41</f>
        <v>#DIV/0!</v>
      </c>
      <c r="K16" s="549"/>
    </row>
    <row r="17" spans="1:11">
      <c r="H17" s="39"/>
      <c r="K17" s="549"/>
    </row>
    <row r="18" spans="1:11">
      <c r="A18" s="6" t="str">
        <f ca="1">'5-Aanvullend'!C4</f>
        <v>5-Aanvullend</v>
      </c>
      <c r="H18" s="39">
        <f>'5-Aanvullend'!J39</f>
        <v>0</v>
      </c>
      <c r="K18" s="549"/>
    </row>
    <row r="19" spans="1:11">
      <c r="H19" s="39"/>
      <c r="K19" s="549"/>
    </row>
    <row r="20" spans="1:11">
      <c r="A20" s="41" t="str">
        <f ca="1">'6-Ballastbed '!B4</f>
        <v xml:space="preserve">6-Ballastbed </v>
      </c>
      <c r="H20" s="39">
        <f>'6-Ballastbed '!L193</f>
        <v>0</v>
      </c>
      <c r="K20" s="549"/>
    </row>
    <row r="21" spans="1:11">
      <c r="A21" s="41"/>
      <c r="H21" s="39"/>
      <c r="K21" s="549"/>
    </row>
    <row r="22" spans="1:11">
      <c r="A22" s="41" t="str">
        <f ca="1">'7-Liftbodems'!C4</f>
        <v>7-Liftbodems</v>
      </c>
      <c r="H22" s="39">
        <f>'7-Liftbodems'!J56</f>
        <v>0</v>
      </c>
      <c r="K22" s="549"/>
    </row>
    <row r="23" spans="1:11">
      <c r="H23" s="39"/>
      <c r="K23" s="549"/>
    </row>
    <row r="24" spans="1:11">
      <c r="A24" s="41" t="str">
        <f ca="1">'8-Geveldelen  en wanden'!B4</f>
        <v>8-Geveldelen  en wanden</v>
      </c>
      <c r="H24" s="39">
        <f>'8-Geveldelen  en wanden'!I47</f>
        <v>0</v>
      </c>
      <c r="K24" s="549"/>
    </row>
    <row r="25" spans="1:11">
      <c r="A25" s="41"/>
      <c r="H25" s="39"/>
      <c r="K25" s="549"/>
    </row>
    <row r="26" spans="1:11">
      <c r="A26" s="41" t="str">
        <f ca="1">'10-Glas kosten totaal'!D4</f>
        <v>10-Glas kosten totaal</v>
      </c>
      <c r="H26" s="39">
        <f ca="1">'10-Glas kosten totaal'!M74</f>
        <v>0</v>
      </c>
      <c r="K26" s="549"/>
    </row>
    <row r="27" spans="1:11">
      <c r="A27" s="41"/>
      <c r="H27" s="39"/>
      <c r="K27" s="549"/>
    </row>
    <row r="28" spans="1:11">
      <c r="A28" s="41" t="str">
        <f ca="1">'11-Machinekosten'!B4</f>
        <v>11-Machinekosten</v>
      </c>
      <c r="H28" s="39">
        <f>'11-Machinekosten'!P44</f>
        <v>0</v>
      </c>
      <c r="K28" s="549"/>
    </row>
    <row r="29" spans="1:11">
      <c r="H29" s="39"/>
      <c r="K29" s="549"/>
    </row>
    <row r="30" spans="1:11">
      <c r="A30" s="41" t="str">
        <f ca="1">'12-Periodieke beurt'!C4</f>
        <v>12-Periodieke beurt</v>
      </c>
      <c r="H30" s="39">
        <f>'12-Periodieke beurt'!L67</f>
        <v>0</v>
      </c>
      <c r="K30" s="549"/>
    </row>
    <row r="31" spans="1:11">
      <c r="H31" s="39"/>
      <c r="K31" s="549"/>
    </row>
    <row r="32" spans="1:11">
      <c r="A32" s="41" t="str">
        <f ca="1">'14-Gelijkrichter stations'!C4</f>
        <v>14-Gelijkrichter stations</v>
      </c>
      <c r="H32" s="39">
        <f>'14-Gelijkrichter stations'!L31</f>
        <v>0</v>
      </c>
      <c r="K32" s="549"/>
    </row>
    <row r="33" spans="1:11">
      <c r="H33" s="39"/>
      <c r="K33" s="549"/>
    </row>
    <row r="34" spans="1:11">
      <c r="A34" s="41" t="str">
        <f ca="1">'15- Dienstruimten'!C4</f>
        <v>15- Dienstruimten</v>
      </c>
      <c r="H34" s="39" t="e">
        <f>'15- Dienstruimten'!G33</f>
        <v>#DIV/0!</v>
      </c>
      <c r="K34" s="549"/>
    </row>
    <row r="35" spans="1:11">
      <c r="A35" s="41"/>
      <c r="H35" s="39"/>
      <c r="K35" s="549"/>
    </row>
    <row r="36" spans="1:11">
      <c r="A36" s="354" t="s">
        <v>1339</v>
      </c>
      <c r="H36" s="355">
        <v>0</v>
      </c>
      <c r="K36" s="549"/>
    </row>
    <row r="37" spans="1:11">
      <c r="K37" s="549"/>
    </row>
    <row r="38" spans="1:11" s="537" customFormat="1">
      <c r="A38" s="568" t="s">
        <v>2050</v>
      </c>
      <c r="B38" s="569"/>
      <c r="C38" s="569"/>
      <c r="D38" s="569"/>
      <c r="E38" s="570"/>
      <c r="F38" s="569" t="s">
        <v>2051</v>
      </c>
      <c r="G38" s="569"/>
      <c r="H38" s="571" t="e">
        <f>SUM(H16:H37)</f>
        <v>#DIV/0!</v>
      </c>
      <c r="J38" s="6"/>
    </row>
    <row r="39" spans="1:11">
      <c r="A39" s="38" t="s">
        <v>1082</v>
      </c>
      <c r="G39" s="42">
        <v>0.21</v>
      </c>
      <c r="H39" s="43" t="e">
        <f>G39*H38</f>
        <v>#DIV/0!</v>
      </c>
      <c r="J39" s="549"/>
      <c r="K39" s="549"/>
    </row>
    <row r="40" spans="1:11">
      <c r="A40" s="38" t="s">
        <v>1083</v>
      </c>
      <c r="H40" s="44" t="e">
        <f>H38+H39</f>
        <v>#DIV/0!</v>
      </c>
      <c r="J40" s="549"/>
      <c r="K40" s="549"/>
    </row>
    <row r="41" spans="1:11" s="537" customFormat="1">
      <c r="A41" s="540"/>
      <c r="H41" s="541"/>
    </row>
    <row r="42" spans="1:11" s="537" customFormat="1">
      <c r="A42" s="542" t="s">
        <v>2006</v>
      </c>
      <c r="B42" s="543"/>
      <c r="C42" s="543"/>
      <c r="D42" s="543"/>
      <c r="E42" s="544"/>
      <c r="F42" s="543"/>
      <c r="G42" s="543"/>
      <c r="H42" s="545">
        <v>520000</v>
      </c>
    </row>
    <row r="43" spans="1:11" s="537" customFormat="1">
      <c r="A43" s="542" t="s">
        <v>2049</v>
      </c>
      <c r="B43" s="543"/>
      <c r="C43" s="543"/>
      <c r="D43" s="543"/>
      <c r="E43" s="544"/>
      <c r="F43" s="543"/>
      <c r="G43" s="543"/>
      <c r="H43" s="545">
        <v>470000</v>
      </c>
    </row>
    <row r="44" spans="1:11" s="537" customFormat="1">
      <c r="A44" s="540"/>
      <c r="H44" s="541"/>
    </row>
    <row r="45" spans="1:11" s="537" customFormat="1">
      <c r="A45" s="536" t="s">
        <v>2053</v>
      </c>
      <c r="H45" s="538">
        <v>0</v>
      </c>
    </row>
    <row r="46" spans="1:11" s="537" customFormat="1"/>
    <row r="47" spans="1:11" s="537" customFormat="1">
      <c r="A47" s="678" t="s">
        <v>2007</v>
      </c>
      <c r="B47" s="679"/>
      <c r="C47" s="679"/>
      <c r="D47" s="679"/>
      <c r="E47" s="679"/>
      <c r="F47" s="679"/>
      <c r="G47" s="679"/>
      <c r="H47" s="680"/>
    </row>
    <row r="48" spans="1:11" s="537" customFormat="1">
      <c r="A48" s="681"/>
      <c r="B48" s="682"/>
      <c r="C48" s="682"/>
      <c r="D48" s="682"/>
      <c r="E48" s="682"/>
      <c r="F48" s="682"/>
      <c r="G48" s="682"/>
      <c r="H48" s="683"/>
    </row>
    <row r="49" spans="1:8" s="537" customFormat="1">
      <c r="A49" s="546"/>
      <c r="B49" s="546"/>
      <c r="C49" s="546"/>
      <c r="D49" s="546"/>
      <c r="E49" s="546"/>
      <c r="F49" s="546"/>
      <c r="G49" s="546"/>
      <c r="H49" s="546"/>
    </row>
    <row r="50" spans="1:8" s="537" customFormat="1">
      <c r="A50" s="678" t="s">
        <v>2008</v>
      </c>
      <c r="B50" s="679"/>
      <c r="C50" s="679"/>
      <c r="D50" s="679"/>
      <c r="E50" s="679"/>
      <c r="F50" s="679"/>
      <c r="G50" s="679"/>
      <c r="H50" s="680"/>
    </row>
    <row r="51" spans="1:8" s="537" customFormat="1">
      <c r="A51" s="681"/>
      <c r="B51" s="682"/>
      <c r="C51" s="682"/>
      <c r="D51" s="682"/>
      <c r="E51" s="682"/>
      <c r="F51" s="682"/>
      <c r="G51" s="682"/>
      <c r="H51" s="683"/>
    </row>
    <row r="52" spans="1:8" s="537" customFormat="1"/>
    <row r="53" spans="1:8" s="537" customFormat="1"/>
    <row r="55" spans="1:8" ht="24.75" customHeight="1">
      <c r="A55" s="45" t="s">
        <v>1372</v>
      </c>
      <c r="B55" s="677"/>
      <c r="C55" s="674"/>
      <c r="D55" s="674"/>
      <c r="E55" s="674"/>
    </row>
    <row r="56" spans="1:8" ht="74.25" customHeight="1">
      <c r="A56" s="45" t="s">
        <v>1373</v>
      </c>
      <c r="B56" s="674"/>
      <c r="C56" s="674"/>
      <c r="D56" s="674"/>
      <c r="E56" s="674"/>
    </row>
    <row r="57" spans="1:8" ht="24.75" customHeight="1">
      <c r="A57" s="45" t="s">
        <v>1374</v>
      </c>
      <c r="B57" s="674"/>
      <c r="C57" s="674"/>
      <c r="D57" s="674"/>
      <c r="E57" s="674"/>
    </row>
    <row r="58" spans="1:8" ht="24.75" customHeight="1">
      <c r="A58" s="45" t="s">
        <v>1375</v>
      </c>
      <c r="B58" s="674"/>
      <c r="C58" s="674"/>
      <c r="D58" s="674"/>
      <c r="E58" s="674"/>
    </row>
    <row r="59" spans="1:8" ht="24.75" customHeight="1">
      <c r="A59" s="45" t="s">
        <v>1376</v>
      </c>
      <c r="B59" s="674"/>
      <c r="C59" s="674"/>
      <c r="D59" s="674"/>
      <c r="E59" s="674"/>
    </row>
  </sheetData>
  <mergeCells count="9">
    <mergeCell ref="B59:E59"/>
    <mergeCell ref="B7:D7"/>
    <mergeCell ref="B55:E55"/>
    <mergeCell ref="B56:E56"/>
    <mergeCell ref="B57:E57"/>
    <mergeCell ref="B58:E58"/>
    <mergeCell ref="A47:H48"/>
    <mergeCell ref="A50:H51"/>
    <mergeCell ref="A12:H12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N81"/>
  <sheetViews>
    <sheetView showGridLines="0" workbookViewId="0">
      <pane ySplit="13" topLeftCell="A62" activePane="bottomLeft" state="frozen"/>
      <selection activeCell="F32" sqref="F32"/>
      <selection pane="bottomLeft" activeCell="A78" sqref="A78"/>
    </sheetView>
  </sheetViews>
  <sheetFormatPr defaultColWidth="9.140625" defaultRowHeight="13.5"/>
  <cols>
    <col min="1" max="1" width="8.5703125" style="32" customWidth="1"/>
    <col min="2" max="2" width="20.140625" style="32" bestFit="1" customWidth="1"/>
    <col min="3" max="3" width="21.7109375" style="32" bestFit="1" customWidth="1"/>
    <col min="4" max="4" width="13.28515625" style="162" customWidth="1"/>
    <col min="5" max="6" width="17" style="32" customWidth="1"/>
    <col min="7" max="7" width="18.85546875" style="168" customWidth="1"/>
    <col min="8" max="8" width="13.7109375" style="168" bestFit="1" customWidth="1"/>
    <col min="9" max="9" width="16.28515625" style="32" bestFit="1" customWidth="1"/>
    <col min="10" max="10" width="18.85546875" style="168" customWidth="1"/>
    <col min="11" max="11" width="16.42578125" style="168" bestFit="1" customWidth="1"/>
    <col min="12" max="13" width="16.42578125" style="168" customWidth="1"/>
    <col min="14" max="14" width="17.28515625" style="32" customWidth="1"/>
    <col min="15" max="16384" width="9.140625" style="32"/>
  </cols>
  <sheetData>
    <row r="1" spans="1:14" s="6" customFormat="1">
      <c r="A1" s="356" t="s">
        <v>2</v>
      </c>
      <c r="B1" s="357"/>
      <c r="D1" s="552"/>
      <c r="G1" s="337"/>
      <c r="H1" s="337"/>
      <c r="J1" s="337"/>
      <c r="K1" s="337"/>
      <c r="L1" s="337"/>
      <c r="M1" s="337"/>
    </row>
    <row r="2" spans="1:14" s="6" customFormat="1">
      <c r="A2" s="8"/>
      <c r="C2" s="8"/>
      <c r="D2" s="552"/>
      <c r="G2" s="337"/>
      <c r="H2" s="337"/>
      <c r="J2" s="337"/>
      <c r="K2" s="337"/>
      <c r="L2" s="337"/>
      <c r="M2" s="337"/>
    </row>
    <row r="3" spans="1:14" s="34" customFormat="1" ht="17.25">
      <c r="A3" s="349" t="s">
        <v>3</v>
      </c>
      <c r="B3" s="358"/>
      <c r="C3" s="350" t="str">
        <f>'1-Inschrijfstaat'!B3</f>
        <v>GVB Infra B.V.</v>
      </c>
      <c r="D3" s="553"/>
      <c r="E3" s="11"/>
      <c r="F3" s="11"/>
      <c r="G3" s="338"/>
      <c r="H3" s="338"/>
      <c r="I3" s="11"/>
      <c r="J3" s="338"/>
      <c r="K3" s="338"/>
      <c r="L3" s="338"/>
      <c r="M3" s="338"/>
    </row>
    <row r="4" spans="1:14" s="34" customFormat="1" ht="17.25">
      <c r="A4" s="349" t="s">
        <v>8</v>
      </c>
      <c r="B4" s="358"/>
      <c r="C4" s="350" t="str">
        <f ca="1">MID(CELL("bestandsnaam",$C$7),SEARCH("]",CELL("bestandsnaam",$C$7),1)+1,256)</f>
        <v>2-Kosten per locatie</v>
      </c>
      <c r="D4" s="553"/>
      <c r="E4" s="11"/>
      <c r="F4" s="11"/>
      <c r="G4" s="338"/>
      <c r="H4" s="338"/>
      <c r="I4" s="11"/>
      <c r="J4" s="338"/>
      <c r="K4" s="338"/>
      <c r="L4" s="338"/>
      <c r="M4" s="338"/>
    </row>
    <row r="5" spans="1:14" s="34" customFormat="1" ht="18.75" customHeight="1">
      <c r="A5" s="349" t="s">
        <v>4</v>
      </c>
      <c r="B5" s="358"/>
      <c r="C5" s="350" t="str">
        <f>'1-Inschrijfstaat'!B5</f>
        <v>Diverse</v>
      </c>
      <c r="D5" s="553"/>
      <c r="E5" s="11"/>
      <c r="F5" s="11"/>
      <c r="G5" s="338"/>
      <c r="H5" s="338"/>
      <c r="I5" s="11"/>
      <c r="J5" s="338"/>
      <c r="K5" s="338"/>
      <c r="L5" s="338"/>
      <c r="M5" s="338"/>
    </row>
    <row r="6" spans="1:14" s="34" customFormat="1" ht="17.25">
      <c r="A6" s="349" t="s">
        <v>9</v>
      </c>
      <c r="B6" s="358"/>
      <c r="C6" s="350" t="str">
        <f>'1-Inschrijfstaat'!B6</f>
        <v>2021-03</v>
      </c>
      <c r="D6" s="553"/>
      <c r="E6" s="11"/>
      <c r="F6" s="11"/>
      <c r="G6" s="338"/>
      <c r="H6" s="338"/>
      <c r="I6" s="11"/>
      <c r="J6" s="338"/>
      <c r="K6" s="338"/>
      <c r="L6" s="338"/>
      <c r="M6" s="338"/>
    </row>
    <row r="7" spans="1:14" s="34" customFormat="1" ht="17.25">
      <c r="A7" s="349" t="s">
        <v>6</v>
      </c>
      <c r="B7" s="358"/>
      <c r="C7" s="350" t="str">
        <f>'1-Inschrijfstaat'!B7</f>
        <v>Naam dienstverlener</v>
      </c>
      <c r="D7" s="554"/>
      <c r="E7" s="12"/>
      <c r="F7" s="12"/>
      <c r="G7" s="339"/>
      <c r="H7" s="339"/>
      <c r="I7" s="12"/>
      <c r="J7" s="339"/>
      <c r="K7" s="339"/>
      <c r="L7" s="339"/>
      <c r="M7" s="339"/>
    </row>
    <row r="8" spans="1:14" s="34" customFormat="1" ht="17.25">
      <c r="A8" s="349" t="s">
        <v>7</v>
      </c>
      <c r="B8" s="358"/>
      <c r="C8" s="15" t="str">
        <f>'1-Inschrijfstaat'!B8</f>
        <v>1 juni 2021</v>
      </c>
      <c r="D8" s="553"/>
      <c r="E8" s="11"/>
      <c r="F8" s="11"/>
      <c r="G8" s="338"/>
      <c r="H8" s="338"/>
      <c r="I8" s="11"/>
      <c r="J8" s="338"/>
      <c r="K8" s="338"/>
      <c r="L8" s="338"/>
      <c r="M8" s="338"/>
    </row>
    <row r="9" spans="1:14" s="34" customFormat="1" ht="17.25">
      <c r="A9" s="359" t="s">
        <v>0</v>
      </c>
      <c r="B9" s="358"/>
      <c r="C9" s="53" t="str">
        <f>'1-Inschrijfstaat'!B9</f>
        <v>2 Technische schoonmaak</v>
      </c>
      <c r="D9" s="553"/>
      <c r="E9" s="11"/>
      <c r="F9" s="11"/>
      <c r="G9" s="338"/>
      <c r="H9" s="338"/>
      <c r="I9" s="11"/>
      <c r="J9" s="338"/>
      <c r="K9" s="338"/>
      <c r="L9" s="338"/>
      <c r="M9" s="338"/>
    </row>
    <row r="10" spans="1:14" s="34" customFormat="1" ht="17.25">
      <c r="A10" s="9"/>
      <c r="C10" s="9"/>
      <c r="D10" s="555"/>
      <c r="E10" s="340"/>
      <c r="F10" s="340"/>
      <c r="G10" s="341"/>
      <c r="H10" s="341"/>
      <c r="I10" s="340"/>
      <c r="J10" s="341"/>
      <c r="K10" s="341"/>
      <c r="L10" s="341"/>
      <c r="M10" s="341"/>
    </row>
    <row r="11" spans="1:14" s="34" customFormat="1" ht="17.25">
      <c r="A11" s="360" t="s">
        <v>1086</v>
      </c>
      <c r="B11" s="361"/>
      <c r="C11" s="361"/>
      <c r="D11" s="556"/>
      <c r="E11" s="361"/>
      <c r="F11" s="361"/>
      <c r="G11" s="361"/>
      <c r="H11" s="361"/>
      <c r="I11" s="361"/>
      <c r="J11" s="361"/>
      <c r="K11" s="361"/>
      <c r="L11" s="653"/>
      <c r="M11" s="653"/>
      <c r="N11" s="362"/>
    </row>
    <row r="12" spans="1:14" s="6" customFormat="1">
      <c r="D12" s="552"/>
    </row>
    <row r="13" spans="1:14" s="342" customFormat="1" ht="63.75">
      <c r="A13" s="363" t="s">
        <v>290</v>
      </c>
      <c r="B13" s="363" t="s">
        <v>291</v>
      </c>
      <c r="C13" s="363" t="s">
        <v>13</v>
      </c>
      <c r="D13" s="557" t="s">
        <v>1088</v>
      </c>
      <c r="E13" s="363" t="s">
        <v>2034</v>
      </c>
      <c r="F13" s="363" t="s">
        <v>2035</v>
      </c>
      <c r="G13" s="363" t="s">
        <v>2036</v>
      </c>
      <c r="H13" s="363" t="s">
        <v>2037</v>
      </c>
      <c r="I13" s="363" t="s">
        <v>2038</v>
      </c>
      <c r="J13" s="363" t="s">
        <v>2039</v>
      </c>
      <c r="K13" s="363" t="s">
        <v>2040</v>
      </c>
      <c r="L13" s="654" t="s">
        <v>2103</v>
      </c>
      <c r="M13" s="654" t="s">
        <v>2118</v>
      </c>
      <c r="N13" s="363" t="s">
        <v>1938</v>
      </c>
    </row>
    <row r="14" spans="1:14">
      <c r="A14" s="33">
        <v>101</v>
      </c>
      <c r="B14" s="59" t="s">
        <v>1409</v>
      </c>
      <c r="C14" s="33" t="s">
        <v>180</v>
      </c>
      <c r="D14" s="558">
        <f>SUMIF('3-Ruimtestaat'!B:B,A14,'3-Ruimtestaat'!I:I)</f>
        <v>0</v>
      </c>
      <c r="E14" s="195">
        <f>SUMIF('4-Schrobben vloeren'!A:A,A14,'4-Schrobben vloeren'!N:N)</f>
        <v>0</v>
      </c>
      <c r="F14" s="343">
        <f>SUMIF('5-Aanvullend'!A:A,A14,'5-Aanvullend'!J:J)</f>
        <v>0</v>
      </c>
      <c r="G14" s="195">
        <f>SUMIF('6-Ballastbed '!A:A,A14,'6-Ballastbed '!L:L)</f>
        <v>0</v>
      </c>
      <c r="H14" s="344">
        <f>SUMIF('8-Geveldelen  en wanden'!A:A,A14,'8-Geveldelen  en wanden'!I:I)</f>
        <v>0</v>
      </c>
      <c r="I14" s="125">
        <f>SUMIF('10-Glas kosten totaal'!B:B,A14,'10-Glas kosten totaal'!M:M)</f>
        <v>0</v>
      </c>
      <c r="J14" s="343">
        <f>'11-Machinekosten'!$P$44/'2-Kosten per locatie'!$D$80*'2-Kosten per locatie'!D14</f>
        <v>0</v>
      </c>
      <c r="K14" s="343">
        <f>SUMIF('12-Periodieke beurt'!A:A,A14,'12-Periodieke beurt'!L:L)</f>
        <v>0</v>
      </c>
      <c r="L14" s="195">
        <f>SUMIF('14-Gelijkrichter stations'!$A$15:$A$30,A14,'14-Gelijkrichter stations'!$L$15:$L$30)</f>
        <v>0</v>
      </c>
      <c r="M14" s="195">
        <f>SUMIF('15- Dienstruimten'!$A$19:$A$32,A14,'15- Dienstruimten'!$G$19:$G$32)</f>
        <v>0</v>
      </c>
      <c r="N14" s="345">
        <f t="shared" ref="N14:N45" si="0">SUM(E14:K14)</f>
        <v>0</v>
      </c>
    </row>
    <row r="15" spans="1:14">
      <c r="A15" s="33">
        <v>102</v>
      </c>
      <c r="B15" s="33" t="s">
        <v>850</v>
      </c>
      <c r="C15" s="33" t="s">
        <v>180</v>
      </c>
      <c r="D15" s="558">
        <f>SUMIF('3-Ruimtestaat'!B:B,A15,'3-Ruimtestaat'!I:I)</f>
        <v>10070.403</v>
      </c>
      <c r="E15" s="195" t="e">
        <f>SUMIF('4-Schrobben vloeren'!A:A,A15,'4-Schrobben vloeren'!N:N)</f>
        <v>#DIV/0!</v>
      </c>
      <c r="F15" s="343">
        <f>SUMIF('5-Aanvullend'!A:A,A15,'5-Aanvullend'!J:J)</f>
        <v>0</v>
      </c>
      <c r="G15" s="195">
        <f>SUMIF('6-Ballastbed '!A:A,A15,'6-Ballastbed '!L:L)</f>
        <v>0</v>
      </c>
      <c r="H15" s="344">
        <f>SUMIF('8-Geveldelen  en wanden'!A:A,A15,'8-Geveldelen  en wanden'!I:I)</f>
        <v>0</v>
      </c>
      <c r="I15" s="125">
        <f ca="1">SUMIF('10-Glas kosten totaal'!B:B,A15,'10-Glas kosten totaal'!M:M)</f>
        <v>0</v>
      </c>
      <c r="J15" s="343">
        <f>'11-Machinekosten'!$P$44/'2-Kosten per locatie'!$D$80*'2-Kosten per locatie'!D15</f>
        <v>0</v>
      </c>
      <c r="K15" s="343">
        <f>SUMIF('12-Periodieke beurt'!A:A,A15,'12-Periodieke beurt'!L:L)</f>
        <v>0</v>
      </c>
      <c r="L15" s="195">
        <f>SUMIF('14-Gelijkrichter stations'!$A$15:$A$30,A15,'14-Gelijkrichter stations'!$L$15:$L$30)</f>
        <v>0</v>
      </c>
      <c r="M15" s="195" t="e">
        <f>SUMIF('15- Dienstruimten'!$A$19:$A$32,A15,'15- Dienstruimten'!$G$19:$G$32)</f>
        <v>#DIV/0!</v>
      </c>
      <c r="N15" s="345" t="e">
        <f t="shared" si="0"/>
        <v>#DIV/0!</v>
      </c>
    </row>
    <row r="16" spans="1:14">
      <c r="A16" s="33">
        <v>103</v>
      </c>
      <c r="B16" s="33" t="s">
        <v>718</v>
      </c>
      <c r="C16" s="33" t="s">
        <v>180</v>
      </c>
      <c r="D16" s="558">
        <f>SUMIF('3-Ruimtestaat'!B:B,A16,'3-Ruimtestaat'!I:I)</f>
        <v>6256.1357499999995</v>
      </c>
      <c r="E16" s="195" t="e">
        <f>SUMIF('4-Schrobben vloeren'!A:A,A16,'4-Schrobben vloeren'!N:N)</f>
        <v>#DIV/0!</v>
      </c>
      <c r="F16" s="343">
        <f>SUMIF('5-Aanvullend'!A:A,A16,'5-Aanvullend'!J:J)</f>
        <v>0</v>
      </c>
      <c r="G16" s="195">
        <f>SUMIF('6-Ballastbed '!A:A,A16,'6-Ballastbed '!L:L)</f>
        <v>0</v>
      </c>
      <c r="H16" s="344">
        <f>SUMIF('8-Geveldelen  en wanden'!A:A,A16,'8-Geveldelen  en wanden'!I:I)</f>
        <v>0</v>
      </c>
      <c r="I16" s="125">
        <f ca="1">SUMIF('10-Glas kosten totaal'!B:B,A16,'10-Glas kosten totaal'!M:M)</f>
        <v>0</v>
      </c>
      <c r="J16" s="343">
        <f>'11-Machinekosten'!$P$44/'2-Kosten per locatie'!$D$80*'2-Kosten per locatie'!D16</f>
        <v>0</v>
      </c>
      <c r="K16" s="343">
        <f>SUMIF('12-Periodieke beurt'!A:A,A16,'12-Periodieke beurt'!L:L)</f>
        <v>0</v>
      </c>
      <c r="L16" s="195">
        <f>SUMIF('14-Gelijkrichter stations'!$A$15:$A$30,A16,'14-Gelijkrichter stations'!$L$15:$L$30)</f>
        <v>0</v>
      </c>
      <c r="M16" s="195" t="e">
        <f>SUMIF('15- Dienstruimten'!$A$19:$A$32,A16,'15- Dienstruimten'!$G$19:$G$32)</f>
        <v>#DIV/0!</v>
      </c>
      <c r="N16" s="345" t="e">
        <f t="shared" si="0"/>
        <v>#DIV/0!</v>
      </c>
    </row>
    <row r="17" spans="1:14">
      <c r="A17" s="33">
        <v>104</v>
      </c>
      <c r="B17" s="33" t="s">
        <v>165</v>
      </c>
      <c r="C17" s="33" t="s">
        <v>180</v>
      </c>
      <c r="D17" s="558">
        <f>SUMIF('3-Ruimtestaat'!B:B,A17,'3-Ruimtestaat'!I:I)</f>
        <v>12961.045735000003</v>
      </c>
      <c r="E17" s="195" t="e">
        <f>SUMIF('4-Schrobben vloeren'!A:A,A17,'4-Schrobben vloeren'!N:N)</f>
        <v>#DIV/0!</v>
      </c>
      <c r="F17" s="343">
        <f>SUMIF('5-Aanvullend'!A:A,A17,'5-Aanvullend'!J:J)</f>
        <v>0</v>
      </c>
      <c r="G17" s="195">
        <f>SUMIF('6-Ballastbed '!A:A,A17,'6-Ballastbed '!L:L)</f>
        <v>0</v>
      </c>
      <c r="H17" s="344">
        <f>SUMIF('8-Geveldelen  en wanden'!A:A,A17,'8-Geveldelen  en wanden'!I:I)</f>
        <v>0</v>
      </c>
      <c r="I17" s="125">
        <f ca="1">SUMIF('10-Glas kosten totaal'!B:B,A17,'10-Glas kosten totaal'!M:M)</f>
        <v>0</v>
      </c>
      <c r="J17" s="343">
        <f>'11-Machinekosten'!$P$44/'2-Kosten per locatie'!$D$80*'2-Kosten per locatie'!D17</f>
        <v>0</v>
      </c>
      <c r="K17" s="343">
        <f>SUMIF('12-Periodieke beurt'!A:A,A17,'12-Periodieke beurt'!L:L)</f>
        <v>0</v>
      </c>
      <c r="L17" s="195">
        <f>SUMIF('14-Gelijkrichter stations'!$A$15:$A$30,A17,'14-Gelijkrichter stations'!$L$15:$L$30)</f>
        <v>0</v>
      </c>
      <c r="M17" s="195" t="e">
        <f>SUMIF('15- Dienstruimten'!$A$19:$A$32,A17,'15- Dienstruimten'!$G$19:$G$32)</f>
        <v>#DIV/0!</v>
      </c>
      <c r="N17" s="345" t="e">
        <f t="shared" si="0"/>
        <v>#DIV/0!</v>
      </c>
    </row>
    <row r="18" spans="1:14">
      <c r="A18" s="33">
        <v>105</v>
      </c>
      <c r="B18" s="33" t="s">
        <v>851</v>
      </c>
      <c r="C18" s="33" t="s">
        <v>180</v>
      </c>
      <c r="D18" s="558">
        <f>SUMIF('3-Ruimtestaat'!B:B,A18,'3-Ruimtestaat'!I:I)</f>
        <v>7458.6242499999989</v>
      </c>
      <c r="E18" s="195" t="e">
        <f>SUMIF('4-Schrobben vloeren'!A:A,A18,'4-Schrobben vloeren'!N:N)</f>
        <v>#DIV/0!</v>
      </c>
      <c r="F18" s="343">
        <f>SUMIF('5-Aanvullend'!A:A,A18,'5-Aanvullend'!J:J)</f>
        <v>0</v>
      </c>
      <c r="G18" s="195">
        <f>SUMIF('6-Ballastbed '!A:A,A18,'6-Ballastbed '!L:L)</f>
        <v>0</v>
      </c>
      <c r="H18" s="344">
        <f>SUMIF('8-Geveldelen  en wanden'!A:A,A18,'8-Geveldelen  en wanden'!I:I)</f>
        <v>0</v>
      </c>
      <c r="I18" s="125">
        <f ca="1">SUMIF('10-Glas kosten totaal'!B:B,A18,'10-Glas kosten totaal'!M:M)</f>
        <v>0</v>
      </c>
      <c r="J18" s="343">
        <f>'11-Machinekosten'!$P$44/'2-Kosten per locatie'!$D$80*'2-Kosten per locatie'!D18</f>
        <v>0</v>
      </c>
      <c r="K18" s="343">
        <f>SUMIF('12-Periodieke beurt'!A:A,A18,'12-Periodieke beurt'!L:L)</f>
        <v>0</v>
      </c>
      <c r="L18" s="195">
        <f>SUMIF('14-Gelijkrichter stations'!$A$15:$A$30,A18,'14-Gelijkrichter stations'!$L$15:$L$30)</f>
        <v>0</v>
      </c>
      <c r="M18" s="195" t="e">
        <f>SUMIF('15- Dienstruimten'!$A$19:$A$32,A18,'15- Dienstruimten'!$G$19:$G$32)</f>
        <v>#DIV/0!</v>
      </c>
      <c r="N18" s="345" t="e">
        <f t="shared" si="0"/>
        <v>#DIV/0!</v>
      </c>
    </row>
    <row r="19" spans="1:14">
      <c r="A19" s="33">
        <v>106</v>
      </c>
      <c r="B19" s="33" t="s">
        <v>1036</v>
      </c>
      <c r="C19" s="33" t="s">
        <v>22</v>
      </c>
      <c r="D19" s="558">
        <f>SUMIF('3-Ruimtestaat'!B:B,A19,'3-Ruimtestaat'!I:I)</f>
        <v>96</v>
      </c>
      <c r="E19" s="195">
        <f>SUMIF('4-Schrobben vloeren'!A:A,A19,'4-Schrobben vloeren'!N:N)</f>
        <v>0</v>
      </c>
      <c r="F19" s="343">
        <f>SUMIF('5-Aanvullend'!A:A,A19,'5-Aanvullend'!J:J)</f>
        <v>0</v>
      </c>
      <c r="G19" s="195">
        <f>SUMIF('6-Ballastbed '!A:A,A19,'6-Ballastbed '!L:L)</f>
        <v>0</v>
      </c>
      <c r="H19" s="344">
        <f>SUMIF('8-Geveldelen  en wanden'!A:A,A19,'8-Geveldelen  en wanden'!I:I)</f>
        <v>0</v>
      </c>
      <c r="I19" s="125">
        <f>SUMIF('10-Glas kosten totaal'!B:B,A19,'10-Glas kosten totaal'!M:M)</f>
        <v>0</v>
      </c>
      <c r="J19" s="343">
        <f>'11-Machinekosten'!$P$44/'2-Kosten per locatie'!$D$80*'2-Kosten per locatie'!D19</f>
        <v>0</v>
      </c>
      <c r="K19" s="343">
        <f>SUMIF('12-Periodieke beurt'!A:A,A19,'12-Periodieke beurt'!L:L)</f>
        <v>0</v>
      </c>
      <c r="L19" s="195">
        <f>SUMIF('14-Gelijkrichter stations'!$A$15:$A$30,A19,'14-Gelijkrichter stations'!$L$15:$L$30)</f>
        <v>0</v>
      </c>
      <c r="M19" s="195" t="e">
        <f>SUMIF('15- Dienstruimten'!$A$19:$A$32,A19,'15- Dienstruimten'!$G$19:$G$32)</f>
        <v>#DIV/0!</v>
      </c>
      <c r="N19" s="345">
        <f t="shared" si="0"/>
        <v>0</v>
      </c>
    </row>
    <row r="20" spans="1:14">
      <c r="A20" s="33">
        <v>107</v>
      </c>
      <c r="B20" s="33" t="s">
        <v>289</v>
      </c>
      <c r="C20" s="33" t="s">
        <v>22</v>
      </c>
      <c r="D20" s="558">
        <f>SUMIF('3-Ruimtestaat'!B:B,A20,'3-Ruimtestaat'!I:I)</f>
        <v>3261.2186440677974</v>
      </c>
      <c r="E20" s="195" t="e">
        <f>SUMIF('4-Schrobben vloeren'!A:A,A20,'4-Schrobben vloeren'!N:N)</f>
        <v>#DIV/0!</v>
      </c>
      <c r="F20" s="343">
        <f>SUMIF('5-Aanvullend'!A:A,A20,'5-Aanvullend'!J:J)</f>
        <v>0</v>
      </c>
      <c r="G20" s="195">
        <f>SUMIF('6-Ballastbed '!A:A,A20,'6-Ballastbed '!L:L)</f>
        <v>0</v>
      </c>
      <c r="H20" s="344">
        <f>SUMIF('8-Geveldelen  en wanden'!A:A,A20,'8-Geveldelen  en wanden'!I:I)</f>
        <v>0</v>
      </c>
      <c r="I20" s="125">
        <f ca="1">SUMIF('10-Glas kosten totaal'!B:B,A20,'10-Glas kosten totaal'!M:M)</f>
        <v>0</v>
      </c>
      <c r="J20" s="343">
        <f>'11-Machinekosten'!$P$44/'2-Kosten per locatie'!$D$80*'2-Kosten per locatie'!D20</f>
        <v>0</v>
      </c>
      <c r="K20" s="343">
        <f>SUMIF('12-Periodieke beurt'!A:A,A20,'12-Periodieke beurt'!L:L)</f>
        <v>0</v>
      </c>
      <c r="L20" s="195">
        <f>SUMIF('14-Gelijkrichter stations'!$A$15:$A$30,A20,'14-Gelijkrichter stations'!$L$15:$L$30)</f>
        <v>0</v>
      </c>
      <c r="M20" s="195">
        <f>SUMIF('15- Dienstruimten'!$A$19:$A$32,A20,'15- Dienstruimten'!$G$19:$G$32)</f>
        <v>0</v>
      </c>
      <c r="N20" s="345" t="e">
        <f t="shared" si="0"/>
        <v>#DIV/0!</v>
      </c>
    </row>
    <row r="21" spans="1:14">
      <c r="A21" s="33">
        <v>108</v>
      </c>
      <c r="B21" s="33" t="s">
        <v>255</v>
      </c>
      <c r="C21" s="33" t="s">
        <v>22</v>
      </c>
      <c r="D21" s="558">
        <f>SUMIF('3-Ruimtestaat'!B:B,A21,'3-Ruimtestaat'!I:I)</f>
        <v>3816.99</v>
      </c>
      <c r="E21" s="195" t="e">
        <f>SUMIF('4-Schrobben vloeren'!A:A,A21,'4-Schrobben vloeren'!N:N)</f>
        <v>#DIV/0!</v>
      </c>
      <c r="F21" s="343">
        <f>SUMIF('5-Aanvullend'!A:A,A21,'5-Aanvullend'!J:J)</f>
        <v>0</v>
      </c>
      <c r="G21" s="195">
        <f>SUMIF('6-Ballastbed '!A:A,A21,'6-Ballastbed '!L:L)</f>
        <v>0</v>
      </c>
      <c r="H21" s="344">
        <f>SUMIF('8-Geveldelen  en wanden'!A:A,A21,'8-Geveldelen  en wanden'!I:I)</f>
        <v>0</v>
      </c>
      <c r="I21" s="125">
        <f ca="1">SUMIF('10-Glas kosten totaal'!B:B,A21,'10-Glas kosten totaal'!M:M)</f>
        <v>0</v>
      </c>
      <c r="J21" s="343">
        <f>'11-Machinekosten'!$P$44/'2-Kosten per locatie'!$D$80*'2-Kosten per locatie'!D21</f>
        <v>0</v>
      </c>
      <c r="K21" s="343">
        <f>SUMIF('12-Periodieke beurt'!A:A,A21,'12-Periodieke beurt'!L:L)</f>
        <v>0</v>
      </c>
      <c r="L21" s="195">
        <f>SUMIF('14-Gelijkrichter stations'!$A$15:$A$30,A21,'14-Gelijkrichter stations'!$L$15:$L$30)</f>
        <v>0</v>
      </c>
      <c r="M21" s="195">
        <f>SUMIF('15- Dienstruimten'!$A$19:$A$32,A21,'15- Dienstruimten'!$G$19:$G$32)</f>
        <v>0</v>
      </c>
      <c r="N21" s="345" t="e">
        <f t="shared" si="0"/>
        <v>#DIV/0!</v>
      </c>
    </row>
    <row r="22" spans="1:14">
      <c r="A22" s="33">
        <v>109</v>
      </c>
      <c r="B22" s="33" t="s">
        <v>853</v>
      </c>
      <c r="C22" s="33" t="s">
        <v>22</v>
      </c>
      <c r="D22" s="558">
        <f>SUMIF('3-Ruimtestaat'!B:B,A22,'3-Ruimtestaat'!I:I)</f>
        <v>49</v>
      </c>
      <c r="E22" s="195">
        <f>SUMIF('4-Schrobben vloeren'!A:A,A22,'4-Schrobben vloeren'!N:N)</f>
        <v>0</v>
      </c>
      <c r="F22" s="343">
        <f>SUMIF('5-Aanvullend'!A:A,A22,'5-Aanvullend'!J:J)</f>
        <v>0</v>
      </c>
      <c r="G22" s="195">
        <f>SUMIF('6-Ballastbed '!A:A,A22,'6-Ballastbed '!L:L)</f>
        <v>0</v>
      </c>
      <c r="H22" s="344">
        <f>SUMIF('8-Geveldelen  en wanden'!A:A,A22,'8-Geveldelen  en wanden'!I:I)</f>
        <v>0</v>
      </c>
      <c r="I22" s="125">
        <f ca="1">SUMIF('10-Glas kosten totaal'!B:B,A22,'10-Glas kosten totaal'!M:M)</f>
        <v>0</v>
      </c>
      <c r="J22" s="343">
        <f>'11-Machinekosten'!$P$44/'2-Kosten per locatie'!$D$80*'2-Kosten per locatie'!D22</f>
        <v>0</v>
      </c>
      <c r="K22" s="343">
        <f>SUMIF('12-Periodieke beurt'!A:A,A22,'12-Periodieke beurt'!L:L)</f>
        <v>0</v>
      </c>
      <c r="L22" s="195">
        <f>SUMIF('14-Gelijkrichter stations'!$A$15:$A$30,A22,'14-Gelijkrichter stations'!$L$15:$L$30)</f>
        <v>0</v>
      </c>
      <c r="M22" s="195">
        <f>SUMIF('15- Dienstruimten'!$A$19:$A$32,A22,'15- Dienstruimten'!$G$19:$G$32)</f>
        <v>0</v>
      </c>
      <c r="N22" s="345">
        <f t="shared" ca="1" si="0"/>
        <v>0</v>
      </c>
    </row>
    <row r="23" spans="1:14">
      <c r="A23" s="33">
        <v>110</v>
      </c>
      <c r="B23" s="33" t="s">
        <v>103</v>
      </c>
      <c r="C23" s="33" t="s">
        <v>22</v>
      </c>
      <c r="D23" s="558">
        <f>SUMIF('3-Ruimtestaat'!B:B,A23,'3-Ruimtestaat'!I:I)</f>
        <v>2608.1600000000008</v>
      </c>
      <c r="E23" s="195" t="e">
        <f>SUMIF('4-Schrobben vloeren'!A:A,A23,'4-Schrobben vloeren'!N:N)</f>
        <v>#DIV/0!</v>
      </c>
      <c r="F23" s="343">
        <f>SUMIF('5-Aanvullend'!A:A,A23,'5-Aanvullend'!J:J)</f>
        <v>0</v>
      </c>
      <c r="G23" s="195">
        <f>SUMIF('6-Ballastbed '!A:A,A23,'6-Ballastbed '!L:L)</f>
        <v>0</v>
      </c>
      <c r="H23" s="344">
        <f>SUMIF('8-Geveldelen  en wanden'!A:A,A23,'8-Geveldelen  en wanden'!I:I)</f>
        <v>0</v>
      </c>
      <c r="I23" s="125">
        <f ca="1">SUMIF('10-Glas kosten totaal'!B:B,A23,'10-Glas kosten totaal'!M:M)</f>
        <v>0</v>
      </c>
      <c r="J23" s="343">
        <f>'11-Machinekosten'!$P$44/'2-Kosten per locatie'!$D$80*'2-Kosten per locatie'!D23</f>
        <v>0</v>
      </c>
      <c r="K23" s="343">
        <f>SUMIF('12-Periodieke beurt'!A:A,A23,'12-Periodieke beurt'!L:L)</f>
        <v>0</v>
      </c>
      <c r="L23" s="195">
        <f>SUMIF('14-Gelijkrichter stations'!$A$15:$A$30,A23,'14-Gelijkrichter stations'!$L$15:$L$30)</f>
        <v>0</v>
      </c>
      <c r="M23" s="195">
        <f>SUMIF('15- Dienstruimten'!$A$19:$A$32,A23,'15- Dienstruimten'!$G$19:$G$32)</f>
        <v>0</v>
      </c>
      <c r="N23" s="345" t="e">
        <f t="shared" si="0"/>
        <v>#DIV/0!</v>
      </c>
    </row>
    <row r="24" spans="1:14">
      <c r="A24" s="33">
        <v>111</v>
      </c>
      <c r="B24" s="33" t="s">
        <v>854</v>
      </c>
      <c r="C24" s="33" t="s">
        <v>22</v>
      </c>
      <c r="D24" s="558">
        <f>SUMIF('3-Ruimtestaat'!B:B,A24,'3-Ruimtestaat'!I:I)</f>
        <v>2752.3200000000006</v>
      </c>
      <c r="E24" s="195" t="e">
        <f>SUMIF('4-Schrobben vloeren'!A:A,A24,'4-Schrobben vloeren'!N:N)</f>
        <v>#DIV/0!</v>
      </c>
      <c r="F24" s="343">
        <f>SUMIF('5-Aanvullend'!A:A,A24,'5-Aanvullend'!J:J)</f>
        <v>0</v>
      </c>
      <c r="G24" s="195">
        <f>SUMIF('6-Ballastbed '!A:A,A24,'6-Ballastbed '!L:L)</f>
        <v>0</v>
      </c>
      <c r="H24" s="344">
        <f>SUMIF('8-Geveldelen  en wanden'!A:A,A24,'8-Geveldelen  en wanden'!I:I)</f>
        <v>0</v>
      </c>
      <c r="I24" s="125">
        <f ca="1">SUMIF('10-Glas kosten totaal'!B:B,A24,'10-Glas kosten totaal'!M:M)</f>
        <v>0</v>
      </c>
      <c r="J24" s="343">
        <f>'11-Machinekosten'!$P$44/'2-Kosten per locatie'!$D$80*'2-Kosten per locatie'!D24</f>
        <v>0</v>
      </c>
      <c r="K24" s="343">
        <f>SUMIF('12-Periodieke beurt'!A:A,A24,'12-Periodieke beurt'!L:L)</f>
        <v>0</v>
      </c>
      <c r="L24" s="195">
        <f>SUMIF('14-Gelijkrichter stations'!$A$15:$A$30,A24,'14-Gelijkrichter stations'!$L$15:$L$30)</f>
        <v>0</v>
      </c>
      <c r="M24" s="195">
        <f>SUMIF('15- Dienstruimten'!$A$19:$A$32,A24,'15- Dienstruimten'!$G$19:$G$32)</f>
        <v>0</v>
      </c>
      <c r="N24" s="345" t="e">
        <f t="shared" si="0"/>
        <v>#DIV/0!</v>
      </c>
    </row>
    <row r="25" spans="1:14">
      <c r="A25" s="33">
        <v>112</v>
      </c>
      <c r="B25" s="33" t="s">
        <v>140</v>
      </c>
      <c r="C25" s="33" t="s">
        <v>22</v>
      </c>
      <c r="D25" s="558">
        <f>SUMIF('3-Ruimtestaat'!B:B,A25,'3-Ruimtestaat'!I:I)</f>
        <v>2360.2399999999998</v>
      </c>
      <c r="E25" s="195" t="e">
        <f>SUMIF('4-Schrobben vloeren'!A:A,A25,'4-Schrobben vloeren'!N:N)</f>
        <v>#DIV/0!</v>
      </c>
      <c r="F25" s="343">
        <f>SUMIF('5-Aanvullend'!A:A,A25,'5-Aanvullend'!J:J)</f>
        <v>0</v>
      </c>
      <c r="G25" s="195">
        <f>SUMIF('6-Ballastbed '!A:A,A25,'6-Ballastbed '!L:L)</f>
        <v>0</v>
      </c>
      <c r="H25" s="344">
        <f>SUMIF('8-Geveldelen  en wanden'!A:A,A25,'8-Geveldelen  en wanden'!I:I)</f>
        <v>0</v>
      </c>
      <c r="I25" s="125">
        <f ca="1">SUMIF('10-Glas kosten totaal'!B:B,A25,'10-Glas kosten totaal'!M:M)</f>
        <v>0</v>
      </c>
      <c r="J25" s="343">
        <f>'11-Machinekosten'!$P$44/'2-Kosten per locatie'!$D$80*'2-Kosten per locatie'!D25</f>
        <v>0</v>
      </c>
      <c r="K25" s="343">
        <f>SUMIF('12-Periodieke beurt'!A:A,A25,'12-Periodieke beurt'!L:L)</f>
        <v>0</v>
      </c>
      <c r="L25" s="195">
        <f>SUMIF('14-Gelijkrichter stations'!$A$15:$A$30,A25,'14-Gelijkrichter stations'!$L$15:$L$30)</f>
        <v>0</v>
      </c>
      <c r="M25" s="195">
        <f>SUMIF('15- Dienstruimten'!$A$19:$A$32,A25,'15- Dienstruimten'!$G$19:$G$32)</f>
        <v>0</v>
      </c>
      <c r="N25" s="345" t="e">
        <f t="shared" si="0"/>
        <v>#DIV/0!</v>
      </c>
    </row>
    <row r="26" spans="1:14">
      <c r="A26" s="33">
        <v>113</v>
      </c>
      <c r="B26" s="33" t="s">
        <v>855</v>
      </c>
      <c r="C26" s="33" t="s">
        <v>22</v>
      </c>
      <c r="D26" s="558">
        <f>SUMIF('3-Ruimtestaat'!B:B,A26,'3-Ruimtestaat'!I:I)</f>
        <v>2560.1600000000008</v>
      </c>
      <c r="E26" s="195" t="e">
        <f>SUMIF('4-Schrobben vloeren'!A:A,A26,'4-Schrobben vloeren'!N:N)</f>
        <v>#DIV/0!</v>
      </c>
      <c r="F26" s="343">
        <f>SUMIF('5-Aanvullend'!A:A,A26,'5-Aanvullend'!J:J)</f>
        <v>0</v>
      </c>
      <c r="G26" s="195">
        <f>SUMIF('6-Ballastbed '!A:A,A26,'6-Ballastbed '!L:L)</f>
        <v>0</v>
      </c>
      <c r="H26" s="344">
        <f>SUMIF('8-Geveldelen  en wanden'!A:A,A26,'8-Geveldelen  en wanden'!I:I)</f>
        <v>0</v>
      </c>
      <c r="I26" s="125">
        <f ca="1">SUMIF('10-Glas kosten totaal'!B:B,A26,'10-Glas kosten totaal'!M:M)</f>
        <v>0</v>
      </c>
      <c r="J26" s="343">
        <f>'11-Machinekosten'!$P$44/'2-Kosten per locatie'!$D$80*'2-Kosten per locatie'!D26</f>
        <v>0</v>
      </c>
      <c r="K26" s="343">
        <f>SUMIF('12-Periodieke beurt'!A:A,A26,'12-Periodieke beurt'!L:L)</f>
        <v>0</v>
      </c>
      <c r="L26" s="195">
        <f>SUMIF('14-Gelijkrichter stations'!$A$15:$A$30,A26,'14-Gelijkrichter stations'!$L$15:$L$30)</f>
        <v>0</v>
      </c>
      <c r="M26" s="195">
        <f>SUMIF('15- Dienstruimten'!$A$19:$A$32,A26,'15- Dienstruimten'!$G$19:$G$32)</f>
        <v>0</v>
      </c>
      <c r="N26" s="345" t="e">
        <f t="shared" si="0"/>
        <v>#DIV/0!</v>
      </c>
    </row>
    <row r="27" spans="1:14">
      <c r="A27" s="33">
        <v>114</v>
      </c>
      <c r="B27" s="33" t="s">
        <v>21</v>
      </c>
      <c r="C27" s="33" t="s">
        <v>22</v>
      </c>
      <c r="D27" s="558">
        <f>SUMIF('3-Ruimtestaat'!B:B,A27,'3-Ruimtestaat'!I:I)</f>
        <v>2505.2599999999998</v>
      </c>
      <c r="E27" s="195" t="e">
        <f>SUMIF('4-Schrobben vloeren'!A:A,A27,'4-Schrobben vloeren'!N:N)</f>
        <v>#DIV/0!</v>
      </c>
      <c r="F27" s="343">
        <f>SUMIF('5-Aanvullend'!A:A,A27,'5-Aanvullend'!J:J)</f>
        <v>0</v>
      </c>
      <c r="G27" s="195">
        <f>SUMIF('6-Ballastbed '!A:A,A27,'6-Ballastbed '!L:L)</f>
        <v>0</v>
      </c>
      <c r="H27" s="344">
        <f>SUMIF('8-Geveldelen  en wanden'!A:A,A27,'8-Geveldelen  en wanden'!I:I)</f>
        <v>0</v>
      </c>
      <c r="I27" s="125">
        <f ca="1">SUMIF('10-Glas kosten totaal'!B:B,A27,'10-Glas kosten totaal'!M:M)</f>
        <v>0</v>
      </c>
      <c r="J27" s="343">
        <f>'11-Machinekosten'!$P$44/'2-Kosten per locatie'!$D$80*'2-Kosten per locatie'!D27</f>
        <v>0</v>
      </c>
      <c r="K27" s="343">
        <f>SUMIF('12-Periodieke beurt'!A:A,A27,'12-Periodieke beurt'!L:L)</f>
        <v>0</v>
      </c>
      <c r="L27" s="195">
        <f>SUMIF('14-Gelijkrichter stations'!$A$15:$A$30,A27,'14-Gelijkrichter stations'!$L$15:$L$30)</f>
        <v>0</v>
      </c>
      <c r="M27" s="195">
        <f>SUMIF('15- Dienstruimten'!$A$19:$A$32,A27,'15- Dienstruimten'!$G$19:$G$32)</f>
        <v>0</v>
      </c>
      <c r="N27" s="345" t="e">
        <f t="shared" si="0"/>
        <v>#DIV/0!</v>
      </c>
    </row>
    <row r="28" spans="1:14">
      <c r="A28" s="33">
        <v>115</v>
      </c>
      <c r="B28" s="33" t="s">
        <v>73</v>
      </c>
      <c r="C28" s="33" t="s">
        <v>74</v>
      </c>
      <c r="D28" s="558">
        <f>SUMIF('3-Ruimtestaat'!B:B,A28,'3-Ruimtestaat'!I:I)</f>
        <v>2627.6700000000005</v>
      </c>
      <c r="E28" s="195" t="e">
        <f>SUMIF('4-Schrobben vloeren'!A:A,A28,'4-Schrobben vloeren'!N:N)</f>
        <v>#DIV/0!</v>
      </c>
      <c r="F28" s="343">
        <f>SUMIF('5-Aanvullend'!A:A,A28,'5-Aanvullend'!J:J)</f>
        <v>0</v>
      </c>
      <c r="G28" s="195">
        <f>SUMIF('6-Ballastbed '!A:A,A28,'6-Ballastbed '!L:L)</f>
        <v>0</v>
      </c>
      <c r="H28" s="344">
        <f>SUMIF('8-Geveldelen  en wanden'!A:A,A28,'8-Geveldelen  en wanden'!I:I)</f>
        <v>0</v>
      </c>
      <c r="I28" s="125">
        <f ca="1">SUMIF('10-Glas kosten totaal'!B:B,A28,'10-Glas kosten totaal'!M:M)</f>
        <v>0</v>
      </c>
      <c r="J28" s="343">
        <f>'11-Machinekosten'!$P$44/'2-Kosten per locatie'!$D$80*'2-Kosten per locatie'!D28</f>
        <v>0</v>
      </c>
      <c r="K28" s="343">
        <f>SUMIF('12-Periodieke beurt'!A:A,A28,'12-Periodieke beurt'!L:L)</f>
        <v>0</v>
      </c>
      <c r="L28" s="195">
        <f>SUMIF('14-Gelijkrichter stations'!$A$15:$A$30,A28,'14-Gelijkrichter stations'!$L$15:$L$30)</f>
        <v>0</v>
      </c>
      <c r="M28" s="195">
        <f>SUMIF('15- Dienstruimten'!$A$19:$A$32,A28,'15- Dienstruimten'!$G$19:$G$32)</f>
        <v>0</v>
      </c>
      <c r="N28" s="345" t="e">
        <f t="shared" si="0"/>
        <v>#DIV/0!</v>
      </c>
    </row>
    <row r="29" spans="1:14">
      <c r="A29" s="33">
        <v>116</v>
      </c>
      <c r="B29" s="33" t="s">
        <v>238</v>
      </c>
      <c r="C29" s="33" t="s">
        <v>22</v>
      </c>
      <c r="D29" s="558">
        <f>SUMIF('3-Ruimtestaat'!B:B,A29,'3-Ruimtestaat'!I:I)</f>
        <v>2362</v>
      </c>
      <c r="E29" s="195" t="e">
        <f>SUMIF('4-Schrobben vloeren'!A:A,A29,'4-Schrobben vloeren'!N:N)</f>
        <v>#DIV/0!</v>
      </c>
      <c r="F29" s="343">
        <f>SUMIF('5-Aanvullend'!A:A,A29,'5-Aanvullend'!J:J)</f>
        <v>0</v>
      </c>
      <c r="G29" s="195">
        <f>SUMIF('6-Ballastbed '!A:A,A29,'6-Ballastbed '!L:L)</f>
        <v>0</v>
      </c>
      <c r="H29" s="344">
        <f>SUMIF('8-Geveldelen  en wanden'!A:A,A29,'8-Geveldelen  en wanden'!I:I)</f>
        <v>0</v>
      </c>
      <c r="I29" s="125">
        <f ca="1">SUMIF('10-Glas kosten totaal'!B:B,A29,'10-Glas kosten totaal'!M:M)</f>
        <v>0</v>
      </c>
      <c r="J29" s="343">
        <f>'11-Machinekosten'!$P$44/'2-Kosten per locatie'!$D$80*'2-Kosten per locatie'!D29</f>
        <v>0</v>
      </c>
      <c r="K29" s="343">
        <f>SUMIF('12-Periodieke beurt'!A:A,A29,'12-Periodieke beurt'!L:L)</f>
        <v>0</v>
      </c>
      <c r="L29" s="195">
        <f>SUMIF('14-Gelijkrichter stations'!$A$15:$A$30,A29,'14-Gelijkrichter stations'!$L$15:$L$30)</f>
        <v>0</v>
      </c>
      <c r="M29" s="195" t="e">
        <f>SUMIF('15- Dienstruimten'!$A$19:$A$32,A29,'15- Dienstruimten'!$G$19:$G$32)</f>
        <v>#DIV/0!</v>
      </c>
      <c r="N29" s="345" t="e">
        <f t="shared" si="0"/>
        <v>#DIV/0!</v>
      </c>
    </row>
    <row r="30" spans="1:14">
      <c r="A30" s="33">
        <v>117</v>
      </c>
      <c r="B30" s="33" t="s">
        <v>297</v>
      </c>
      <c r="C30" s="33" t="s">
        <v>22</v>
      </c>
      <c r="D30" s="558">
        <f>SUMIF('3-Ruimtestaat'!B:B,A30,'3-Ruimtestaat'!I:I)</f>
        <v>2462</v>
      </c>
      <c r="E30" s="195" t="e">
        <f>SUMIF('4-Schrobben vloeren'!A:A,A30,'4-Schrobben vloeren'!N:N)</f>
        <v>#DIV/0!</v>
      </c>
      <c r="F30" s="343">
        <f>SUMIF('5-Aanvullend'!A:A,A30,'5-Aanvullend'!J:J)</f>
        <v>0</v>
      </c>
      <c r="G30" s="195">
        <f>SUMIF('6-Ballastbed '!A:A,A30,'6-Ballastbed '!L:L)</f>
        <v>0</v>
      </c>
      <c r="H30" s="344">
        <f>SUMIF('8-Geveldelen  en wanden'!A:A,A30,'8-Geveldelen  en wanden'!I:I)</f>
        <v>0</v>
      </c>
      <c r="I30" s="125">
        <f ca="1">SUMIF('10-Glas kosten totaal'!B:B,A30,'10-Glas kosten totaal'!M:M)</f>
        <v>0</v>
      </c>
      <c r="J30" s="343">
        <f>'11-Machinekosten'!$P$44/'2-Kosten per locatie'!$D$80*'2-Kosten per locatie'!D30</f>
        <v>0</v>
      </c>
      <c r="K30" s="343">
        <f>SUMIF('12-Periodieke beurt'!A:A,A30,'12-Periodieke beurt'!L:L)</f>
        <v>0</v>
      </c>
      <c r="L30" s="195">
        <f>SUMIF('14-Gelijkrichter stations'!$A$15:$A$30,A30,'14-Gelijkrichter stations'!$L$15:$L$30)</f>
        <v>0</v>
      </c>
      <c r="M30" s="195" t="e">
        <f>SUMIF('15- Dienstruimten'!$A$19:$A$32,A30,'15- Dienstruimten'!$G$19:$G$32)</f>
        <v>#DIV/0!</v>
      </c>
      <c r="N30" s="345" t="e">
        <f t="shared" si="0"/>
        <v>#DIV/0!</v>
      </c>
    </row>
    <row r="31" spans="1:14">
      <c r="A31" s="33">
        <v>118</v>
      </c>
      <c r="B31" s="33" t="s">
        <v>198</v>
      </c>
      <c r="C31" s="33" t="s">
        <v>22</v>
      </c>
      <c r="D31" s="558">
        <f>SUMIF('3-Ruimtestaat'!B:B,A31,'3-Ruimtestaat'!I:I)</f>
        <v>1828</v>
      </c>
      <c r="E31" s="195" t="e">
        <f>SUMIF('4-Schrobben vloeren'!A:A,A31,'4-Schrobben vloeren'!N:N)</f>
        <v>#DIV/0!</v>
      </c>
      <c r="F31" s="343">
        <f>SUMIF('5-Aanvullend'!A:A,A31,'5-Aanvullend'!J:J)</f>
        <v>0</v>
      </c>
      <c r="G31" s="195">
        <f>SUMIF('6-Ballastbed '!A:A,A31,'6-Ballastbed '!L:L)</f>
        <v>0</v>
      </c>
      <c r="H31" s="344">
        <f>SUMIF('8-Geveldelen  en wanden'!A:A,A31,'8-Geveldelen  en wanden'!I:I)</f>
        <v>0</v>
      </c>
      <c r="I31" s="125">
        <f ca="1">SUMIF('10-Glas kosten totaal'!B:B,A31,'10-Glas kosten totaal'!M:M)</f>
        <v>0</v>
      </c>
      <c r="J31" s="343">
        <f>'11-Machinekosten'!$P$44/'2-Kosten per locatie'!$D$80*'2-Kosten per locatie'!D31</f>
        <v>0</v>
      </c>
      <c r="K31" s="343">
        <f>SUMIF('12-Periodieke beurt'!A:A,A31,'12-Periodieke beurt'!L:L)</f>
        <v>0</v>
      </c>
      <c r="L31" s="195">
        <f>SUMIF('14-Gelijkrichter stations'!$A$15:$A$30,A31,'14-Gelijkrichter stations'!$L$15:$L$30)</f>
        <v>0</v>
      </c>
      <c r="M31" s="195" t="e">
        <f>SUMIF('15- Dienstruimten'!$A$19:$A$32,A31,'15- Dienstruimten'!$G$19:$G$32)</f>
        <v>#DIV/0!</v>
      </c>
      <c r="N31" s="345" t="e">
        <f t="shared" si="0"/>
        <v>#DIV/0!</v>
      </c>
    </row>
    <row r="32" spans="1:14">
      <c r="A32" s="33">
        <v>119</v>
      </c>
      <c r="B32" s="33" t="s">
        <v>311</v>
      </c>
      <c r="C32" s="33" t="s">
        <v>22</v>
      </c>
      <c r="D32" s="558">
        <f>SUMIF('3-Ruimtestaat'!B:B,A32,'3-Ruimtestaat'!I:I)</f>
        <v>2153</v>
      </c>
      <c r="E32" s="195" t="e">
        <f>SUMIF('4-Schrobben vloeren'!A:A,A32,'4-Schrobben vloeren'!N:N)</f>
        <v>#DIV/0!</v>
      </c>
      <c r="F32" s="343">
        <f>SUMIF('5-Aanvullend'!A:A,A32,'5-Aanvullend'!J:J)</f>
        <v>0</v>
      </c>
      <c r="G32" s="195">
        <f>SUMIF('6-Ballastbed '!A:A,A32,'6-Ballastbed '!L:L)</f>
        <v>0</v>
      </c>
      <c r="H32" s="344">
        <f>SUMIF('8-Geveldelen  en wanden'!A:A,A32,'8-Geveldelen  en wanden'!I:I)</f>
        <v>0</v>
      </c>
      <c r="I32" s="125">
        <f ca="1">SUMIF('10-Glas kosten totaal'!B:B,A32,'10-Glas kosten totaal'!M:M)</f>
        <v>0</v>
      </c>
      <c r="J32" s="343">
        <f>'11-Machinekosten'!$P$44/'2-Kosten per locatie'!$D$80*'2-Kosten per locatie'!D32</f>
        <v>0</v>
      </c>
      <c r="K32" s="343">
        <f>SUMIF('12-Periodieke beurt'!A:A,A32,'12-Periodieke beurt'!L:L)</f>
        <v>0</v>
      </c>
      <c r="L32" s="195">
        <f>SUMIF('14-Gelijkrichter stations'!$A$15:$A$30,A32,'14-Gelijkrichter stations'!$L$15:$L$30)</f>
        <v>0</v>
      </c>
      <c r="M32" s="195" t="e">
        <f>SUMIF('15- Dienstruimten'!$A$19:$A$32,A32,'15- Dienstruimten'!$G$19:$G$32)</f>
        <v>#DIV/0!</v>
      </c>
      <c r="N32" s="345" t="e">
        <f t="shared" si="0"/>
        <v>#DIV/0!</v>
      </c>
    </row>
    <row r="33" spans="1:14">
      <c r="A33" s="33">
        <v>120</v>
      </c>
      <c r="B33" s="33" t="s">
        <v>301</v>
      </c>
      <c r="C33" s="33" t="s">
        <v>22</v>
      </c>
      <c r="D33" s="558">
        <f>SUMIF('3-Ruimtestaat'!B:B,A33,'3-Ruimtestaat'!I:I)</f>
        <v>2486</v>
      </c>
      <c r="E33" s="195" t="e">
        <f>SUMIF('4-Schrobben vloeren'!A:A,A33,'4-Schrobben vloeren'!N:N)</f>
        <v>#DIV/0!</v>
      </c>
      <c r="F33" s="343">
        <f>SUMIF('5-Aanvullend'!A:A,A33,'5-Aanvullend'!J:J)</f>
        <v>0</v>
      </c>
      <c r="G33" s="195">
        <f>SUMIF('6-Ballastbed '!A:A,A33,'6-Ballastbed '!L:L)</f>
        <v>0</v>
      </c>
      <c r="H33" s="344">
        <f>SUMIF('8-Geveldelen  en wanden'!A:A,A33,'8-Geveldelen  en wanden'!I:I)</f>
        <v>0</v>
      </c>
      <c r="I33" s="125">
        <f ca="1">SUMIF('10-Glas kosten totaal'!B:B,A33,'10-Glas kosten totaal'!M:M)</f>
        <v>0</v>
      </c>
      <c r="J33" s="343">
        <f>'11-Machinekosten'!$P$44/'2-Kosten per locatie'!$D$80*'2-Kosten per locatie'!D33</f>
        <v>0</v>
      </c>
      <c r="K33" s="343">
        <f>SUMIF('12-Periodieke beurt'!A:A,A33,'12-Periodieke beurt'!L:L)</f>
        <v>0</v>
      </c>
      <c r="L33" s="195">
        <f>SUMIF('14-Gelijkrichter stations'!$A$15:$A$30,A33,'14-Gelijkrichter stations'!$L$15:$L$30)</f>
        <v>0</v>
      </c>
      <c r="M33" s="195" t="e">
        <f>SUMIF('15- Dienstruimten'!$A$19:$A$32,A33,'15- Dienstruimten'!$G$19:$G$32)</f>
        <v>#DIV/0!</v>
      </c>
      <c r="N33" s="345" t="e">
        <f t="shared" si="0"/>
        <v>#DIV/0!</v>
      </c>
    </row>
    <row r="34" spans="1:14">
      <c r="A34" s="33">
        <v>121</v>
      </c>
      <c r="B34" s="33" t="s">
        <v>181</v>
      </c>
      <c r="C34" s="33" t="s">
        <v>22</v>
      </c>
      <c r="D34" s="558">
        <f>SUMIF('3-Ruimtestaat'!B:B,A34,'3-Ruimtestaat'!I:I)</f>
        <v>2055.34</v>
      </c>
      <c r="E34" s="195" t="e">
        <f>SUMIF('4-Schrobben vloeren'!A:A,A34,'4-Schrobben vloeren'!N:N)</f>
        <v>#DIV/0!</v>
      </c>
      <c r="F34" s="343">
        <f>SUMIF('5-Aanvullend'!A:A,A34,'5-Aanvullend'!J:J)</f>
        <v>0</v>
      </c>
      <c r="G34" s="195">
        <f>SUMIF('6-Ballastbed '!A:A,A34,'6-Ballastbed '!L:L)</f>
        <v>0</v>
      </c>
      <c r="H34" s="344">
        <f>SUMIF('8-Geveldelen  en wanden'!A:A,A34,'8-Geveldelen  en wanden'!I:I)</f>
        <v>0</v>
      </c>
      <c r="I34" s="125">
        <f ca="1">SUMIF('10-Glas kosten totaal'!B:B,A34,'10-Glas kosten totaal'!M:M)</f>
        <v>0</v>
      </c>
      <c r="J34" s="343">
        <f>'11-Machinekosten'!$P$44/'2-Kosten per locatie'!$D$80*'2-Kosten per locatie'!D34</f>
        <v>0</v>
      </c>
      <c r="K34" s="343">
        <f>SUMIF('12-Periodieke beurt'!A:A,A34,'12-Periodieke beurt'!L:L)</f>
        <v>0</v>
      </c>
      <c r="L34" s="195">
        <f>SUMIF('14-Gelijkrichter stations'!$A$15:$A$30,A34,'14-Gelijkrichter stations'!$L$15:$L$30)</f>
        <v>0</v>
      </c>
      <c r="M34" s="195" t="e">
        <f>SUMIF('15- Dienstruimten'!$A$19:$A$32,A34,'15- Dienstruimten'!$G$19:$G$32)</f>
        <v>#DIV/0!</v>
      </c>
      <c r="N34" s="345" t="e">
        <f t="shared" si="0"/>
        <v>#DIV/0!</v>
      </c>
    </row>
    <row r="35" spans="1:14">
      <c r="A35" s="33">
        <v>1001</v>
      </c>
      <c r="B35" s="33" t="s">
        <v>1040</v>
      </c>
      <c r="C35" s="33" t="s">
        <v>1044</v>
      </c>
      <c r="D35" s="558">
        <f>SUMIF('3-Ruimtestaat'!B:B,A35,'3-Ruimtestaat'!I:I)</f>
        <v>458</v>
      </c>
      <c r="E35" s="195">
        <f>SUMIF('4-Schrobben vloeren'!A:A,A35,'4-Schrobben vloeren'!N:N)</f>
        <v>0</v>
      </c>
      <c r="F35" s="343">
        <f>SUMIF('5-Aanvullend'!A:A,A35,'5-Aanvullend'!J:J)</f>
        <v>0</v>
      </c>
      <c r="G35" s="195">
        <f>SUMIF('6-Ballastbed '!A:A,A35,'6-Ballastbed '!L:L)</f>
        <v>0</v>
      </c>
      <c r="H35" s="344">
        <f>SUMIF('8-Geveldelen  en wanden'!A:A,A35,'8-Geveldelen  en wanden'!I:I)</f>
        <v>0</v>
      </c>
      <c r="I35" s="125">
        <f>SUMIF('10-Glas kosten totaal'!B:B,A35,'10-Glas kosten totaal'!M:M)</f>
        <v>0</v>
      </c>
      <c r="J35" s="343">
        <f>'11-Machinekosten'!$P$44/'2-Kosten per locatie'!$D$80*'2-Kosten per locatie'!D35</f>
        <v>0</v>
      </c>
      <c r="K35" s="343">
        <f>SUMIF('12-Periodieke beurt'!A:A,A35,'12-Periodieke beurt'!L:L)</f>
        <v>0</v>
      </c>
      <c r="L35" s="195">
        <f>SUMIF('14-Gelijkrichter stations'!$A$15:$A$30,A35,'14-Gelijkrichter stations'!$L$15:$L$30)</f>
        <v>0</v>
      </c>
      <c r="M35" s="195">
        <f>SUMIF('15- Dienstruimten'!$A$19:$A$32,A35,'15- Dienstruimten'!$G$19:$G$32)</f>
        <v>0</v>
      </c>
      <c r="N35" s="345">
        <f t="shared" si="0"/>
        <v>0</v>
      </c>
    </row>
    <row r="36" spans="1:14">
      <c r="A36" s="33">
        <v>1002</v>
      </c>
      <c r="B36" s="33" t="s">
        <v>1071</v>
      </c>
      <c r="C36" s="33" t="s">
        <v>1044</v>
      </c>
      <c r="D36" s="558">
        <f>SUMIF('3-Ruimtestaat'!B:B,A36,'3-Ruimtestaat'!I:I)</f>
        <v>2304.3000000000002</v>
      </c>
      <c r="E36" s="195">
        <f>SUMIF('4-Schrobben vloeren'!A:A,A36,'4-Schrobben vloeren'!N:N)</f>
        <v>0</v>
      </c>
      <c r="F36" s="343">
        <f>SUMIF('5-Aanvullend'!A:A,A36,'5-Aanvullend'!J:J)</f>
        <v>0</v>
      </c>
      <c r="G36" s="195">
        <f>SUMIF('6-Ballastbed '!A:A,A36,'6-Ballastbed '!L:L)</f>
        <v>0</v>
      </c>
      <c r="H36" s="344">
        <f>SUMIF('8-Geveldelen  en wanden'!A:A,A36,'8-Geveldelen  en wanden'!I:I)</f>
        <v>0</v>
      </c>
      <c r="I36" s="125">
        <f>SUMIF('10-Glas kosten totaal'!B:B,A36,'10-Glas kosten totaal'!M:M)</f>
        <v>0</v>
      </c>
      <c r="J36" s="343">
        <f>'11-Machinekosten'!$P$44/'2-Kosten per locatie'!$D$80*'2-Kosten per locatie'!D36</f>
        <v>0</v>
      </c>
      <c r="K36" s="343">
        <f>SUMIF('12-Periodieke beurt'!A:A,A36,'12-Periodieke beurt'!L:L)</f>
        <v>0</v>
      </c>
      <c r="L36" s="195">
        <f>SUMIF('14-Gelijkrichter stations'!$A$15:$A$30,A36,'14-Gelijkrichter stations'!$L$15:$L$30)</f>
        <v>0</v>
      </c>
      <c r="M36" s="195" t="e">
        <f>SUMIF('15- Dienstruimten'!$A$19:$A$32,A36,'15- Dienstruimten'!$G$19:$G$32)</f>
        <v>#DIV/0!</v>
      </c>
      <c r="N36" s="345">
        <f t="shared" si="0"/>
        <v>0</v>
      </c>
    </row>
    <row r="37" spans="1:14">
      <c r="A37" s="59">
        <v>201</v>
      </c>
      <c r="B37" s="59" t="s">
        <v>1554</v>
      </c>
      <c r="C37" s="59" t="s">
        <v>1420</v>
      </c>
      <c r="D37" s="558">
        <f>SUMIF('3-Ruimtestaat'!B:B,A37,'3-Ruimtestaat'!I:I)</f>
        <v>507</v>
      </c>
      <c r="E37" s="195">
        <f>SUMIF('4-Schrobben vloeren'!A:A,A37,'4-Schrobben vloeren'!N:N)</f>
        <v>0</v>
      </c>
      <c r="F37" s="343">
        <f>SUMIF('5-Aanvullend'!A:A,A37,'5-Aanvullend'!J:J)</f>
        <v>0</v>
      </c>
      <c r="G37" s="195">
        <f>SUMIF('6-Ballastbed '!A:A,A37,'6-Ballastbed '!L:L)</f>
        <v>0</v>
      </c>
      <c r="H37" s="344">
        <f>SUMIF('8-Geveldelen  en wanden'!A:A,A37,'8-Geveldelen  en wanden'!I:I)</f>
        <v>0</v>
      </c>
      <c r="I37" s="125">
        <f ca="1">SUMIF('10-Glas kosten totaal'!B:B,A37,'10-Glas kosten totaal'!M:M)</f>
        <v>0</v>
      </c>
      <c r="J37" s="343">
        <f>'11-Machinekosten'!$P$44/'2-Kosten per locatie'!$D$80*'2-Kosten per locatie'!D37</f>
        <v>0</v>
      </c>
      <c r="K37" s="343">
        <f>SUMIF('12-Periodieke beurt'!A:A,A37,'12-Periodieke beurt'!L:L)</f>
        <v>0</v>
      </c>
      <c r="L37" s="195">
        <f>SUMIF('14-Gelijkrichter stations'!$A$15:$A$30,A37,'14-Gelijkrichter stations'!$L$15:$L$30)</f>
        <v>0</v>
      </c>
      <c r="M37" s="195">
        <f>SUMIF('15- Dienstruimten'!$A$19:$A$32,A37,'15- Dienstruimten'!$G$19:$G$32)</f>
        <v>0</v>
      </c>
      <c r="N37" s="345">
        <f t="shared" ca="1" si="0"/>
        <v>0</v>
      </c>
    </row>
    <row r="38" spans="1:14">
      <c r="A38" s="59">
        <v>202</v>
      </c>
      <c r="B38" s="59" t="s">
        <v>1421</v>
      </c>
      <c r="C38" s="59" t="s">
        <v>1420</v>
      </c>
      <c r="D38" s="558">
        <f>SUMIF('3-Ruimtestaat'!B:B,A38,'3-Ruimtestaat'!I:I)</f>
        <v>671</v>
      </c>
      <c r="E38" s="195">
        <f>SUMIF('4-Schrobben vloeren'!A:A,A38,'4-Schrobben vloeren'!N:N)</f>
        <v>0</v>
      </c>
      <c r="F38" s="343">
        <f>SUMIF('5-Aanvullend'!A:A,A38,'5-Aanvullend'!J:J)</f>
        <v>0</v>
      </c>
      <c r="G38" s="195">
        <f>SUMIF('6-Ballastbed '!A:A,A38,'6-Ballastbed '!L:L)</f>
        <v>0</v>
      </c>
      <c r="H38" s="344">
        <f>SUMIF('8-Geveldelen  en wanden'!A:A,A38,'8-Geveldelen  en wanden'!I:I)</f>
        <v>0</v>
      </c>
      <c r="I38" s="125">
        <f ca="1">SUMIF('10-Glas kosten totaal'!B:B,A38,'10-Glas kosten totaal'!M:M)</f>
        <v>0</v>
      </c>
      <c r="J38" s="343">
        <f>'11-Machinekosten'!$P$44/'2-Kosten per locatie'!$D$80*'2-Kosten per locatie'!D38</f>
        <v>0</v>
      </c>
      <c r="K38" s="343">
        <f>SUMIF('12-Periodieke beurt'!A:A,A38,'12-Periodieke beurt'!L:L)</f>
        <v>0</v>
      </c>
      <c r="L38" s="195">
        <f>SUMIF('14-Gelijkrichter stations'!$A$15:$A$30,A38,'14-Gelijkrichter stations'!$L$15:$L$30)</f>
        <v>0</v>
      </c>
      <c r="M38" s="195">
        <f>SUMIF('15- Dienstruimten'!$A$19:$A$32,A38,'15- Dienstruimten'!$G$19:$G$32)</f>
        <v>0</v>
      </c>
      <c r="N38" s="345">
        <f t="shared" ca="1" si="0"/>
        <v>0</v>
      </c>
    </row>
    <row r="39" spans="1:14">
      <c r="A39" s="59">
        <v>203</v>
      </c>
      <c r="B39" s="59" t="s">
        <v>1422</v>
      </c>
      <c r="C39" s="59" t="s">
        <v>1420</v>
      </c>
      <c r="D39" s="558">
        <f>SUMIF('3-Ruimtestaat'!B:B,A39,'3-Ruimtestaat'!I:I)</f>
        <v>589</v>
      </c>
      <c r="E39" s="195">
        <f>SUMIF('4-Schrobben vloeren'!A:A,A39,'4-Schrobben vloeren'!N:N)</f>
        <v>0</v>
      </c>
      <c r="F39" s="343">
        <f>SUMIF('5-Aanvullend'!A:A,A39,'5-Aanvullend'!J:J)</f>
        <v>0</v>
      </c>
      <c r="G39" s="195">
        <f>SUMIF('6-Ballastbed '!A:A,A39,'6-Ballastbed '!L:L)</f>
        <v>0</v>
      </c>
      <c r="H39" s="344">
        <f>SUMIF('8-Geveldelen  en wanden'!A:A,A39,'8-Geveldelen  en wanden'!I:I)</f>
        <v>0</v>
      </c>
      <c r="I39" s="125">
        <f ca="1">SUMIF('10-Glas kosten totaal'!B:B,A39,'10-Glas kosten totaal'!M:M)</f>
        <v>0</v>
      </c>
      <c r="J39" s="343">
        <f>'11-Machinekosten'!$P$44/'2-Kosten per locatie'!$D$80*'2-Kosten per locatie'!D39</f>
        <v>0</v>
      </c>
      <c r="K39" s="343">
        <f>SUMIF('12-Periodieke beurt'!A:A,A39,'12-Periodieke beurt'!L:L)</f>
        <v>0</v>
      </c>
      <c r="L39" s="195">
        <f>SUMIF('14-Gelijkrichter stations'!$A$15:$A$30,A39,'14-Gelijkrichter stations'!$L$15:$L$30)</f>
        <v>0</v>
      </c>
      <c r="M39" s="195">
        <f>SUMIF('15- Dienstruimten'!$A$19:$A$32,A39,'15- Dienstruimten'!$G$19:$G$32)</f>
        <v>0</v>
      </c>
      <c r="N39" s="345">
        <f t="shared" ca="1" si="0"/>
        <v>0</v>
      </c>
    </row>
    <row r="40" spans="1:14">
      <c r="A40" s="59">
        <v>204</v>
      </c>
      <c r="B40" s="59" t="s">
        <v>1423</v>
      </c>
      <c r="C40" s="59" t="s">
        <v>1420</v>
      </c>
      <c r="D40" s="558">
        <f>SUMIF('3-Ruimtestaat'!B:B,A40,'3-Ruimtestaat'!I:I)</f>
        <v>662</v>
      </c>
      <c r="E40" s="195">
        <f>SUMIF('4-Schrobben vloeren'!A:A,A40,'4-Schrobben vloeren'!N:N)</f>
        <v>0</v>
      </c>
      <c r="F40" s="343">
        <f>SUMIF('5-Aanvullend'!A:A,A40,'5-Aanvullend'!J:J)</f>
        <v>0</v>
      </c>
      <c r="G40" s="195">
        <f>SUMIF('6-Ballastbed '!A:A,A40,'6-Ballastbed '!L:L)</f>
        <v>0</v>
      </c>
      <c r="H40" s="344">
        <f>SUMIF('8-Geveldelen  en wanden'!A:A,A40,'8-Geveldelen  en wanden'!I:I)</f>
        <v>0</v>
      </c>
      <c r="I40" s="125">
        <f ca="1">SUMIF('10-Glas kosten totaal'!B:B,A40,'10-Glas kosten totaal'!M:M)</f>
        <v>0</v>
      </c>
      <c r="J40" s="343">
        <f>'11-Machinekosten'!$P$44/'2-Kosten per locatie'!$D$80*'2-Kosten per locatie'!D40</f>
        <v>0</v>
      </c>
      <c r="K40" s="343">
        <f>SUMIF('12-Periodieke beurt'!A:A,A40,'12-Periodieke beurt'!L:L)</f>
        <v>0</v>
      </c>
      <c r="L40" s="195">
        <f>SUMIF('14-Gelijkrichter stations'!$A$15:$A$30,A40,'14-Gelijkrichter stations'!$L$15:$L$30)</f>
        <v>0</v>
      </c>
      <c r="M40" s="195">
        <f>SUMIF('15- Dienstruimten'!$A$19:$A$32,A40,'15- Dienstruimten'!$G$19:$G$32)</f>
        <v>0</v>
      </c>
      <c r="N40" s="345">
        <f t="shared" ca="1" si="0"/>
        <v>0</v>
      </c>
    </row>
    <row r="41" spans="1:14">
      <c r="A41" s="59">
        <v>205</v>
      </c>
      <c r="B41" s="59" t="s">
        <v>1424</v>
      </c>
      <c r="C41" s="59" t="s">
        <v>1420</v>
      </c>
      <c r="D41" s="558">
        <f>SUMIF('3-Ruimtestaat'!B:B,A41,'3-Ruimtestaat'!I:I)</f>
        <v>662</v>
      </c>
      <c r="E41" s="195">
        <f>SUMIF('4-Schrobben vloeren'!A:A,A41,'4-Schrobben vloeren'!N:N)</f>
        <v>0</v>
      </c>
      <c r="F41" s="343">
        <f>SUMIF('5-Aanvullend'!A:A,A41,'5-Aanvullend'!J:J)</f>
        <v>0</v>
      </c>
      <c r="G41" s="195">
        <f>SUMIF('6-Ballastbed '!A:A,A41,'6-Ballastbed '!L:L)</f>
        <v>0</v>
      </c>
      <c r="H41" s="344">
        <f>SUMIF('8-Geveldelen  en wanden'!A:A,A41,'8-Geveldelen  en wanden'!I:I)</f>
        <v>0</v>
      </c>
      <c r="I41" s="125">
        <f ca="1">SUMIF('10-Glas kosten totaal'!B:B,A41,'10-Glas kosten totaal'!M:M)</f>
        <v>0</v>
      </c>
      <c r="J41" s="343">
        <f>'11-Machinekosten'!$P$44/'2-Kosten per locatie'!$D$80*'2-Kosten per locatie'!D41</f>
        <v>0</v>
      </c>
      <c r="K41" s="343">
        <f>SUMIF('12-Periodieke beurt'!A:A,A41,'12-Periodieke beurt'!L:L)</f>
        <v>0</v>
      </c>
      <c r="L41" s="195">
        <f>SUMIF('14-Gelijkrichter stations'!$A$15:$A$30,A41,'14-Gelijkrichter stations'!$L$15:$L$30)</f>
        <v>0</v>
      </c>
      <c r="M41" s="195">
        <f>SUMIF('15- Dienstruimten'!$A$19:$A$32,A41,'15- Dienstruimten'!$G$19:$G$32)</f>
        <v>0</v>
      </c>
      <c r="N41" s="345">
        <f t="shared" ca="1" si="0"/>
        <v>0</v>
      </c>
    </row>
    <row r="42" spans="1:14">
      <c r="A42" s="59">
        <v>206</v>
      </c>
      <c r="B42" s="59" t="s">
        <v>1425</v>
      </c>
      <c r="C42" s="59" t="s">
        <v>1420</v>
      </c>
      <c r="D42" s="558">
        <f>SUMIF('3-Ruimtestaat'!B:B,A42,'3-Ruimtestaat'!I:I)</f>
        <v>530</v>
      </c>
      <c r="E42" s="195">
        <f>SUMIF('4-Schrobben vloeren'!A:A,A42,'4-Schrobben vloeren'!N:N)</f>
        <v>0</v>
      </c>
      <c r="F42" s="343">
        <f>SUMIF('5-Aanvullend'!A:A,A42,'5-Aanvullend'!J:J)</f>
        <v>0</v>
      </c>
      <c r="G42" s="195">
        <f>SUMIF('6-Ballastbed '!A:A,A42,'6-Ballastbed '!L:L)</f>
        <v>0</v>
      </c>
      <c r="H42" s="344">
        <f>SUMIF('8-Geveldelen  en wanden'!A:A,A42,'8-Geveldelen  en wanden'!I:I)</f>
        <v>0</v>
      </c>
      <c r="I42" s="125">
        <f ca="1">SUMIF('10-Glas kosten totaal'!B:B,A42,'10-Glas kosten totaal'!M:M)</f>
        <v>0</v>
      </c>
      <c r="J42" s="343">
        <f>'11-Machinekosten'!$P$44/'2-Kosten per locatie'!$D$80*'2-Kosten per locatie'!D42</f>
        <v>0</v>
      </c>
      <c r="K42" s="343">
        <f>SUMIF('12-Periodieke beurt'!A:A,A42,'12-Periodieke beurt'!L:L)</f>
        <v>0</v>
      </c>
      <c r="L42" s="195">
        <f>SUMIF('14-Gelijkrichter stations'!$A$15:$A$30,A42,'14-Gelijkrichter stations'!$L$15:$L$30)</f>
        <v>0</v>
      </c>
      <c r="M42" s="195">
        <f>SUMIF('15- Dienstruimten'!$A$19:$A$32,A42,'15- Dienstruimten'!$G$19:$G$32)</f>
        <v>0</v>
      </c>
      <c r="N42" s="345">
        <f t="shared" ca="1" si="0"/>
        <v>0</v>
      </c>
    </row>
    <row r="43" spans="1:14">
      <c r="A43" s="59">
        <v>207</v>
      </c>
      <c r="B43" s="59" t="s">
        <v>1426</v>
      </c>
      <c r="C43" s="59" t="s">
        <v>1420</v>
      </c>
      <c r="D43" s="558">
        <f>SUMIF('3-Ruimtestaat'!B:B,A43,'3-Ruimtestaat'!I:I)</f>
        <v>600</v>
      </c>
      <c r="E43" s="195">
        <f>SUMIF('4-Schrobben vloeren'!A:A,A43,'4-Schrobben vloeren'!N:N)</f>
        <v>0</v>
      </c>
      <c r="F43" s="343">
        <f>SUMIF('5-Aanvullend'!A:A,A43,'5-Aanvullend'!J:J)</f>
        <v>0</v>
      </c>
      <c r="G43" s="195">
        <f>SUMIF('6-Ballastbed '!A:A,A43,'6-Ballastbed '!L:L)</f>
        <v>0</v>
      </c>
      <c r="H43" s="344">
        <f>SUMIF('8-Geveldelen  en wanden'!A:A,A43,'8-Geveldelen  en wanden'!I:I)</f>
        <v>0</v>
      </c>
      <c r="I43" s="125">
        <f ca="1">SUMIF('10-Glas kosten totaal'!B:B,A43,'10-Glas kosten totaal'!M:M)</f>
        <v>0</v>
      </c>
      <c r="J43" s="343">
        <f>'11-Machinekosten'!$P$44/'2-Kosten per locatie'!$D$80*'2-Kosten per locatie'!D43</f>
        <v>0</v>
      </c>
      <c r="K43" s="343">
        <f>SUMIF('12-Periodieke beurt'!A:A,A43,'12-Periodieke beurt'!L:L)</f>
        <v>0</v>
      </c>
      <c r="L43" s="195">
        <f>SUMIF('14-Gelijkrichter stations'!$A$15:$A$30,A43,'14-Gelijkrichter stations'!$L$15:$L$30)</f>
        <v>0</v>
      </c>
      <c r="M43" s="195">
        <f>SUMIF('15- Dienstruimten'!$A$19:$A$32,A43,'15- Dienstruimten'!$G$19:$G$32)</f>
        <v>0</v>
      </c>
      <c r="N43" s="345">
        <f t="shared" ca="1" si="0"/>
        <v>0</v>
      </c>
    </row>
    <row r="44" spans="1:14">
      <c r="A44" s="59">
        <v>208</v>
      </c>
      <c r="B44" s="59" t="s">
        <v>1689</v>
      </c>
      <c r="C44" s="59" t="s">
        <v>1420</v>
      </c>
      <c r="D44" s="558">
        <f>SUMIF('3-Ruimtestaat'!B:B,A44,'3-Ruimtestaat'!I:I)</f>
        <v>609</v>
      </c>
      <c r="E44" s="195">
        <f>SUMIF('4-Schrobben vloeren'!A:A,A44,'4-Schrobben vloeren'!N:N)</f>
        <v>0</v>
      </c>
      <c r="F44" s="343">
        <f>SUMIF('5-Aanvullend'!A:A,A44,'5-Aanvullend'!J:J)</f>
        <v>0</v>
      </c>
      <c r="G44" s="195">
        <f>SUMIF('6-Ballastbed '!A:A,A44,'6-Ballastbed '!L:L)</f>
        <v>0</v>
      </c>
      <c r="H44" s="344">
        <f>SUMIF('8-Geveldelen  en wanden'!A:A,A44,'8-Geveldelen  en wanden'!I:I)</f>
        <v>0</v>
      </c>
      <c r="I44" s="125">
        <f ca="1">SUMIF('10-Glas kosten totaal'!B:B,A44,'10-Glas kosten totaal'!M:M)</f>
        <v>0</v>
      </c>
      <c r="J44" s="343">
        <f>'11-Machinekosten'!$P$44/'2-Kosten per locatie'!$D$80*'2-Kosten per locatie'!D44</f>
        <v>0</v>
      </c>
      <c r="K44" s="343">
        <f>SUMIF('12-Periodieke beurt'!A:A,A44,'12-Periodieke beurt'!L:L)</f>
        <v>0</v>
      </c>
      <c r="L44" s="195">
        <f>SUMIF('14-Gelijkrichter stations'!$A$15:$A$30,A44,'14-Gelijkrichter stations'!$L$15:$L$30)</f>
        <v>0</v>
      </c>
      <c r="M44" s="195">
        <f>SUMIF('15- Dienstruimten'!$A$19:$A$32,A44,'15- Dienstruimten'!$G$19:$G$32)</f>
        <v>0</v>
      </c>
      <c r="N44" s="345">
        <f t="shared" ca="1" si="0"/>
        <v>0</v>
      </c>
    </row>
    <row r="45" spans="1:14">
      <c r="A45" s="59">
        <v>209</v>
      </c>
      <c r="B45" s="59" t="s">
        <v>1690</v>
      </c>
      <c r="C45" s="59" t="s">
        <v>1420</v>
      </c>
      <c r="D45" s="558">
        <f>SUMIF('3-Ruimtestaat'!B:B,A45,'3-Ruimtestaat'!I:I)</f>
        <v>903</v>
      </c>
      <c r="E45" s="195">
        <f>SUMIF('4-Schrobben vloeren'!A:A,A45,'4-Schrobben vloeren'!N:N)</f>
        <v>0</v>
      </c>
      <c r="F45" s="343">
        <f>SUMIF('5-Aanvullend'!A:A,A45,'5-Aanvullend'!J:J)</f>
        <v>0</v>
      </c>
      <c r="G45" s="195">
        <f>SUMIF('6-Ballastbed '!A:A,A45,'6-Ballastbed '!L:L)</f>
        <v>0</v>
      </c>
      <c r="H45" s="344">
        <f>SUMIF('8-Geveldelen  en wanden'!A:A,A45,'8-Geveldelen  en wanden'!I:I)</f>
        <v>0</v>
      </c>
      <c r="I45" s="125">
        <f ca="1">SUMIF('10-Glas kosten totaal'!B:B,A45,'10-Glas kosten totaal'!M:M)</f>
        <v>0</v>
      </c>
      <c r="J45" s="343">
        <f>'11-Machinekosten'!$P$44/'2-Kosten per locatie'!$D$80*'2-Kosten per locatie'!D45</f>
        <v>0</v>
      </c>
      <c r="K45" s="343">
        <f>SUMIF('12-Periodieke beurt'!A:A,A45,'12-Periodieke beurt'!L:L)</f>
        <v>0</v>
      </c>
      <c r="L45" s="195">
        <f>SUMIF('14-Gelijkrichter stations'!$A$15:$A$30,A45,'14-Gelijkrichter stations'!$L$15:$L$30)</f>
        <v>0</v>
      </c>
      <c r="M45" s="195">
        <f>SUMIF('15- Dienstruimten'!$A$19:$A$32,A45,'15- Dienstruimten'!$G$19:$G$32)</f>
        <v>0</v>
      </c>
      <c r="N45" s="345">
        <f t="shared" ca="1" si="0"/>
        <v>0</v>
      </c>
    </row>
    <row r="46" spans="1:14">
      <c r="A46" s="59">
        <v>210</v>
      </c>
      <c r="B46" s="59" t="s">
        <v>1691</v>
      </c>
      <c r="C46" s="59" t="s">
        <v>1420</v>
      </c>
      <c r="D46" s="558">
        <f>SUMIF('3-Ruimtestaat'!B:B,A46,'3-Ruimtestaat'!I:I)</f>
        <v>662</v>
      </c>
      <c r="E46" s="195">
        <f>SUMIF('4-Schrobben vloeren'!A:A,A46,'4-Schrobben vloeren'!N:N)</f>
        <v>0</v>
      </c>
      <c r="F46" s="343">
        <f>SUMIF('5-Aanvullend'!A:A,A46,'5-Aanvullend'!J:J)</f>
        <v>0</v>
      </c>
      <c r="G46" s="195">
        <f>SUMIF('6-Ballastbed '!A:A,A46,'6-Ballastbed '!L:L)</f>
        <v>0</v>
      </c>
      <c r="H46" s="344">
        <f>SUMIF('8-Geveldelen  en wanden'!A:A,A46,'8-Geveldelen  en wanden'!I:I)</f>
        <v>0</v>
      </c>
      <c r="I46" s="125">
        <f ca="1">SUMIF('10-Glas kosten totaal'!B:B,A46,'10-Glas kosten totaal'!M:M)</f>
        <v>0</v>
      </c>
      <c r="J46" s="343">
        <f>'11-Machinekosten'!$P$44/'2-Kosten per locatie'!$D$80*'2-Kosten per locatie'!D46</f>
        <v>0</v>
      </c>
      <c r="K46" s="343">
        <f>SUMIF('12-Periodieke beurt'!A:A,A46,'12-Periodieke beurt'!L:L)</f>
        <v>0</v>
      </c>
      <c r="L46" s="195">
        <f>SUMIF('14-Gelijkrichter stations'!$A$15:$A$30,A46,'14-Gelijkrichter stations'!$L$15:$L$30)</f>
        <v>0</v>
      </c>
      <c r="M46" s="195">
        <f>SUMIF('15- Dienstruimten'!$A$19:$A$32,A46,'15- Dienstruimten'!$G$19:$G$32)</f>
        <v>0</v>
      </c>
      <c r="N46" s="345">
        <f t="shared" ref="N46:N77" ca="1" si="1">SUM(E46:K46)</f>
        <v>0</v>
      </c>
    </row>
    <row r="47" spans="1:14">
      <c r="A47" s="59">
        <v>211</v>
      </c>
      <c r="B47" s="59" t="s">
        <v>1692</v>
      </c>
      <c r="C47" s="59" t="s">
        <v>1420</v>
      </c>
      <c r="D47" s="558">
        <f>SUMIF('3-Ruimtestaat'!B:B,A47,'3-Ruimtestaat'!I:I)</f>
        <v>398</v>
      </c>
      <c r="E47" s="195">
        <f>SUMIF('4-Schrobben vloeren'!A:A,A47,'4-Schrobben vloeren'!N:N)</f>
        <v>0</v>
      </c>
      <c r="F47" s="343">
        <f>SUMIF('5-Aanvullend'!A:A,A47,'5-Aanvullend'!J:J)</f>
        <v>0</v>
      </c>
      <c r="G47" s="195">
        <f>SUMIF('6-Ballastbed '!A:A,A47,'6-Ballastbed '!L:L)</f>
        <v>0</v>
      </c>
      <c r="H47" s="344">
        <f>SUMIF('8-Geveldelen  en wanden'!A:A,A47,'8-Geveldelen  en wanden'!I:I)</f>
        <v>0</v>
      </c>
      <c r="I47" s="125">
        <f ca="1">SUMIF('10-Glas kosten totaal'!B:B,A47,'10-Glas kosten totaal'!M:M)</f>
        <v>0</v>
      </c>
      <c r="J47" s="343">
        <f>'11-Machinekosten'!$P$44/'2-Kosten per locatie'!$D$80*'2-Kosten per locatie'!D47</f>
        <v>0</v>
      </c>
      <c r="K47" s="343">
        <f>SUMIF('12-Periodieke beurt'!A:A,A47,'12-Periodieke beurt'!L:L)</f>
        <v>0</v>
      </c>
      <c r="L47" s="195">
        <f>SUMIF('14-Gelijkrichter stations'!$A$15:$A$30,A47,'14-Gelijkrichter stations'!$L$15:$L$30)</f>
        <v>0</v>
      </c>
      <c r="M47" s="195">
        <f>SUMIF('15- Dienstruimten'!$A$19:$A$32,A47,'15- Dienstruimten'!$G$19:$G$32)</f>
        <v>0</v>
      </c>
      <c r="N47" s="345">
        <f t="shared" ca="1" si="1"/>
        <v>0</v>
      </c>
    </row>
    <row r="48" spans="1:14">
      <c r="A48" s="59">
        <v>212</v>
      </c>
      <c r="B48" s="59" t="s">
        <v>1693</v>
      </c>
      <c r="C48" s="59" t="s">
        <v>1420</v>
      </c>
      <c r="D48" s="558">
        <f>SUMIF('3-Ruimtestaat'!B:B,A48,'3-Ruimtestaat'!I:I)</f>
        <v>378</v>
      </c>
      <c r="E48" s="195">
        <f>SUMIF('4-Schrobben vloeren'!A:A,A48,'4-Schrobben vloeren'!N:N)</f>
        <v>0</v>
      </c>
      <c r="F48" s="343">
        <f>SUMIF('5-Aanvullend'!A:A,A48,'5-Aanvullend'!J:J)</f>
        <v>0</v>
      </c>
      <c r="G48" s="195">
        <f>SUMIF('6-Ballastbed '!A:A,A48,'6-Ballastbed '!L:L)</f>
        <v>0</v>
      </c>
      <c r="H48" s="344">
        <f>SUMIF('8-Geveldelen  en wanden'!A:A,A48,'8-Geveldelen  en wanden'!I:I)</f>
        <v>0</v>
      </c>
      <c r="I48" s="125">
        <f ca="1">SUMIF('10-Glas kosten totaal'!B:B,A48,'10-Glas kosten totaal'!M:M)</f>
        <v>0</v>
      </c>
      <c r="J48" s="343">
        <f>'11-Machinekosten'!$P$44/'2-Kosten per locatie'!$D$80*'2-Kosten per locatie'!D48</f>
        <v>0</v>
      </c>
      <c r="K48" s="343">
        <f>SUMIF('12-Periodieke beurt'!A:A,A48,'12-Periodieke beurt'!L:L)</f>
        <v>0</v>
      </c>
      <c r="L48" s="195">
        <f>SUMIF('14-Gelijkrichter stations'!$A$15:$A$30,A48,'14-Gelijkrichter stations'!$L$15:$L$30)</f>
        <v>0</v>
      </c>
      <c r="M48" s="195">
        <f>SUMIF('15- Dienstruimten'!$A$19:$A$32,A48,'15- Dienstruimten'!$G$19:$G$32)</f>
        <v>0</v>
      </c>
      <c r="N48" s="345">
        <f t="shared" ca="1" si="1"/>
        <v>0</v>
      </c>
    </row>
    <row r="49" spans="1:14">
      <c r="A49" s="59">
        <v>213</v>
      </c>
      <c r="B49" s="59" t="s">
        <v>1694</v>
      </c>
      <c r="C49" s="59" t="s">
        <v>1420</v>
      </c>
      <c r="D49" s="558">
        <f>SUMIF('3-Ruimtestaat'!B:B,A49,'3-Ruimtestaat'!I:I)</f>
        <v>492</v>
      </c>
      <c r="E49" s="195">
        <f>SUMIF('4-Schrobben vloeren'!A:A,A49,'4-Schrobben vloeren'!N:N)</f>
        <v>0</v>
      </c>
      <c r="F49" s="343">
        <f>SUMIF('5-Aanvullend'!A:A,A49,'5-Aanvullend'!J:J)</f>
        <v>0</v>
      </c>
      <c r="G49" s="195">
        <f>SUMIF('6-Ballastbed '!A:A,A49,'6-Ballastbed '!L:L)</f>
        <v>0</v>
      </c>
      <c r="H49" s="344">
        <f>SUMIF('8-Geveldelen  en wanden'!A:A,A49,'8-Geveldelen  en wanden'!I:I)</f>
        <v>0</v>
      </c>
      <c r="I49" s="125">
        <f ca="1">SUMIF('10-Glas kosten totaal'!B:B,A49,'10-Glas kosten totaal'!M:M)</f>
        <v>0</v>
      </c>
      <c r="J49" s="343">
        <f>'11-Machinekosten'!$P$44/'2-Kosten per locatie'!$D$80*'2-Kosten per locatie'!D49</f>
        <v>0</v>
      </c>
      <c r="K49" s="343">
        <f>SUMIF('12-Periodieke beurt'!A:A,A49,'12-Periodieke beurt'!L:L)</f>
        <v>0</v>
      </c>
      <c r="L49" s="195">
        <f>SUMIF('14-Gelijkrichter stations'!$A$15:$A$30,A49,'14-Gelijkrichter stations'!$L$15:$L$30)</f>
        <v>0</v>
      </c>
      <c r="M49" s="195">
        <f>SUMIF('15- Dienstruimten'!$A$19:$A$32,A49,'15- Dienstruimten'!$G$19:$G$32)</f>
        <v>0</v>
      </c>
      <c r="N49" s="345">
        <f t="shared" ca="1" si="1"/>
        <v>0</v>
      </c>
    </row>
    <row r="50" spans="1:14">
      <c r="A50" s="59">
        <v>214</v>
      </c>
      <c r="B50" s="59" t="s">
        <v>1695</v>
      </c>
      <c r="C50" s="59" t="s">
        <v>1420</v>
      </c>
      <c r="D50" s="558">
        <f>SUMIF('3-Ruimtestaat'!B:B,A50,'3-Ruimtestaat'!I:I)</f>
        <v>467</v>
      </c>
      <c r="E50" s="195">
        <f>SUMIF('4-Schrobben vloeren'!A:A,A50,'4-Schrobben vloeren'!N:N)</f>
        <v>0</v>
      </c>
      <c r="F50" s="343">
        <f>SUMIF('5-Aanvullend'!A:A,A50,'5-Aanvullend'!J:J)</f>
        <v>0</v>
      </c>
      <c r="G50" s="195">
        <f>SUMIF('6-Ballastbed '!A:A,A50,'6-Ballastbed '!L:L)</f>
        <v>0</v>
      </c>
      <c r="H50" s="344">
        <f>SUMIF('8-Geveldelen  en wanden'!A:A,A50,'8-Geveldelen  en wanden'!I:I)</f>
        <v>0</v>
      </c>
      <c r="I50" s="125">
        <f ca="1">SUMIF('10-Glas kosten totaal'!B:B,A50,'10-Glas kosten totaal'!M:M)</f>
        <v>0</v>
      </c>
      <c r="J50" s="343">
        <f>'11-Machinekosten'!$P$44/'2-Kosten per locatie'!$D$80*'2-Kosten per locatie'!D50</f>
        <v>0</v>
      </c>
      <c r="K50" s="343">
        <f>SUMIF('12-Periodieke beurt'!A:A,A50,'12-Periodieke beurt'!L:L)</f>
        <v>0</v>
      </c>
      <c r="L50" s="195">
        <f>SUMIF('14-Gelijkrichter stations'!$A$15:$A$30,A50,'14-Gelijkrichter stations'!$L$15:$L$30)</f>
        <v>0</v>
      </c>
      <c r="M50" s="195">
        <f>SUMIF('15- Dienstruimten'!$A$19:$A$32,A50,'15- Dienstruimten'!$G$19:$G$32)</f>
        <v>0</v>
      </c>
      <c r="N50" s="345">
        <f t="shared" ca="1" si="1"/>
        <v>0</v>
      </c>
    </row>
    <row r="51" spans="1:14">
      <c r="A51" s="59">
        <v>215</v>
      </c>
      <c r="B51" s="59" t="s">
        <v>1696</v>
      </c>
      <c r="C51" s="59" t="s">
        <v>1420</v>
      </c>
      <c r="D51" s="558">
        <f>SUMIF('3-Ruimtestaat'!B:B,A51,'3-Ruimtestaat'!I:I)</f>
        <v>510</v>
      </c>
      <c r="E51" s="195">
        <f>SUMIF('4-Schrobben vloeren'!A:A,A51,'4-Schrobben vloeren'!N:N)</f>
        <v>0</v>
      </c>
      <c r="F51" s="343">
        <f>SUMIF('5-Aanvullend'!A:A,A51,'5-Aanvullend'!J:J)</f>
        <v>0</v>
      </c>
      <c r="G51" s="195">
        <f>SUMIF('6-Ballastbed '!A:A,A51,'6-Ballastbed '!L:L)</f>
        <v>0</v>
      </c>
      <c r="H51" s="344">
        <f>SUMIF('8-Geveldelen  en wanden'!A:A,A51,'8-Geveldelen  en wanden'!I:I)</f>
        <v>0</v>
      </c>
      <c r="I51" s="125">
        <f ca="1">SUMIF('10-Glas kosten totaal'!B:B,A51,'10-Glas kosten totaal'!M:M)</f>
        <v>0</v>
      </c>
      <c r="J51" s="343">
        <f>'11-Machinekosten'!$P$44/'2-Kosten per locatie'!$D$80*'2-Kosten per locatie'!D51</f>
        <v>0</v>
      </c>
      <c r="K51" s="343">
        <f>SUMIF('12-Periodieke beurt'!A:A,A51,'12-Periodieke beurt'!L:L)</f>
        <v>0</v>
      </c>
      <c r="L51" s="195">
        <f>SUMIF('14-Gelijkrichter stations'!$A$15:$A$30,A51,'14-Gelijkrichter stations'!$L$15:$L$30)</f>
        <v>0</v>
      </c>
      <c r="M51" s="195">
        <f>SUMIF('15- Dienstruimten'!$A$19:$A$32,A51,'15- Dienstruimten'!$G$19:$G$32)</f>
        <v>0</v>
      </c>
      <c r="N51" s="345">
        <f t="shared" ca="1" si="1"/>
        <v>0</v>
      </c>
    </row>
    <row r="52" spans="1:14">
      <c r="A52" s="59">
        <v>301</v>
      </c>
      <c r="B52" s="59" t="s">
        <v>1427</v>
      </c>
      <c r="C52" s="59" t="s">
        <v>1411</v>
      </c>
      <c r="D52" s="558">
        <f>SUMIF('3-Ruimtestaat'!B:B,A52,'3-Ruimtestaat'!I:I)</f>
        <v>1893.5</v>
      </c>
      <c r="E52" s="195">
        <f>SUMIF('4-Schrobben vloeren'!A:A,A52,'4-Schrobben vloeren'!N:N)</f>
        <v>0</v>
      </c>
      <c r="F52" s="343">
        <f>SUMIF('5-Aanvullend'!A:A,A52,'5-Aanvullend'!J:J)</f>
        <v>0</v>
      </c>
      <c r="G52" s="195">
        <f>SUMIF('6-Ballastbed '!A:A,A52,'6-Ballastbed '!L:L)</f>
        <v>0</v>
      </c>
      <c r="H52" s="344">
        <f>SUMIF('8-Geveldelen  en wanden'!A:A,A52,'8-Geveldelen  en wanden'!I:I)</f>
        <v>0</v>
      </c>
      <c r="I52" s="125">
        <f ca="1">SUMIF('10-Glas kosten totaal'!B:B,A52,'10-Glas kosten totaal'!M:M)</f>
        <v>0</v>
      </c>
      <c r="J52" s="343">
        <f>'11-Machinekosten'!$P$44/'2-Kosten per locatie'!$D$80*'2-Kosten per locatie'!D52</f>
        <v>0</v>
      </c>
      <c r="K52" s="343">
        <f>SUMIF('12-Periodieke beurt'!A:A,A52,'12-Periodieke beurt'!L:L)</f>
        <v>0</v>
      </c>
      <c r="L52" s="195">
        <f>SUMIF('14-Gelijkrichter stations'!$A$15:$A$30,A52,'14-Gelijkrichter stations'!$L$15:$L$30)</f>
        <v>0</v>
      </c>
      <c r="M52" s="195">
        <f>SUMIF('15- Dienstruimten'!$A$19:$A$32,A52,'15- Dienstruimten'!$G$19:$G$32)</f>
        <v>0</v>
      </c>
      <c r="N52" s="345">
        <f t="shared" ca="1" si="1"/>
        <v>0</v>
      </c>
    </row>
    <row r="53" spans="1:14">
      <c r="A53" s="59">
        <v>302</v>
      </c>
      <c r="B53" s="59" t="s">
        <v>1410</v>
      </c>
      <c r="C53" s="59" t="s">
        <v>1411</v>
      </c>
      <c r="D53" s="558">
        <f>SUMIF('3-Ruimtestaat'!B:B,A53,'3-Ruimtestaat'!I:I)</f>
        <v>1561</v>
      </c>
      <c r="E53" s="195" t="e">
        <f>SUMIF('4-Schrobben vloeren'!A:A,A53,'4-Schrobben vloeren'!N:N)</f>
        <v>#DIV/0!</v>
      </c>
      <c r="F53" s="343">
        <f>SUMIF('5-Aanvullend'!A:A,A53,'5-Aanvullend'!J:J)</f>
        <v>0</v>
      </c>
      <c r="G53" s="195">
        <f>SUMIF('6-Ballastbed '!A:A,A53,'6-Ballastbed '!L:L)</f>
        <v>0</v>
      </c>
      <c r="H53" s="344">
        <f>SUMIF('8-Geveldelen  en wanden'!A:A,A53,'8-Geveldelen  en wanden'!I:I)</f>
        <v>0</v>
      </c>
      <c r="I53" s="125">
        <f ca="1">SUMIF('10-Glas kosten totaal'!B:B,A53,'10-Glas kosten totaal'!M:M)</f>
        <v>0</v>
      </c>
      <c r="J53" s="343">
        <f>'11-Machinekosten'!$P$44/'2-Kosten per locatie'!$D$80*'2-Kosten per locatie'!D53</f>
        <v>0</v>
      </c>
      <c r="K53" s="343">
        <f>SUMIF('12-Periodieke beurt'!A:A,A53,'12-Periodieke beurt'!L:L)</f>
        <v>0</v>
      </c>
      <c r="L53" s="195">
        <f>SUMIF('14-Gelijkrichter stations'!$A$15:$A$30,A53,'14-Gelijkrichter stations'!$L$15:$L$30)</f>
        <v>0</v>
      </c>
      <c r="M53" s="195">
        <f>SUMIF('15- Dienstruimten'!$A$19:$A$32,A53,'15- Dienstruimten'!$G$19:$G$32)</f>
        <v>0</v>
      </c>
      <c r="N53" s="345" t="e">
        <f t="shared" si="1"/>
        <v>#DIV/0!</v>
      </c>
    </row>
    <row r="54" spans="1:14">
      <c r="A54" s="59">
        <v>303</v>
      </c>
      <c r="B54" s="59" t="s">
        <v>133</v>
      </c>
      <c r="C54" s="59" t="s">
        <v>1411</v>
      </c>
      <c r="D54" s="558">
        <f>SUMIF('3-Ruimtestaat'!B:B,A54,'3-Ruimtestaat'!I:I)</f>
        <v>3138</v>
      </c>
      <c r="E54" s="195" t="e">
        <f>SUMIF('4-Schrobben vloeren'!A:A,A54,'4-Schrobben vloeren'!N:N)</f>
        <v>#DIV/0!</v>
      </c>
      <c r="F54" s="343">
        <f>SUMIF('5-Aanvullend'!A:A,A54,'5-Aanvullend'!J:J)</f>
        <v>0</v>
      </c>
      <c r="G54" s="195">
        <f>SUMIF('6-Ballastbed '!A:A,A54,'6-Ballastbed '!L:L)</f>
        <v>0</v>
      </c>
      <c r="H54" s="344">
        <f>SUMIF('8-Geveldelen  en wanden'!A:A,A54,'8-Geveldelen  en wanden'!I:I)</f>
        <v>0</v>
      </c>
      <c r="I54" s="125">
        <f ca="1">SUMIF('10-Glas kosten totaal'!B:B,A54,'10-Glas kosten totaal'!M:M)</f>
        <v>0</v>
      </c>
      <c r="J54" s="343">
        <f>'11-Machinekosten'!$P$44/'2-Kosten per locatie'!$D$80*'2-Kosten per locatie'!D54</f>
        <v>0</v>
      </c>
      <c r="K54" s="343">
        <f>SUMIF('12-Periodieke beurt'!A:A,A54,'12-Periodieke beurt'!L:L)</f>
        <v>0</v>
      </c>
      <c r="L54" s="195">
        <f>SUMIF('14-Gelijkrichter stations'!$A$15:$A$30,A54,'14-Gelijkrichter stations'!$L$15:$L$30)</f>
        <v>0</v>
      </c>
      <c r="M54" s="195" t="e">
        <f>SUMIF('15- Dienstruimten'!$A$19:$A$32,A54,'15- Dienstruimten'!$G$19:$G$32)</f>
        <v>#DIV/0!</v>
      </c>
      <c r="N54" s="345" t="e">
        <f t="shared" si="1"/>
        <v>#DIV/0!</v>
      </c>
    </row>
    <row r="55" spans="1:14" ht="14.25">
      <c r="A55" s="59">
        <v>304</v>
      </c>
      <c r="B55" s="60" t="s">
        <v>1414</v>
      </c>
      <c r="C55" s="59" t="s">
        <v>1411</v>
      </c>
      <c r="D55" s="558">
        <f>SUMIF('3-Ruimtestaat'!B:B,A55,'3-Ruimtestaat'!I:I)</f>
        <v>2088</v>
      </c>
      <c r="E55" s="195">
        <f>SUMIF('4-Schrobben vloeren'!A:A,A55,'4-Schrobben vloeren'!N:N)</f>
        <v>0</v>
      </c>
      <c r="F55" s="343">
        <f>SUMIF('5-Aanvullend'!A:A,A55,'5-Aanvullend'!J:J)</f>
        <v>0</v>
      </c>
      <c r="G55" s="195">
        <f>SUMIF('6-Ballastbed '!A:A,A55,'6-Ballastbed '!L:L)</f>
        <v>0</v>
      </c>
      <c r="H55" s="344">
        <f>SUMIF('8-Geveldelen  en wanden'!A:A,A55,'8-Geveldelen  en wanden'!I:I)</f>
        <v>0</v>
      </c>
      <c r="I55" s="125">
        <f ca="1">SUMIF('10-Glas kosten totaal'!B:B,A55,'10-Glas kosten totaal'!M:M)</f>
        <v>0</v>
      </c>
      <c r="J55" s="343">
        <f>'11-Machinekosten'!$P$44/'2-Kosten per locatie'!$D$80*'2-Kosten per locatie'!D55</f>
        <v>0</v>
      </c>
      <c r="K55" s="343">
        <f>SUMIF('12-Periodieke beurt'!A:A,A55,'12-Periodieke beurt'!L:L)</f>
        <v>0</v>
      </c>
      <c r="L55" s="195">
        <f>SUMIF('14-Gelijkrichter stations'!$A$15:$A$30,A55,'14-Gelijkrichter stations'!$L$15:$L$30)</f>
        <v>0</v>
      </c>
      <c r="M55" s="195">
        <f>SUMIF('15- Dienstruimten'!$A$19:$A$32,A55,'15- Dienstruimten'!$G$19:$G$32)</f>
        <v>0</v>
      </c>
      <c r="N55" s="345">
        <f t="shared" ca="1" si="1"/>
        <v>0</v>
      </c>
    </row>
    <row r="56" spans="1:14">
      <c r="A56" s="59">
        <v>305</v>
      </c>
      <c r="B56" s="59" t="s">
        <v>1417</v>
      </c>
      <c r="C56" s="59" t="s">
        <v>1411</v>
      </c>
      <c r="D56" s="558">
        <f>SUMIF('3-Ruimtestaat'!B:B,A56,'3-Ruimtestaat'!I:I)</f>
        <v>1499</v>
      </c>
      <c r="E56" s="195">
        <f>SUMIF('4-Schrobben vloeren'!A:A,A56,'4-Schrobben vloeren'!N:N)</f>
        <v>0</v>
      </c>
      <c r="F56" s="343">
        <f>SUMIF('5-Aanvullend'!A:A,A56,'5-Aanvullend'!J:J)</f>
        <v>0</v>
      </c>
      <c r="G56" s="195">
        <f>SUMIF('6-Ballastbed '!A:A,A56,'6-Ballastbed '!L:L)</f>
        <v>0</v>
      </c>
      <c r="H56" s="344">
        <f>SUMIF('8-Geveldelen  en wanden'!A:A,A56,'8-Geveldelen  en wanden'!I:I)</f>
        <v>0</v>
      </c>
      <c r="I56" s="125">
        <f ca="1">SUMIF('10-Glas kosten totaal'!B:B,A56,'10-Glas kosten totaal'!M:M)</f>
        <v>0</v>
      </c>
      <c r="J56" s="343">
        <f>'11-Machinekosten'!$P$44/'2-Kosten per locatie'!$D$80*'2-Kosten per locatie'!D56</f>
        <v>0</v>
      </c>
      <c r="K56" s="343">
        <f>SUMIF('12-Periodieke beurt'!A:A,A56,'12-Periodieke beurt'!L:L)</f>
        <v>0</v>
      </c>
      <c r="L56" s="195">
        <f>SUMIF('14-Gelijkrichter stations'!$A$15:$A$30,A56,'14-Gelijkrichter stations'!$L$15:$L$30)</f>
        <v>0</v>
      </c>
      <c r="M56" s="195">
        <f>SUMIF('15- Dienstruimten'!$A$19:$A$32,A56,'15- Dienstruimten'!$G$19:$G$32)</f>
        <v>0</v>
      </c>
      <c r="N56" s="345">
        <f t="shared" ca="1" si="1"/>
        <v>0</v>
      </c>
    </row>
    <row r="57" spans="1:14">
      <c r="A57" s="59">
        <v>306</v>
      </c>
      <c r="B57" s="59" t="s">
        <v>1418</v>
      </c>
      <c r="C57" s="59" t="s">
        <v>1411</v>
      </c>
      <c r="D57" s="558">
        <f>SUMIF('3-Ruimtestaat'!B:B,A57,'3-Ruimtestaat'!I:I)</f>
        <v>1709</v>
      </c>
      <c r="E57" s="195">
        <f>SUMIF('4-Schrobben vloeren'!A:A,A57,'4-Schrobben vloeren'!N:N)</f>
        <v>0</v>
      </c>
      <c r="F57" s="343">
        <f>SUMIF('5-Aanvullend'!A:A,A57,'5-Aanvullend'!J:J)</f>
        <v>0</v>
      </c>
      <c r="G57" s="195">
        <f>SUMIF('6-Ballastbed '!A:A,A57,'6-Ballastbed '!L:L)</f>
        <v>0</v>
      </c>
      <c r="H57" s="344">
        <f>SUMIF('8-Geveldelen  en wanden'!A:A,A57,'8-Geveldelen  en wanden'!I:I)</f>
        <v>0</v>
      </c>
      <c r="I57" s="125">
        <f ca="1">SUMIF('10-Glas kosten totaal'!B:B,A57,'10-Glas kosten totaal'!M:M)</f>
        <v>0</v>
      </c>
      <c r="J57" s="343">
        <f>'11-Machinekosten'!$P$44/'2-Kosten per locatie'!$D$80*'2-Kosten per locatie'!D57</f>
        <v>0</v>
      </c>
      <c r="K57" s="343">
        <f>SUMIF('12-Periodieke beurt'!A:A,A57,'12-Periodieke beurt'!L:L)</f>
        <v>0</v>
      </c>
      <c r="L57" s="195">
        <f>SUMIF('14-Gelijkrichter stations'!$A$15:$A$30,A57,'14-Gelijkrichter stations'!$L$15:$L$30)</f>
        <v>0</v>
      </c>
      <c r="M57" s="195">
        <f>SUMIF('15- Dienstruimten'!$A$19:$A$32,A57,'15- Dienstruimten'!$G$19:$G$32)</f>
        <v>0</v>
      </c>
      <c r="N57" s="345">
        <f t="shared" ca="1" si="1"/>
        <v>0</v>
      </c>
    </row>
    <row r="58" spans="1:14">
      <c r="A58" s="59">
        <v>307</v>
      </c>
      <c r="B58" s="59" t="s">
        <v>1412</v>
      </c>
      <c r="C58" s="59" t="s">
        <v>1411</v>
      </c>
      <c r="D58" s="558">
        <f>SUMIF('3-Ruimtestaat'!B:B,A58,'3-Ruimtestaat'!I:I)</f>
        <v>2949.2000000000003</v>
      </c>
      <c r="E58" s="195" t="e">
        <f>SUMIF('4-Schrobben vloeren'!A:A,A58,'4-Schrobben vloeren'!N:N)</f>
        <v>#DIV/0!</v>
      </c>
      <c r="F58" s="343">
        <f>SUMIF('5-Aanvullend'!A:A,A58,'5-Aanvullend'!J:J)</f>
        <v>0</v>
      </c>
      <c r="G58" s="195">
        <f>SUMIF('6-Ballastbed '!A:A,A58,'6-Ballastbed '!L:L)</f>
        <v>0</v>
      </c>
      <c r="H58" s="344">
        <f>SUMIF('8-Geveldelen  en wanden'!A:A,A58,'8-Geveldelen  en wanden'!I:I)</f>
        <v>0</v>
      </c>
      <c r="I58" s="125">
        <f ca="1">SUMIF('10-Glas kosten totaal'!B:B,A58,'10-Glas kosten totaal'!M:M)</f>
        <v>0</v>
      </c>
      <c r="J58" s="343">
        <f>'11-Machinekosten'!$P$44/'2-Kosten per locatie'!$D$80*'2-Kosten per locatie'!D58</f>
        <v>0</v>
      </c>
      <c r="K58" s="343">
        <f>SUMIF('12-Periodieke beurt'!A:A,A58,'12-Periodieke beurt'!L:L)</f>
        <v>0</v>
      </c>
      <c r="L58" s="195">
        <f>SUMIF('14-Gelijkrichter stations'!$A$15:$A$30,A58,'14-Gelijkrichter stations'!$L$15:$L$30)</f>
        <v>0</v>
      </c>
      <c r="M58" s="195" t="e">
        <f>SUMIF('15- Dienstruimten'!$A$19:$A$32,A58,'15- Dienstruimten'!$G$19:$G$32)</f>
        <v>#DIV/0!</v>
      </c>
      <c r="N58" s="345" t="e">
        <f t="shared" si="1"/>
        <v>#DIV/0!</v>
      </c>
    </row>
    <row r="59" spans="1:14">
      <c r="A59" s="59">
        <v>308</v>
      </c>
      <c r="B59" s="59" t="s">
        <v>1419</v>
      </c>
      <c r="C59" s="59" t="s">
        <v>1411</v>
      </c>
      <c r="D59" s="558">
        <f>SUMIF('3-Ruimtestaat'!B:B,A59,'3-Ruimtestaat'!I:I)</f>
        <v>1400.41</v>
      </c>
      <c r="E59" s="195">
        <f>SUMIF('4-Schrobben vloeren'!A:A,A59,'4-Schrobben vloeren'!N:N)</f>
        <v>0</v>
      </c>
      <c r="F59" s="343">
        <f>SUMIF('5-Aanvullend'!A:A,A59,'5-Aanvullend'!J:J)</f>
        <v>0</v>
      </c>
      <c r="G59" s="195">
        <f>SUMIF('6-Ballastbed '!A:A,A59,'6-Ballastbed '!L:L)</f>
        <v>0</v>
      </c>
      <c r="H59" s="344">
        <f>SUMIF('8-Geveldelen  en wanden'!A:A,A59,'8-Geveldelen  en wanden'!I:I)</f>
        <v>0</v>
      </c>
      <c r="I59" s="125">
        <f ca="1">SUMIF('10-Glas kosten totaal'!B:B,A59,'10-Glas kosten totaal'!M:M)</f>
        <v>0</v>
      </c>
      <c r="J59" s="343">
        <f>'11-Machinekosten'!$P$44/'2-Kosten per locatie'!$D$80*'2-Kosten per locatie'!D59</f>
        <v>0</v>
      </c>
      <c r="K59" s="343">
        <f>SUMIF('12-Periodieke beurt'!A:A,A59,'12-Periodieke beurt'!L:L)</f>
        <v>0</v>
      </c>
      <c r="L59" s="195">
        <f>SUMIF('14-Gelijkrichter stations'!$A$15:$A$30,A59,'14-Gelijkrichter stations'!$L$15:$L$30)</f>
        <v>0</v>
      </c>
      <c r="M59" s="195">
        <f>SUMIF('15- Dienstruimten'!$A$19:$A$32,A59,'15- Dienstruimten'!$G$19:$G$32)</f>
        <v>0</v>
      </c>
      <c r="N59" s="345">
        <f t="shared" ca="1" si="1"/>
        <v>0</v>
      </c>
    </row>
    <row r="60" spans="1:14">
      <c r="A60" s="59">
        <v>309</v>
      </c>
      <c r="B60" s="59" t="s">
        <v>1415</v>
      </c>
      <c r="C60" s="59" t="s">
        <v>1411</v>
      </c>
      <c r="D60" s="558">
        <f>SUMIF('3-Ruimtestaat'!B:B,A60,'3-Ruimtestaat'!I:I)</f>
        <v>1382.41</v>
      </c>
      <c r="E60" s="195">
        <f>SUMIF('4-Schrobben vloeren'!A:A,A60,'4-Schrobben vloeren'!N:N)</f>
        <v>0</v>
      </c>
      <c r="F60" s="343">
        <f>SUMIF('5-Aanvullend'!A:A,A60,'5-Aanvullend'!J:J)</f>
        <v>0</v>
      </c>
      <c r="G60" s="195">
        <f>SUMIF('6-Ballastbed '!A:A,A60,'6-Ballastbed '!L:L)</f>
        <v>0</v>
      </c>
      <c r="H60" s="344">
        <f>SUMIF('8-Geveldelen  en wanden'!A:A,A60,'8-Geveldelen  en wanden'!I:I)</f>
        <v>0</v>
      </c>
      <c r="I60" s="125">
        <f ca="1">SUMIF('10-Glas kosten totaal'!B:B,A60,'10-Glas kosten totaal'!M:M)</f>
        <v>0</v>
      </c>
      <c r="J60" s="343">
        <f>'11-Machinekosten'!$P$44/'2-Kosten per locatie'!$D$80*'2-Kosten per locatie'!D60</f>
        <v>0</v>
      </c>
      <c r="K60" s="343">
        <f>SUMIF('12-Periodieke beurt'!A:A,A60,'12-Periodieke beurt'!L:L)</f>
        <v>0</v>
      </c>
      <c r="L60" s="195">
        <f>SUMIF('14-Gelijkrichter stations'!$A$15:$A$30,A60,'14-Gelijkrichter stations'!$L$15:$L$30)</f>
        <v>0</v>
      </c>
      <c r="M60" s="195">
        <f>SUMIF('15- Dienstruimten'!$A$19:$A$32,A60,'15- Dienstruimten'!$G$19:$G$32)</f>
        <v>0</v>
      </c>
      <c r="N60" s="345">
        <f t="shared" ca="1" si="1"/>
        <v>0</v>
      </c>
    </row>
    <row r="61" spans="1:14">
      <c r="A61" s="59">
        <v>310</v>
      </c>
      <c r="B61" s="59" t="s">
        <v>1416</v>
      </c>
      <c r="C61" s="59" t="s">
        <v>1411</v>
      </c>
      <c r="D61" s="558">
        <f>SUMIF('3-Ruimtestaat'!B:B,A61,'3-Ruimtestaat'!I:I)</f>
        <v>1514.41</v>
      </c>
      <c r="E61" s="195">
        <f>SUMIF('4-Schrobben vloeren'!A:A,A61,'4-Schrobben vloeren'!N:N)</f>
        <v>0</v>
      </c>
      <c r="F61" s="343">
        <f>SUMIF('5-Aanvullend'!A:A,A61,'5-Aanvullend'!J:J)</f>
        <v>0</v>
      </c>
      <c r="G61" s="195">
        <f>SUMIF('6-Ballastbed '!A:A,A61,'6-Ballastbed '!L:L)</f>
        <v>0</v>
      </c>
      <c r="H61" s="344">
        <f>SUMIF('8-Geveldelen  en wanden'!A:A,A61,'8-Geveldelen  en wanden'!I:I)</f>
        <v>0</v>
      </c>
      <c r="I61" s="125">
        <f ca="1">SUMIF('10-Glas kosten totaal'!B:B,A61,'10-Glas kosten totaal'!M:M)</f>
        <v>0</v>
      </c>
      <c r="J61" s="343">
        <f>'11-Machinekosten'!$P$44/'2-Kosten per locatie'!$D$80*'2-Kosten per locatie'!D61</f>
        <v>0</v>
      </c>
      <c r="K61" s="343">
        <f>SUMIF('12-Periodieke beurt'!A:A,A61,'12-Periodieke beurt'!L:L)</f>
        <v>0</v>
      </c>
      <c r="L61" s="195">
        <f>SUMIF('14-Gelijkrichter stations'!$A$15:$A$30,A61,'14-Gelijkrichter stations'!$L$15:$L$30)</f>
        <v>0</v>
      </c>
      <c r="M61" s="195">
        <f>SUMIF('15- Dienstruimten'!$A$19:$A$32,A61,'15- Dienstruimten'!$G$19:$G$32)</f>
        <v>0</v>
      </c>
      <c r="N61" s="345">
        <f t="shared" ca="1" si="1"/>
        <v>0</v>
      </c>
    </row>
    <row r="62" spans="1:14">
      <c r="A62" s="59">
        <v>311</v>
      </c>
      <c r="B62" s="59" t="s">
        <v>1413</v>
      </c>
      <c r="C62" s="59" t="s">
        <v>1411</v>
      </c>
      <c r="D62" s="558">
        <f>SUMIF('3-Ruimtestaat'!B:B,A62,'3-Ruimtestaat'!I:I)</f>
        <v>2186</v>
      </c>
      <c r="E62" s="195" t="e">
        <f>SUMIF('4-Schrobben vloeren'!A:A,A62,'4-Schrobben vloeren'!N:N)</f>
        <v>#DIV/0!</v>
      </c>
      <c r="F62" s="343">
        <f>SUMIF('5-Aanvullend'!A:A,A62,'5-Aanvullend'!J:J)</f>
        <v>0</v>
      </c>
      <c r="G62" s="195">
        <f>SUMIF('6-Ballastbed '!A:A,A62,'6-Ballastbed '!L:L)</f>
        <v>0</v>
      </c>
      <c r="H62" s="344">
        <f>SUMIF('8-Geveldelen  en wanden'!A:A,A62,'8-Geveldelen  en wanden'!I:I)</f>
        <v>0</v>
      </c>
      <c r="I62" s="125">
        <f ca="1">SUMIF('10-Glas kosten totaal'!B:B,A62,'10-Glas kosten totaal'!M:M)</f>
        <v>0</v>
      </c>
      <c r="J62" s="343">
        <f>'11-Machinekosten'!$P$44/'2-Kosten per locatie'!$D$80*'2-Kosten per locatie'!D62</f>
        <v>0</v>
      </c>
      <c r="K62" s="343">
        <f>SUMIF('12-Periodieke beurt'!A:A,A62,'12-Periodieke beurt'!L:L)</f>
        <v>0</v>
      </c>
      <c r="L62" s="195">
        <f>SUMIF('14-Gelijkrichter stations'!$A$15:$A$30,A62,'14-Gelijkrichter stations'!$L$15:$L$30)</f>
        <v>0</v>
      </c>
      <c r="M62" s="195">
        <f>SUMIF('15- Dienstruimten'!$A$19:$A$32,A62,'15- Dienstruimten'!$G$19:$G$32)</f>
        <v>0</v>
      </c>
      <c r="N62" s="345" t="e">
        <f t="shared" si="1"/>
        <v>#DIV/0!</v>
      </c>
    </row>
    <row r="63" spans="1:14">
      <c r="A63" s="59">
        <v>312</v>
      </c>
      <c r="B63" s="59" t="s">
        <v>1429</v>
      </c>
      <c r="C63" s="59" t="s">
        <v>1411</v>
      </c>
      <c r="D63" s="558">
        <f>SUMIF('3-Ruimtestaat'!B:B,A63,'3-Ruimtestaat'!I:I)</f>
        <v>1511.41</v>
      </c>
      <c r="E63" s="195">
        <f>SUMIF('4-Schrobben vloeren'!A:A,A63,'4-Schrobben vloeren'!N:N)</f>
        <v>0</v>
      </c>
      <c r="F63" s="343">
        <f>SUMIF('5-Aanvullend'!A:A,A63,'5-Aanvullend'!J:J)</f>
        <v>0</v>
      </c>
      <c r="G63" s="195">
        <f>SUMIF('6-Ballastbed '!A:A,A63,'6-Ballastbed '!L:L)</f>
        <v>0</v>
      </c>
      <c r="H63" s="344">
        <f>SUMIF('8-Geveldelen  en wanden'!A:A,A63,'8-Geveldelen  en wanden'!I:I)</f>
        <v>0</v>
      </c>
      <c r="I63" s="125">
        <f ca="1">SUMIF('10-Glas kosten totaal'!B:B,A63,'10-Glas kosten totaal'!M:M)</f>
        <v>0</v>
      </c>
      <c r="J63" s="343">
        <f>'11-Machinekosten'!$P$44/'2-Kosten per locatie'!$D$80*'2-Kosten per locatie'!D63</f>
        <v>0</v>
      </c>
      <c r="K63" s="343">
        <f>SUMIF('12-Periodieke beurt'!A:A,A63,'12-Periodieke beurt'!L:L)</f>
        <v>0</v>
      </c>
      <c r="L63" s="195">
        <f>SUMIF('14-Gelijkrichter stations'!$A$15:$A$30,A63,'14-Gelijkrichter stations'!$L$15:$L$30)</f>
        <v>0</v>
      </c>
      <c r="M63" s="195">
        <f>SUMIF('15- Dienstruimten'!$A$19:$A$32,A63,'15- Dienstruimten'!$G$19:$G$32)</f>
        <v>0</v>
      </c>
      <c r="N63" s="345">
        <f t="shared" ca="1" si="1"/>
        <v>0</v>
      </c>
    </row>
    <row r="64" spans="1:14">
      <c r="A64" s="59">
        <v>401</v>
      </c>
      <c r="B64" s="59" t="s">
        <v>1556</v>
      </c>
      <c r="C64" s="59" t="s">
        <v>1557</v>
      </c>
      <c r="D64" s="558">
        <f>SUMIF('3-Ruimtestaat'!B:B,A64,'3-Ruimtestaat'!I:I)</f>
        <v>237</v>
      </c>
      <c r="E64" s="195">
        <f>SUMIF('4-Schrobben vloeren'!A:A,A64,'4-Schrobben vloeren'!N:N)</f>
        <v>0</v>
      </c>
      <c r="F64" s="343">
        <f>SUMIF('5-Aanvullend'!A:A,A64,'5-Aanvullend'!J:J)</f>
        <v>0</v>
      </c>
      <c r="G64" s="195">
        <f>SUMIF('6-Ballastbed '!A:A,A64,'6-Ballastbed '!L:L)</f>
        <v>0</v>
      </c>
      <c r="H64" s="344">
        <f>SUMIF('8-Geveldelen  en wanden'!A:A,A64,'8-Geveldelen  en wanden'!I:I)</f>
        <v>0</v>
      </c>
      <c r="I64" s="125">
        <f ca="1">SUMIF('10-Glas kosten totaal'!B:B,A64,'10-Glas kosten totaal'!M:M)</f>
        <v>0</v>
      </c>
      <c r="J64" s="343">
        <f>'11-Machinekosten'!$P$44/'2-Kosten per locatie'!$D$80*'2-Kosten per locatie'!D64</f>
        <v>0</v>
      </c>
      <c r="K64" s="343">
        <f>SUMIF('12-Periodieke beurt'!A:A,A64,'12-Periodieke beurt'!L:L)</f>
        <v>0</v>
      </c>
      <c r="L64" s="195">
        <f>SUMIF('14-Gelijkrichter stations'!$A$15:$A$30,A64,'14-Gelijkrichter stations'!$L$15:$L$30)</f>
        <v>0</v>
      </c>
      <c r="M64" s="195">
        <f>SUMIF('15- Dienstruimten'!$A$19:$A$32,A64,'15- Dienstruimten'!$G$19:$G$32)</f>
        <v>0</v>
      </c>
      <c r="N64" s="345">
        <f t="shared" ca="1" si="1"/>
        <v>0</v>
      </c>
    </row>
    <row r="65" spans="1:14">
      <c r="A65" s="59">
        <v>402</v>
      </c>
      <c r="B65" s="59" t="s">
        <v>289</v>
      </c>
      <c r="C65" s="59" t="s">
        <v>1557</v>
      </c>
      <c r="D65" s="558">
        <f>SUMIF('3-Ruimtestaat'!B:B,A65,'3-Ruimtestaat'!I:I)</f>
        <v>265</v>
      </c>
      <c r="E65" s="195">
        <f>SUMIF('4-Schrobben vloeren'!A:A,A65,'4-Schrobben vloeren'!N:N)</f>
        <v>0</v>
      </c>
      <c r="F65" s="343">
        <f>SUMIF('5-Aanvullend'!A:A,A65,'5-Aanvullend'!J:J)</f>
        <v>0</v>
      </c>
      <c r="G65" s="195">
        <f>SUMIF('6-Ballastbed '!A:A,A65,'6-Ballastbed '!L:L)</f>
        <v>0</v>
      </c>
      <c r="H65" s="344">
        <f>SUMIF('8-Geveldelen  en wanden'!A:A,A65,'8-Geveldelen  en wanden'!I:I)</f>
        <v>0</v>
      </c>
      <c r="I65" s="125">
        <f ca="1">SUMIF('10-Glas kosten totaal'!B:B,A65,'10-Glas kosten totaal'!M:M)</f>
        <v>0</v>
      </c>
      <c r="J65" s="343">
        <f>'11-Machinekosten'!$P$44/'2-Kosten per locatie'!$D$80*'2-Kosten per locatie'!D65</f>
        <v>0</v>
      </c>
      <c r="K65" s="343">
        <f>SUMIF('12-Periodieke beurt'!A:A,A65,'12-Periodieke beurt'!L:L)</f>
        <v>0</v>
      </c>
      <c r="L65" s="195">
        <f>SUMIF('14-Gelijkrichter stations'!$A$15:$A$30,A65,'14-Gelijkrichter stations'!$L$15:$L$30)</f>
        <v>0</v>
      </c>
      <c r="M65" s="195">
        <f>SUMIF('15- Dienstruimten'!$A$19:$A$32,A65,'15- Dienstruimten'!$G$19:$G$32)</f>
        <v>0</v>
      </c>
      <c r="N65" s="345">
        <f t="shared" ca="1" si="1"/>
        <v>0</v>
      </c>
    </row>
    <row r="66" spans="1:14">
      <c r="A66" s="59">
        <v>403</v>
      </c>
      <c r="B66" s="59" t="s">
        <v>103</v>
      </c>
      <c r="C66" s="59" t="s">
        <v>1557</v>
      </c>
      <c r="D66" s="558">
        <f>SUMIF('3-Ruimtestaat'!B:B,A66,'3-Ruimtestaat'!I:I)</f>
        <v>486</v>
      </c>
      <c r="E66" s="195">
        <f>SUMIF('4-Schrobben vloeren'!A:A,A66,'4-Schrobben vloeren'!N:N)</f>
        <v>0</v>
      </c>
      <c r="F66" s="343">
        <f>SUMIF('5-Aanvullend'!A:A,A66,'5-Aanvullend'!J:J)</f>
        <v>0</v>
      </c>
      <c r="G66" s="195">
        <f>SUMIF('6-Ballastbed '!A:A,A66,'6-Ballastbed '!L:L)</f>
        <v>0</v>
      </c>
      <c r="H66" s="344">
        <f>SUMIF('8-Geveldelen  en wanden'!A:A,A66,'8-Geveldelen  en wanden'!I:I)</f>
        <v>0</v>
      </c>
      <c r="I66" s="125">
        <f ca="1">SUMIF('10-Glas kosten totaal'!B:B,A66,'10-Glas kosten totaal'!M:M)</f>
        <v>0</v>
      </c>
      <c r="J66" s="343">
        <f>'11-Machinekosten'!$P$44/'2-Kosten per locatie'!$D$80*'2-Kosten per locatie'!D66</f>
        <v>0</v>
      </c>
      <c r="K66" s="343">
        <f>SUMIF('12-Periodieke beurt'!A:A,A66,'12-Periodieke beurt'!L:L)</f>
        <v>0</v>
      </c>
      <c r="L66" s="195">
        <f>SUMIF('14-Gelijkrichter stations'!$A$15:$A$30,A66,'14-Gelijkrichter stations'!$L$15:$L$30)</f>
        <v>0</v>
      </c>
      <c r="M66" s="195">
        <f>SUMIF('15- Dienstruimten'!$A$19:$A$32,A66,'15- Dienstruimten'!$G$19:$G$32)</f>
        <v>0</v>
      </c>
      <c r="N66" s="345">
        <f t="shared" ca="1" si="1"/>
        <v>0</v>
      </c>
    </row>
    <row r="67" spans="1:14">
      <c r="A67" s="59">
        <v>404</v>
      </c>
      <c r="B67" s="59" t="s">
        <v>140</v>
      </c>
      <c r="C67" s="59" t="s">
        <v>1557</v>
      </c>
      <c r="D67" s="558">
        <f>SUMIF('3-Ruimtestaat'!B:B,A67,'3-Ruimtestaat'!I:I)</f>
        <v>141</v>
      </c>
      <c r="E67" s="195">
        <f>SUMIF('4-Schrobben vloeren'!A:A,A67,'4-Schrobben vloeren'!N:N)</f>
        <v>0</v>
      </c>
      <c r="F67" s="343">
        <f>SUMIF('5-Aanvullend'!A:A,A67,'5-Aanvullend'!J:J)</f>
        <v>0</v>
      </c>
      <c r="G67" s="195">
        <f>SUMIF('6-Ballastbed '!A:A,A67,'6-Ballastbed '!L:L)</f>
        <v>0</v>
      </c>
      <c r="H67" s="344">
        <f>SUMIF('8-Geveldelen  en wanden'!A:A,A67,'8-Geveldelen  en wanden'!I:I)</f>
        <v>0</v>
      </c>
      <c r="I67" s="125">
        <f ca="1">SUMIF('10-Glas kosten totaal'!B:B,A67,'10-Glas kosten totaal'!M:M)</f>
        <v>0</v>
      </c>
      <c r="J67" s="343">
        <f>'11-Machinekosten'!$P$44/'2-Kosten per locatie'!$D$80*'2-Kosten per locatie'!D67</f>
        <v>0</v>
      </c>
      <c r="K67" s="343">
        <f>SUMIF('12-Periodieke beurt'!A:A,A67,'12-Periodieke beurt'!L:L)</f>
        <v>0</v>
      </c>
      <c r="L67" s="195">
        <f>SUMIF('14-Gelijkrichter stations'!$A$15:$A$30,A67,'14-Gelijkrichter stations'!$L$15:$L$30)</f>
        <v>0</v>
      </c>
      <c r="M67" s="195">
        <f>SUMIF('15- Dienstruimten'!$A$19:$A$32,A67,'15- Dienstruimten'!$G$19:$G$32)</f>
        <v>0</v>
      </c>
      <c r="N67" s="345">
        <f t="shared" ca="1" si="1"/>
        <v>0</v>
      </c>
    </row>
    <row r="68" spans="1:14">
      <c r="A68" s="59">
        <v>405</v>
      </c>
      <c r="B68" s="59" t="s">
        <v>1666</v>
      </c>
      <c r="C68" s="59" t="s">
        <v>1557</v>
      </c>
      <c r="D68" s="558">
        <f>SUMIF('3-Ruimtestaat'!B:B,A68,'3-Ruimtestaat'!I:I)</f>
        <v>237</v>
      </c>
      <c r="E68" s="195">
        <f>SUMIF('4-Schrobben vloeren'!A:A,A68,'4-Schrobben vloeren'!N:N)</f>
        <v>0</v>
      </c>
      <c r="F68" s="343">
        <f>SUMIF('5-Aanvullend'!A:A,A68,'5-Aanvullend'!J:J)</f>
        <v>0</v>
      </c>
      <c r="G68" s="195">
        <f>SUMIF('6-Ballastbed '!A:A,A68,'6-Ballastbed '!L:L)</f>
        <v>0</v>
      </c>
      <c r="H68" s="344">
        <f>SUMIF('8-Geveldelen  en wanden'!A:A,A68,'8-Geveldelen  en wanden'!I:I)</f>
        <v>0</v>
      </c>
      <c r="I68" s="125">
        <f ca="1">SUMIF('10-Glas kosten totaal'!B:B,A68,'10-Glas kosten totaal'!M:M)</f>
        <v>0</v>
      </c>
      <c r="J68" s="343">
        <f>'11-Machinekosten'!$P$44/'2-Kosten per locatie'!$D$80*'2-Kosten per locatie'!D68</f>
        <v>0</v>
      </c>
      <c r="K68" s="343">
        <f>SUMIF('12-Periodieke beurt'!A:A,A68,'12-Periodieke beurt'!L:L)</f>
        <v>0</v>
      </c>
      <c r="L68" s="195">
        <f>SUMIF('14-Gelijkrichter stations'!$A$15:$A$30,A68,'14-Gelijkrichter stations'!$L$15:$L$30)</f>
        <v>0</v>
      </c>
      <c r="M68" s="195">
        <f>SUMIF('15- Dienstruimten'!$A$19:$A$32,A68,'15- Dienstruimten'!$G$19:$G$32)</f>
        <v>0</v>
      </c>
      <c r="N68" s="345">
        <f t="shared" ca="1" si="1"/>
        <v>0</v>
      </c>
    </row>
    <row r="69" spans="1:14">
      <c r="A69" s="59">
        <v>406</v>
      </c>
      <c r="B69" s="59" t="s">
        <v>301</v>
      </c>
      <c r="C69" s="59" t="s">
        <v>1557</v>
      </c>
      <c r="D69" s="558">
        <f>SUMIF('3-Ruimtestaat'!B:B,A69,'3-Ruimtestaat'!I:I)</f>
        <v>237</v>
      </c>
      <c r="E69" s="195">
        <f>SUMIF('4-Schrobben vloeren'!A:A,A69,'4-Schrobben vloeren'!N:N)</f>
        <v>0</v>
      </c>
      <c r="F69" s="343">
        <f>SUMIF('5-Aanvullend'!A:A,A69,'5-Aanvullend'!J:J)</f>
        <v>0</v>
      </c>
      <c r="G69" s="195">
        <f>SUMIF('6-Ballastbed '!A:A,A69,'6-Ballastbed '!L:L)</f>
        <v>0</v>
      </c>
      <c r="H69" s="344">
        <f>SUMIF('8-Geveldelen  en wanden'!A:A,A69,'8-Geveldelen  en wanden'!I:I)</f>
        <v>0</v>
      </c>
      <c r="I69" s="125">
        <f ca="1">SUMIF('10-Glas kosten totaal'!B:B,A69,'10-Glas kosten totaal'!M:M)</f>
        <v>0</v>
      </c>
      <c r="J69" s="343">
        <f>'11-Machinekosten'!$P$44/'2-Kosten per locatie'!$D$80*'2-Kosten per locatie'!D69</f>
        <v>0</v>
      </c>
      <c r="K69" s="343">
        <f>SUMIF('12-Periodieke beurt'!A:A,A69,'12-Periodieke beurt'!L:L)</f>
        <v>0</v>
      </c>
      <c r="L69" s="195">
        <f>SUMIF('14-Gelijkrichter stations'!$A$15:$A$30,A69,'14-Gelijkrichter stations'!$L$15:$L$30)</f>
        <v>0</v>
      </c>
      <c r="M69" s="195">
        <f>SUMIF('15- Dienstruimten'!$A$19:$A$32,A69,'15- Dienstruimten'!$G$19:$G$32)</f>
        <v>0</v>
      </c>
      <c r="N69" s="345">
        <f t="shared" ca="1" si="1"/>
        <v>0</v>
      </c>
    </row>
    <row r="70" spans="1:14">
      <c r="A70" s="59">
        <v>407</v>
      </c>
      <c r="B70" s="59" t="s">
        <v>198</v>
      </c>
      <c r="C70" s="59" t="s">
        <v>1557</v>
      </c>
      <c r="D70" s="558">
        <f>SUMIF('3-Ruimtestaat'!B:B,A70,'3-Ruimtestaat'!I:I)</f>
        <v>265</v>
      </c>
      <c r="E70" s="195">
        <f>SUMIF('4-Schrobben vloeren'!A:A,A70,'4-Schrobben vloeren'!N:N)</f>
        <v>0</v>
      </c>
      <c r="F70" s="343">
        <f>SUMIF('5-Aanvullend'!A:A,A70,'5-Aanvullend'!J:J)</f>
        <v>0</v>
      </c>
      <c r="G70" s="195">
        <f>SUMIF('6-Ballastbed '!A:A,A70,'6-Ballastbed '!L:L)</f>
        <v>0</v>
      </c>
      <c r="H70" s="344">
        <f>SUMIF('8-Geveldelen  en wanden'!A:A,A70,'8-Geveldelen  en wanden'!I:I)</f>
        <v>0</v>
      </c>
      <c r="I70" s="125">
        <f ca="1">SUMIF('10-Glas kosten totaal'!B:B,A70,'10-Glas kosten totaal'!M:M)</f>
        <v>0</v>
      </c>
      <c r="J70" s="343">
        <f>'11-Machinekosten'!$P$44/'2-Kosten per locatie'!$D$80*'2-Kosten per locatie'!D70</f>
        <v>0</v>
      </c>
      <c r="K70" s="343">
        <f>SUMIF('12-Periodieke beurt'!A:A,A70,'12-Periodieke beurt'!L:L)</f>
        <v>0</v>
      </c>
      <c r="L70" s="195">
        <f>SUMIF('14-Gelijkrichter stations'!$A$15:$A$30,A70,'14-Gelijkrichter stations'!$L$15:$L$30)</f>
        <v>0</v>
      </c>
      <c r="M70" s="195">
        <f>SUMIF('15- Dienstruimten'!$A$19:$A$32,A70,'15- Dienstruimten'!$G$19:$G$32)</f>
        <v>0</v>
      </c>
      <c r="N70" s="345">
        <f t="shared" ca="1" si="1"/>
        <v>0</v>
      </c>
    </row>
    <row r="71" spans="1:14">
      <c r="A71" s="59">
        <v>408</v>
      </c>
      <c r="B71" s="59" t="s">
        <v>238</v>
      </c>
      <c r="C71" s="59" t="s">
        <v>1557</v>
      </c>
      <c r="D71" s="558">
        <f>SUMIF('3-Ruimtestaat'!B:B,A71,'3-Ruimtestaat'!I:I)</f>
        <v>234</v>
      </c>
      <c r="E71" s="195">
        <f>SUMIF('4-Schrobben vloeren'!A:A,A71,'4-Schrobben vloeren'!N:N)</f>
        <v>0</v>
      </c>
      <c r="F71" s="343">
        <f>SUMIF('5-Aanvullend'!A:A,A71,'5-Aanvullend'!J:J)</f>
        <v>0</v>
      </c>
      <c r="G71" s="195">
        <f>SUMIF('6-Ballastbed '!A:A,A71,'6-Ballastbed '!L:L)</f>
        <v>0</v>
      </c>
      <c r="H71" s="344">
        <f>SUMIF('8-Geveldelen  en wanden'!A:A,A71,'8-Geveldelen  en wanden'!I:I)</f>
        <v>0</v>
      </c>
      <c r="I71" s="125">
        <f ca="1">SUMIF('10-Glas kosten totaal'!B:B,A71,'10-Glas kosten totaal'!M:M)</f>
        <v>0</v>
      </c>
      <c r="J71" s="343">
        <f>'11-Machinekosten'!$P$44/'2-Kosten per locatie'!$D$80*'2-Kosten per locatie'!D71</f>
        <v>0</v>
      </c>
      <c r="K71" s="343">
        <f>SUMIF('12-Periodieke beurt'!A:A,A71,'12-Periodieke beurt'!L:L)</f>
        <v>0</v>
      </c>
      <c r="L71" s="195">
        <f>SUMIF('14-Gelijkrichter stations'!$A$15:$A$30,A71,'14-Gelijkrichter stations'!$L$15:$L$30)</f>
        <v>0</v>
      </c>
      <c r="M71" s="195">
        <f>SUMIF('15- Dienstruimten'!$A$19:$A$32,A71,'15- Dienstruimten'!$G$19:$G$32)</f>
        <v>0</v>
      </c>
      <c r="N71" s="345">
        <f t="shared" ca="1" si="1"/>
        <v>0</v>
      </c>
    </row>
    <row r="72" spans="1:14">
      <c r="A72" s="59">
        <v>409</v>
      </c>
      <c r="B72" s="59" t="s">
        <v>133</v>
      </c>
      <c r="C72" s="59" t="s">
        <v>1557</v>
      </c>
      <c r="D72" s="558">
        <f>SUMIF('3-Ruimtestaat'!B:B,A72,'3-Ruimtestaat'!I:I)</f>
        <v>81</v>
      </c>
      <c r="E72" s="195">
        <f>SUMIF('4-Schrobben vloeren'!A:A,A72,'4-Schrobben vloeren'!N:N)</f>
        <v>0</v>
      </c>
      <c r="F72" s="343">
        <f>SUMIF('5-Aanvullend'!A:A,A72,'5-Aanvullend'!J:J)</f>
        <v>0</v>
      </c>
      <c r="G72" s="195">
        <f>SUMIF('6-Ballastbed '!A:A,A72,'6-Ballastbed '!L:L)</f>
        <v>0</v>
      </c>
      <c r="H72" s="344">
        <f>SUMIF('8-Geveldelen  en wanden'!A:A,A72,'8-Geveldelen  en wanden'!I:I)</f>
        <v>0</v>
      </c>
      <c r="I72" s="125">
        <f ca="1">SUMIF('10-Glas kosten totaal'!B:B,A72,'10-Glas kosten totaal'!M:M)</f>
        <v>0</v>
      </c>
      <c r="J72" s="343">
        <f>'11-Machinekosten'!$P$44/'2-Kosten per locatie'!$D$80*'2-Kosten per locatie'!D72</f>
        <v>0</v>
      </c>
      <c r="K72" s="343">
        <f>SUMIF('12-Periodieke beurt'!A:A,A72,'12-Periodieke beurt'!L:L)</f>
        <v>0</v>
      </c>
      <c r="L72" s="195">
        <f>SUMIF('14-Gelijkrichter stations'!$A$15:$A$30,A72,'14-Gelijkrichter stations'!$L$15:$L$30)</f>
        <v>0</v>
      </c>
      <c r="M72" s="195">
        <f>SUMIF('15- Dienstruimten'!$A$19:$A$32,A72,'15- Dienstruimten'!$G$19:$G$32)</f>
        <v>0</v>
      </c>
      <c r="N72" s="345">
        <f t="shared" ca="1" si="1"/>
        <v>0</v>
      </c>
    </row>
    <row r="73" spans="1:14">
      <c r="A73" s="59">
        <v>410</v>
      </c>
      <c r="B73" s="59" t="s">
        <v>1676</v>
      </c>
      <c r="C73" s="59" t="s">
        <v>1557</v>
      </c>
      <c r="D73" s="558">
        <f>SUMIF('3-Ruimtestaat'!B:B,A73,'3-Ruimtestaat'!I:I)</f>
        <v>105</v>
      </c>
      <c r="E73" s="195">
        <f>SUMIF('4-Schrobben vloeren'!A:A,A73,'4-Schrobben vloeren'!N:N)</f>
        <v>0</v>
      </c>
      <c r="F73" s="343">
        <f>SUMIF('5-Aanvullend'!A:A,A73,'5-Aanvullend'!J:J)</f>
        <v>0</v>
      </c>
      <c r="G73" s="195">
        <f>SUMIF('6-Ballastbed '!A:A,A73,'6-Ballastbed '!L:L)</f>
        <v>0</v>
      </c>
      <c r="H73" s="344">
        <f>SUMIF('8-Geveldelen  en wanden'!A:A,A73,'8-Geveldelen  en wanden'!I:I)</f>
        <v>0</v>
      </c>
      <c r="I73" s="125">
        <f ca="1">SUMIF('10-Glas kosten totaal'!B:B,A73,'10-Glas kosten totaal'!M:M)</f>
        <v>0</v>
      </c>
      <c r="J73" s="343">
        <f>'11-Machinekosten'!$P$44/'2-Kosten per locatie'!$D$80*'2-Kosten per locatie'!D73</f>
        <v>0</v>
      </c>
      <c r="K73" s="343">
        <f>SUMIF('12-Periodieke beurt'!A:A,A73,'12-Periodieke beurt'!L:L)</f>
        <v>0</v>
      </c>
      <c r="L73" s="195">
        <f>SUMIF('14-Gelijkrichter stations'!$A$15:$A$30,A73,'14-Gelijkrichter stations'!$L$15:$L$30)</f>
        <v>0</v>
      </c>
      <c r="M73" s="195">
        <f>SUMIF('15- Dienstruimten'!$A$19:$A$32,A73,'15- Dienstruimten'!$G$19:$G$32)</f>
        <v>0</v>
      </c>
      <c r="N73" s="345">
        <f t="shared" ca="1" si="1"/>
        <v>0</v>
      </c>
    </row>
    <row r="74" spans="1:14">
      <c r="A74" s="59">
        <v>411</v>
      </c>
      <c r="B74" s="59" t="s">
        <v>1679</v>
      </c>
      <c r="C74" s="59" t="s">
        <v>1557</v>
      </c>
      <c r="D74" s="558">
        <f>SUMIF('3-Ruimtestaat'!B:B,A74,'3-Ruimtestaat'!I:I)</f>
        <v>155</v>
      </c>
      <c r="E74" s="195">
        <f>SUMIF('4-Schrobben vloeren'!A:A,A74,'4-Schrobben vloeren'!N:N)</f>
        <v>0</v>
      </c>
      <c r="F74" s="343">
        <f>SUMIF('5-Aanvullend'!A:A,A74,'5-Aanvullend'!J:J)</f>
        <v>0</v>
      </c>
      <c r="G74" s="195">
        <f>SUMIF('6-Ballastbed '!A:A,A74,'6-Ballastbed '!L:L)</f>
        <v>0</v>
      </c>
      <c r="H74" s="344">
        <f>SUMIF('8-Geveldelen  en wanden'!A:A,A74,'8-Geveldelen  en wanden'!I:I)</f>
        <v>0</v>
      </c>
      <c r="I74" s="125">
        <f ca="1">SUMIF('10-Glas kosten totaal'!B:B,A74,'10-Glas kosten totaal'!M:M)</f>
        <v>0</v>
      </c>
      <c r="J74" s="343">
        <f>'11-Machinekosten'!$P$44/'2-Kosten per locatie'!$D$80*'2-Kosten per locatie'!D74</f>
        <v>0</v>
      </c>
      <c r="K74" s="343">
        <f>SUMIF('12-Periodieke beurt'!A:A,A74,'12-Periodieke beurt'!L:L)</f>
        <v>0</v>
      </c>
      <c r="L74" s="195">
        <f>SUMIF('14-Gelijkrichter stations'!$A$15:$A$30,A74,'14-Gelijkrichter stations'!$L$15:$L$30)</f>
        <v>0</v>
      </c>
      <c r="M74" s="195">
        <f>SUMIF('15- Dienstruimten'!$A$19:$A$32,A74,'15- Dienstruimten'!$G$19:$G$32)</f>
        <v>0</v>
      </c>
      <c r="N74" s="345">
        <f t="shared" ca="1" si="1"/>
        <v>0</v>
      </c>
    </row>
    <row r="75" spans="1:14">
      <c r="A75" s="59">
        <v>412</v>
      </c>
      <c r="B75" s="59" t="s">
        <v>1681</v>
      </c>
      <c r="C75" s="59" t="s">
        <v>1557</v>
      </c>
      <c r="D75" s="558">
        <f>SUMIF('3-Ruimtestaat'!B:B,A75,'3-Ruimtestaat'!I:I)</f>
        <v>129</v>
      </c>
      <c r="E75" s="195">
        <f>SUMIF('4-Schrobben vloeren'!A:A,A75,'4-Schrobben vloeren'!N:N)</f>
        <v>0</v>
      </c>
      <c r="F75" s="343">
        <f>SUMIF('5-Aanvullend'!A:A,A75,'5-Aanvullend'!J:J)</f>
        <v>0</v>
      </c>
      <c r="G75" s="195">
        <f>SUMIF('6-Ballastbed '!A:A,A75,'6-Ballastbed '!L:L)</f>
        <v>0</v>
      </c>
      <c r="H75" s="344">
        <f>SUMIF('8-Geveldelen  en wanden'!A:A,A75,'8-Geveldelen  en wanden'!I:I)</f>
        <v>0</v>
      </c>
      <c r="I75" s="125">
        <f ca="1">SUMIF('10-Glas kosten totaal'!B:B,A75,'10-Glas kosten totaal'!M:M)</f>
        <v>0</v>
      </c>
      <c r="J75" s="343">
        <f>'11-Machinekosten'!$P$44/'2-Kosten per locatie'!$D$80*'2-Kosten per locatie'!D75</f>
        <v>0</v>
      </c>
      <c r="K75" s="343">
        <f>SUMIF('12-Periodieke beurt'!A:A,A75,'12-Periodieke beurt'!L:L)</f>
        <v>0</v>
      </c>
      <c r="L75" s="195">
        <f>SUMIF('14-Gelijkrichter stations'!$A$15:$A$30,A75,'14-Gelijkrichter stations'!$L$15:$L$30)</f>
        <v>0</v>
      </c>
      <c r="M75" s="195">
        <f>SUMIF('15- Dienstruimten'!$A$19:$A$32,A75,'15- Dienstruimten'!$G$19:$G$32)</f>
        <v>0</v>
      </c>
      <c r="N75" s="345">
        <f t="shared" ca="1" si="1"/>
        <v>0</v>
      </c>
    </row>
    <row r="76" spans="1:14">
      <c r="A76" s="59">
        <v>413</v>
      </c>
      <c r="B76" s="59" t="s">
        <v>1418</v>
      </c>
      <c r="C76" s="59" t="s">
        <v>1557</v>
      </c>
      <c r="D76" s="558">
        <f>SUMIF('3-Ruimtestaat'!B:B,A76,'3-Ruimtestaat'!I:I)</f>
        <v>42</v>
      </c>
      <c r="E76" s="195">
        <f>SUMIF('4-Schrobben vloeren'!A:A,A76,'4-Schrobben vloeren'!N:N)</f>
        <v>0</v>
      </c>
      <c r="F76" s="343">
        <f>SUMIF('5-Aanvullend'!A:A,A76,'5-Aanvullend'!J:J)</f>
        <v>0</v>
      </c>
      <c r="G76" s="195">
        <f>SUMIF('6-Ballastbed '!A:A,A76,'6-Ballastbed '!L:L)</f>
        <v>0</v>
      </c>
      <c r="H76" s="344">
        <f>SUMIF('8-Geveldelen  en wanden'!A:A,A76,'8-Geveldelen  en wanden'!I:I)</f>
        <v>0</v>
      </c>
      <c r="I76" s="125">
        <f ca="1">SUMIF('10-Glas kosten totaal'!B:B,A76,'10-Glas kosten totaal'!M:M)</f>
        <v>0</v>
      </c>
      <c r="J76" s="343">
        <f>'11-Machinekosten'!$P$44/'2-Kosten per locatie'!$D$80*'2-Kosten per locatie'!D76</f>
        <v>0</v>
      </c>
      <c r="K76" s="343">
        <f>SUMIF('12-Periodieke beurt'!A:A,A76,'12-Periodieke beurt'!L:L)</f>
        <v>0</v>
      </c>
      <c r="L76" s="195">
        <f>SUMIF('14-Gelijkrichter stations'!$A$15:$A$30,A76,'14-Gelijkrichter stations'!$L$15:$L$30)</f>
        <v>0</v>
      </c>
      <c r="M76" s="195">
        <f>SUMIF('15- Dienstruimten'!$A$19:$A$32,A76,'15- Dienstruimten'!$G$19:$G$32)</f>
        <v>0</v>
      </c>
      <c r="N76" s="345">
        <f t="shared" ca="1" si="1"/>
        <v>0</v>
      </c>
    </row>
    <row r="77" spans="1:14">
      <c r="A77" s="59">
        <v>414</v>
      </c>
      <c r="B77" s="59" t="s">
        <v>1419</v>
      </c>
      <c r="C77" s="59" t="s">
        <v>1557</v>
      </c>
      <c r="D77" s="558">
        <f>SUMIF('3-Ruimtestaat'!B:B,A77,'3-Ruimtestaat'!I:I)</f>
        <v>41</v>
      </c>
      <c r="E77" s="195">
        <f>SUMIF('4-Schrobben vloeren'!A:A,A77,'4-Schrobben vloeren'!N:N)</f>
        <v>0</v>
      </c>
      <c r="F77" s="343">
        <f>SUMIF('5-Aanvullend'!A:A,A77,'5-Aanvullend'!J:J)</f>
        <v>0</v>
      </c>
      <c r="G77" s="195">
        <f>SUMIF('6-Ballastbed '!A:A,A77,'6-Ballastbed '!L:L)</f>
        <v>0</v>
      </c>
      <c r="H77" s="344">
        <f>SUMIF('8-Geveldelen  en wanden'!A:A,A77,'8-Geveldelen  en wanden'!I:I)</f>
        <v>0</v>
      </c>
      <c r="I77" s="125">
        <f ca="1">SUMIF('10-Glas kosten totaal'!B:B,A77,'10-Glas kosten totaal'!M:M)</f>
        <v>0</v>
      </c>
      <c r="J77" s="343">
        <f>'11-Machinekosten'!$P$44/'2-Kosten per locatie'!$D$80*'2-Kosten per locatie'!D77</f>
        <v>0</v>
      </c>
      <c r="K77" s="343">
        <f>SUMIF('12-Periodieke beurt'!A:A,A77,'12-Periodieke beurt'!L:L)</f>
        <v>0</v>
      </c>
      <c r="L77" s="195">
        <f>SUMIF('14-Gelijkrichter stations'!$A$15:$A$30,A77,'14-Gelijkrichter stations'!$L$15:$L$30)</f>
        <v>0</v>
      </c>
      <c r="M77" s="195">
        <f>SUMIF('15- Dienstruimten'!$A$19:$A$32,A77,'15- Dienstruimten'!$G$19:$G$32)</f>
        <v>0</v>
      </c>
      <c r="N77" s="345">
        <f t="shared" ca="1" si="1"/>
        <v>0</v>
      </c>
    </row>
    <row r="78" spans="1:14">
      <c r="A78" s="59">
        <v>415</v>
      </c>
      <c r="B78" s="59" t="s">
        <v>1429</v>
      </c>
      <c r="C78" s="59" t="s">
        <v>1557</v>
      </c>
      <c r="D78" s="558">
        <f>SUMIF('3-Ruimtestaat'!B:B,A78,'3-Ruimtestaat'!I:I)</f>
        <v>42</v>
      </c>
      <c r="E78" s="195">
        <f>SUMIF('4-Schrobben vloeren'!A:A,A78,'4-Schrobben vloeren'!N:N)</f>
        <v>0</v>
      </c>
      <c r="F78" s="343">
        <f>SUMIF('5-Aanvullend'!A:A,A78,'5-Aanvullend'!J:J)</f>
        <v>0</v>
      </c>
      <c r="G78" s="195">
        <f>SUMIF('6-Ballastbed '!A:A,A78,'6-Ballastbed '!L:L)</f>
        <v>0</v>
      </c>
      <c r="H78" s="344">
        <f>SUMIF('8-Geveldelen  en wanden'!A:A,A78,'8-Geveldelen  en wanden'!I:I)</f>
        <v>0</v>
      </c>
      <c r="I78" s="125">
        <f ca="1">SUMIF('10-Glas kosten totaal'!B:B,A78,'10-Glas kosten totaal'!M:M)</f>
        <v>0</v>
      </c>
      <c r="J78" s="343">
        <f>'11-Machinekosten'!$P$44/'2-Kosten per locatie'!$D$80*'2-Kosten per locatie'!D78</f>
        <v>0</v>
      </c>
      <c r="K78" s="343">
        <f>SUMIF('12-Periodieke beurt'!A:A,A78,'12-Periodieke beurt'!L:L)</f>
        <v>0</v>
      </c>
      <c r="L78" s="195">
        <f>SUMIF('14-Gelijkrichter stations'!$A$15:$A$30,A78,'14-Gelijkrichter stations'!$L$15:$L$30)</f>
        <v>0</v>
      </c>
      <c r="M78" s="195">
        <f>SUMIF('15- Dienstruimten'!$A$19:$A$32,A78,'15- Dienstruimten'!$G$19:$G$32)</f>
        <v>0</v>
      </c>
      <c r="N78" s="345">
        <f t="shared" ref="N78" ca="1" si="2">SUM(E78:K78)</f>
        <v>0</v>
      </c>
    </row>
    <row r="79" spans="1:14" ht="14.25" thickBot="1">
      <c r="F79" s="343"/>
      <c r="J79" s="343"/>
      <c r="K79" s="343"/>
      <c r="L79" s="228"/>
      <c r="M79" s="228"/>
    </row>
    <row r="80" spans="1:14" s="303" customFormat="1" thickBot="1">
      <c r="A80" s="551"/>
      <c r="B80" s="346" t="s">
        <v>1351</v>
      </c>
      <c r="C80" s="346"/>
      <c r="D80" s="559">
        <f t="shared" ref="D80:N80" si="3">SUM(D14:D78)</f>
        <v>109661.20737906781</v>
      </c>
      <c r="E80" s="364" t="e">
        <f t="shared" si="3"/>
        <v>#DIV/0!</v>
      </c>
      <c r="F80" s="364">
        <f t="shared" si="3"/>
        <v>0</v>
      </c>
      <c r="G80" s="364">
        <f t="shared" si="3"/>
        <v>0</v>
      </c>
      <c r="H80" s="364">
        <f t="shared" si="3"/>
        <v>0</v>
      </c>
      <c r="I80" s="364">
        <f ca="1">SUM(I14:I78)</f>
        <v>0</v>
      </c>
      <c r="J80" s="364">
        <f t="shared" si="3"/>
        <v>0</v>
      </c>
      <c r="K80" s="364">
        <f t="shared" si="3"/>
        <v>0</v>
      </c>
      <c r="L80" s="364">
        <f t="shared" si="3"/>
        <v>0</v>
      </c>
      <c r="M80" s="364" t="e">
        <f t="shared" si="3"/>
        <v>#DIV/0!</v>
      </c>
      <c r="N80" s="364" t="e">
        <f t="shared" si="3"/>
        <v>#DIV/0!</v>
      </c>
    </row>
    <row r="81" spans="9:9">
      <c r="I81" s="347"/>
    </row>
  </sheetData>
  <autoFilter ref="A13:N80" xr:uid="{E7F9568E-A4F1-428F-9CA5-9F24B7932071}"/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S1610"/>
  <sheetViews>
    <sheetView showGridLines="0" zoomScaleNormal="100" workbookViewId="0">
      <pane xSplit="2" ySplit="11" topLeftCell="C12" activePane="bottomRight" state="frozen"/>
      <selection activeCell="F32" sqref="F32"/>
      <selection pane="topRight" activeCell="F32" sqref="F32"/>
      <selection pane="bottomLeft" activeCell="F32" sqref="F32"/>
      <selection pane="bottomRight" activeCell="A13" sqref="A13"/>
    </sheetView>
  </sheetViews>
  <sheetFormatPr defaultColWidth="9.140625" defaultRowHeight="15" customHeight="1"/>
  <cols>
    <col min="1" max="1" width="5" style="162" customWidth="1"/>
    <col min="2" max="2" width="13.7109375" style="335" customWidth="1"/>
    <col min="3" max="3" width="31.28515625" style="294" bestFit="1" customWidth="1"/>
    <col min="4" max="4" width="21.5703125" style="32" customWidth="1"/>
    <col min="5" max="5" width="21.5703125" style="295" customWidth="1"/>
    <col min="6" max="6" width="32.7109375" style="32" customWidth="1"/>
    <col min="7" max="7" width="15.28515625" style="32" customWidth="1"/>
    <col min="8" max="8" width="23.7109375" style="32" customWidth="1"/>
    <col min="9" max="9" width="12.140625" style="309" customWidth="1"/>
    <col min="10" max="18" width="9.5703125" style="162" customWidth="1"/>
    <col min="19" max="19" width="53" style="336" customWidth="1"/>
    <col min="20" max="16384" width="9.140625" style="32"/>
  </cols>
  <sheetData>
    <row r="1" spans="1:19" ht="12.75" customHeight="1">
      <c r="A1" s="560">
        <v>1</v>
      </c>
      <c r="B1" s="365" t="s">
        <v>2</v>
      </c>
      <c r="D1" s="294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8"/>
    </row>
    <row r="2" spans="1:19" ht="12.75" customHeight="1">
      <c r="A2" s="561">
        <f>1+A1</f>
        <v>2</v>
      </c>
      <c r="B2" s="299"/>
      <c r="D2" s="300"/>
      <c r="E2" s="301"/>
      <c r="F2" s="302"/>
      <c r="G2" s="302"/>
      <c r="H2" s="303"/>
      <c r="I2" s="304"/>
      <c r="J2" s="303"/>
      <c r="K2" s="303"/>
      <c r="L2" s="303"/>
      <c r="M2" s="303"/>
      <c r="N2" s="303"/>
      <c r="O2" s="303"/>
      <c r="P2" s="303"/>
      <c r="Q2" s="303"/>
      <c r="R2" s="303"/>
      <c r="S2" s="305"/>
    </row>
    <row r="3" spans="1:19" ht="17.25">
      <c r="A3" s="561">
        <f t="shared" ref="A3:A66" si="0">1+A2</f>
        <v>3</v>
      </c>
      <c r="B3" s="359" t="s">
        <v>3</v>
      </c>
      <c r="D3" s="350" t="str">
        <f>'1-Inschrijfstaat'!B3</f>
        <v>GVB Infra B.V.</v>
      </c>
      <c r="E3" s="301"/>
      <c r="H3" s="306"/>
      <c r="I3" s="307"/>
      <c r="J3" s="308"/>
      <c r="K3" s="308"/>
      <c r="L3" s="308"/>
      <c r="M3" s="308"/>
      <c r="N3" s="308"/>
      <c r="O3" s="308"/>
      <c r="P3" s="308"/>
      <c r="Q3" s="308"/>
      <c r="R3" s="308"/>
      <c r="S3" s="305"/>
    </row>
    <row r="4" spans="1:19" ht="17.25">
      <c r="A4" s="561">
        <f t="shared" si="0"/>
        <v>4</v>
      </c>
      <c r="B4" s="359" t="s">
        <v>8</v>
      </c>
      <c r="D4" s="350" t="str">
        <f ca="1">MID(CELL("bestandsnaam",$C$9),SEARCH("]",CELL("bestandsnaam",$C$9),1)+1,256)</f>
        <v>3-Ruimtestaat</v>
      </c>
      <c r="E4" s="301"/>
      <c r="H4" s="306"/>
      <c r="S4" s="305"/>
    </row>
    <row r="5" spans="1:19" ht="17.25">
      <c r="A5" s="561">
        <f t="shared" si="0"/>
        <v>5</v>
      </c>
      <c r="B5" s="359" t="s">
        <v>4</v>
      </c>
      <c r="D5" s="350" t="str">
        <f>'1-Inschrijfstaat'!B5</f>
        <v>Diverse</v>
      </c>
      <c r="E5" s="301"/>
      <c r="H5" s="306"/>
      <c r="S5" s="305"/>
    </row>
    <row r="6" spans="1:19" ht="17.25">
      <c r="A6" s="561">
        <f t="shared" si="0"/>
        <v>6</v>
      </c>
      <c r="B6" s="359" t="s">
        <v>9</v>
      </c>
      <c r="D6" s="350" t="str">
        <f>'1-Inschrijfstaat'!B6</f>
        <v>2021-03</v>
      </c>
      <c r="E6" s="301"/>
      <c r="H6" s="306"/>
      <c r="S6" s="305"/>
    </row>
    <row r="7" spans="1:19" ht="17.25">
      <c r="A7" s="561">
        <f t="shared" si="0"/>
        <v>7</v>
      </c>
      <c r="B7" s="359" t="s">
        <v>6</v>
      </c>
      <c r="D7" s="350" t="str">
        <f>'1-Inschrijfstaat'!B7</f>
        <v>Naam dienstverlener</v>
      </c>
      <c r="E7" s="301"/>
      <c r="H7" s="306"/>
      <c r="S7" s="305"/>
    </row>
    <row r="8" spans="1:19" ht="15.75">
      <c r="A8" s="561">
        <f t="shared" si="0"/>
        <v>8</v>
      </c>
      <c r="B8" s="359" t="s">
        <v>7</v>
      </c>
      <c r="D8" s="15" t="str">
        <f>'1-Inschrijfstaat'!B8</f>
        <v>1 juni 2021</v>
      </c>
      <c r="E8" s="301"/>
      <c r="G8" s="310"/>
      <c r="H8" s="47"/>
      <c r="S8" s="305"/>
    </row>
    <row r="9" spans="1:19">
      <c r="A9" s="561">
        <f t="shared" si="0"/>
        <v>9</v>
      </c>
      <c r="B9" s="366" t="s">
        <v>0</v>
      </c>
      <c r="D9" s="311" t="str">
        <f>'1-Inschrijfstaat'!B9</f>
        <v>2 Technische schoonmaak</v>
      </c>
      <c r="E9" s="312"/>
      <c r="H9" s="306"/>
      <c r="S9" s="305"/>
    </row>
    <row r="10" spans="1:19" s="319" customFormat="1" ht="13.5">
      <c r="A10" s="561">
        <f t="shared" si="0"/>
        <v>10</v>
      </c>
      <c r="B10" s="313"/>
      <c r="C10" s="314"/>
      <c r="D10" s="32"/>
      <c r="E10" s="315"/>
      <c r="F10" s="32"/>
      <c r="G10" s="314"/>
      <c r="H10" s="316"/>
      <c r="I10" s="317"/>
      <c r="J10" s="687" t="s">
        <v>1935</v>
      </c>
      <c r="K10" s="688"/>
      <c r="L10" s="688"/>
      <c r="M10" s="688"/>
      <c r="N10" s="688"/>
      <c r="O10" s="688"/>
      <c r="P10" s="688"/>
      <c r="Q10" s="688"/>
      <c r="R10" s="689"/>
      <c r="S10" s="318"/>
    </row>
    <row r="11" spans="1:19" ht="50.25" customHeight="1">
      <c r="A11" s="561">
        <f t="shared" si="0"/>
        <v>11</v>
      </c>
      <c r="B11" s="367" t="s">
        <v>290</v>
      </c>
      <c r="C11" s="367" t="s">
        <v>291</v>
      </c>
      <c r="D11" s="367" t="s">
        <v>13</v>
      </c>
      <c r="E11" s="367" t="s">
        <v>179</v>
      </c>
      <c r="F11" s="367" t="s">
        <v>1078</v>
      </c>
      <c r="G11" s="367" t="s">
        <v>1707</v>
      </c>
      <c r="H11" s="367" t="s">
        <v>1079</v>
      </c>
      <c r="I11" s="368" t="s">
        <v>1939</v>
      </c>
      <c r="J11" s="368" t="s">
        <v>1940</v>
      </c>
      <c r="K11" s="368" t="s">
        <v>1941</v>
      </c>
      <c r="L11" s="368" t="s">
        <v>1942</v>
      </c>
      <c r="M11" s="368" t="s">
        <v>1943</v>
      </c>
      <c r="N11" s="368" t="s">
        <v>1944</v>
      </c>
      <c r="O11" s="368" t="s">
        <v>296</v>
      </c>
      <c r="P11" s="368" t="s">
        <v>294</v>
      </c>
      <c r="Q11" s="368" t="s">
        <v>295</v>
      </c>
      <c r="R11" s="368" t="s">
        <v>1945</v>
      </c>
      <c r="S11" s="367" t="s">
        <v>11</v>
      </c>
    </row>
    <row r="12" spans="1:19" ht="15" customHeight="1">
      <c r="A12" s="561">
        <f t="shared" si="0"/>
        <v>12</v>
      </c>
      <c r="B12" s="31">
        <v>102</v>
      </c>
      <c r="C12" s="249" t="s">
        <v>850</v>
      </c>
      <c r="D12" s="320" t="s">
        <v>180</v>
      </c>
      <c r="E12" s="321" t="s">
        <v>717</v>
      </c>
      <c r="F12" s="322" t="s">
        <v>857</v>
      </c>
      <c r="G12" s="323" t="s">
        <v>858</v>
      </c>
      <c r="H12" s="322" t="s">
        <v>1324</v>
      </c>
      <c r="I12" s="324">
        <v>23</v>
      </c>
      <c r="J12" s="325"/>
      <c r="K12" s="325"/>
      <c r="L12" s="325"/>
      <c r="M12" s="325"/>
      <c r="N12" s="325"/>
      <c r="O12" s="326"/>
      <c r="P12" s="326"/>
      <c r="Q12" s="326"/>
      <c r="R12" s="326"/>
      <c r="S12" s="327"/>
    </row>
    <row r="13" spans="1:19" ht="15" customHeight="1">
      <c r="A13" s="561">
        <f t="shared" si="0"/>
        <v>13</v>
      </c>
      <c r="B13" s="31">
        <v>102</v>
      </c>
      <c r="C13" s="249" t="s">
        <v>850</v>
      </c>
      <c r="D13" s="320" t="s">
        <v>180</v>
      </c>
      <c r="E13" s="321" t="s">
        <v>717</v>
      </c>
      <c r="F13" s="322" t="s">
        <v>859</v>
      </c>
      <c r="G13" s="323" t="s">
        <v>860</v>
      </c>
      <c r="H13" s="322" t="s">
        <v>1323</v>
      </c>
      <c r="I13" s="324">
        <v>0</v>
      </c>
      <c r="J13" s="325"/>
      <c r="K13" s="325"/>
      <c r="L13" s="325"/>
      <c r="M13" s="325"/>
      <c r="N13" s="325"/>
      <c r="O13" s="326"/>
      <c r="P13" s="326"/>
      <c r="Q13" s="326"/>
      <c r="R13" s="326"/>
      <c r="S13" s="327" t="s">
        <v>949</v>
      </c>
    </row>
    <row r="14" spans="1:19" ht="15" customHeight="1">
      <c r="A14" s="561">
        <f t="shared" si="0"/>
        <v>14</v>
      </c>
      <c r="B14" s="31">
        <v>102</v>
      </c>
      <c r="C14" s="249" t="s">
        <v>850</v>
      </c>
      <c r="D14" s="320" t="s">
        <v>180</v>
      </c>
      <c r="E14" s="321" t="s">
        <v>717</v>
      </c>
      <c r="F14" s="322" t="s">
        <v>861</v>
      </c>
      <c r="G14" s="323" t="s">
        <v>862</v>
      </c>
      <c r="H14" s="322" t="s">
        <v>1324</v>
      </c>
      <c r="I14" s="324">
        <v>25</v>
      </c>
      <c r="J14" s="325"/>
      <c r="K14" s="325">
        <v>20</v>
      </c>
      <c r="L14" s="325"/>
      <c r="M14" s="325"/>
      <c r="N14" s="325"/>
      <c r="O14" s="326"/>
      <c r="P14" s="326"/>
      <c r="Q14" s="326"/>
      <c r="R14" s="326"/>
      <c r="S14" s="327" t="s">
        <v>1144</v>
      </c>
    </row>
    <row r="15" spans="1:19" ht="15" customHeight="1">
      <c r="A15" s="561">
        <f t="shared" si="0"/>
        <v>15</v>
      </c>
      <c r="B15" s="31">
        <v>102</v>
      </c>
      <c r="C15" s="249" t="s">
        <v>850</v>
      </c>
      <c r="D15" s="320" t="s">
        <v>180</v>
      </c>
      <c r="E15" s="321" t="s">
        <v>717</v>
      </c>
      <c r="F15" s="322" t="s">
        <v>863</v>
      </c>
      <c r="G15" s="323" t="s">
        <v>864</v>
      </c>
      <c r="H15" s="322" t="s">
        <v>1323</v>
      </c>
      <c r="I15" s="324">
        <v>0</v>
      </c>
      <c r="J15" s="325"/>
      <c r="K15" s="325"/>
      <c r="L15" s="325"/>
      <c r="M15" s="325"/>
      <c r="N15" s="325"/>
      <c r="O15" s="326"/>
      <c r="P15" s="326"/>
      <c r="Q15" s="326"/>
      <c r="R15" s="326"/>
      <c r="S15" s="327" t="s">
        <v>611</v>
      </c>
    </row>
    <row r="16" spans="1:19" ht="15" customHeight="1">
      <c r="A16" s="561">
        <f t="shared" si="0"/>
        <v>16</v>
      </c>
      <c r="B16" s="31">
        <v>102</v>
      </c>
      <c r="C16" s="249" t="s">
        <v>850</v>
      </c>
      <c r="D16" s="320" t="s">
        <v>180</v>
      </c>
      <c r="E16" s="321" t="s">
        <v>717</v>
      </c>
      <c r="F16" s="322" t="s">
        <v>648</v>
      </c>
      <c r="G16" s="323" t="s">
        <v>865</v>
      </c>
      <c r="H16" s="322" t="s">
        <v>19</v>
      </c>
      <c r="I16" s="324">
        <v>99</v>
      </c>
      <c r="J16" s="325"/>
      <c r="K16" s="325"/>
      <c r="L16" s="325">
        <v>84</v>
      </c>
      <c r="M16" s="325"/>
      <c r="N16" s="325"/>
      <c r="O16" s="326"/>
      <c r="P16" s="326">
        <v>99</v>
      </c>
      <c r="Q16" s="326"/>
      <c r="R16" s="326"/>
      <c r="S16" s="327" t="s">
        <v>528</v>
      </c>
    </row>
    <row r="17" spans="1:19" ht="15" customHeight="1">
      <c r="A17" s="561">
        <f t="shared" si="0"/>
        <v>17</v>
      </c>
      <c r="B17" s="31">
        <v>102</v>
      </c>
      <c r="C17" s="249" t="s">
        <v>850</v>
      </c>
      <c r="D17" s="320" t="s">
        <v>180</v>
      </c>
      <c r="E17" s="321" t="s">
        <v>717</v>
      </c>
      <c r="F17" s="322" t="s">
        <v>866</v>
      </c>
      <c r="G17" s="323" t="s">
        <v>867</v>
      </c>
      <c r="H17" s="322" t="s">
        <v>19</v>
      </c>
      <c r="I17" s="324">
        <v>8</v>
      </c>
      <c r="J17" s="325"/>
      <c r="K17" s="325"/>
      <c r="L17" s="325">
        <v>57</v>
      </c>
      <c r="M17" s="325"/>
      <c r="N17" s="325"/>
      <c r="O17" s="326"/>
      <c r="P17" s="326">
        <v>8</v>
      </c>
      <c r="Q17" s="326"/>
      <c r="R17" s="326"/>
      <c r="S17" s="327" t="s">
        <v>528</v>
      </c>
    </row>
    <row r="18" spans="1:19" ht="15" customHeight="1">
      <c r="A18" s="561">
        <f t="shared" si="0"/>
        <v>18</v>
      </c>
      <c r="B18" s="31">
        <v>102</v>
      </c>
      <c r="C18" s="249" t="s">
        <v>850</v>
      </c>
      <c r="D18" s="320" t="s">
        <v>180</v>
      </c>
      <c r="E18" s="321" t="s">
        <v>717</v>
      </c>
      <c r="F18" s="322" t="s">
        <v>868</v>
      </c>
      <c r="G18" s="323" t="s">
        <v>869</v>
      </c>
      <c r="H18" s="322" t="s">
        <v>299</v>
      </c>
      <c r="I18" s="324">
        <v>7.8000000000000007</v>
      </c>
      <c r="J18" s="325"/>
      <c r="K18" s="325">
        <v>58</v>
      </c>
      <c r="L18" s="325"/>
      <c r="M18" s="325"/>
      <c r="N18" s="325"/>
      <c r="O18" s="326"/>
      <c r="P18" s="326"/>
      <c r="Q18" s="326"/>
      <c r="R18" s="326"/>
      <c r="S18" s="327" t="s">
        <v>1144</v>
      </c>
    </row>
    <row r="19" spans="1:19" ht="15" customHeight="1">
      <c r="A19" s="561">
        <f t="shared" si="0"/>
        <v>19</v>
      </c>
      <c r="B19" s="31">
        <v>102</v>
      </c>
      <c r="C19" s="249" t="s">
        <v>850</v>
      </c>
      <c r="D19" s="320" t="s">
        <v>180</v>
      </c>
      <c r="E19" s="321" t="s">
        <v>717</v>
      </c>
      <c r="F19" s="322" t="s">
        <v>870</v>
      </c>
      <c r="G19" s="323" t="s">
        <v>871</v>
      </c>
      <c r="H19" s="322" t="s">
        <v>299</v>
      </c>
      <c r="I19" s="324">
        <v>7.8000000000000007</v>
      </c>
      <c r="J19" s="325"/>
      <c r="K19" s="325">
        <v>50</v>
      </c>
      <c r="L19" s="325"/>
      <c r="M19" s="325"/>
      <c r="N19" s="325"/>
      <c r="O19" s="326"/>
      <c r="P19" s="326"/>
      <c r="Q19" s="326"/>
      <c r="R19" s="326"/>
      <c r="S19" s="327" t="s">
        <v>1144</v>
      </c>
    </row>
    <row r="20" spans="1:19" ht="15" customHeight="1">
      <c r="A20" s="561">
        <f t="shared" si="0"/>
        <v>20</v>
      </c>
      <c r="B20" s="31">
        <v>102</v>
      </c>
      <c r="C20" s="249" t="s">
        <v>850</v>
      </c>
      <c r="D20" s="320" t="s">
        <v>180</v>
      </c>
      <c r="E20" s="321" t="s">
        <v>856</v>
      </c>
      <c r="F20" s="322" t="s">
        <v>872</v>
      </c>
      <c r="G20" s="323" t="s">
        <v>360</v>
      </c>
      <c r="H20" s="322" t="s">
        <v>1324</v>
      </c>
      <c r="I20" s="324">
        <v>26</v>
      </c>
      <c r="J20" s="325"/>
      <c r="K20" s="325"/>
      <c r="L20" s="325"/>
      <c r="M20" s="325"/>
      <c r="N20" s="325"/>
      <c r="O20" s="326"/>
      <c r="P20" s="326"/>
      <c r="Q20" s="326"/>
      <c r="R20" s="326"/>
      <c r="S20" s="327"/>
    </row>
    <row r="21" spans="1:19" ht="15" customHeight="1">
      <c r="A21" s="561">
        <f t="shared" si="0"/>
        <v>21</v>
      </c>
      <c r="B21" s="31">
        <v>102</v>
      </c>
      <c r="C21" s="249" t="s">
        <v>850</v>
      </c>
      <c r="D21" s="320" t="s">
        <v>180</v>
      </c>
      <c r="E21" s="321" t="s">
        <v>856</v>
      </c>
      <c r="F21" s="322" t="s">
        <v>873</v>
      </c>
      <c r="G21" s="323" t="s">
        <v>363</v>
      </c>
      <c r="H21" s="322" t="s">
        <v>1323</v>
      </c>
      <c r="I21" s="324">
        <f>(+(5.4+2+5.4)*2.7+4.7*2.5)*1.3</f>
        <v>60.203000000000003</v>
      </c>
      <c r="J21" s="325"/>
      <c r="K21" s="325">
        <f>2*(11.6*3.4+7*3.3)+4.7*3.4-23</f>
        <v>118.05999999999997</v>
      </c>
      <c r="L21" s="325"/>
      <c r="M21" s="325"/>
      <c r="N21" s="325"/>
      <c r="O21" s="326"/>
      <c r="P21" s="326"/>
      <c r="Q21" s="326">
        <v>87</v>
      </c>
      <c r="R21" s="326"/>
      <c r="S21" s="327" t="s">
        <v>950</v>
      </c>
    </row>
    <row r="22" spans="1:19" ht="15" customHeight="1">
      <c r="A22" s="561">
        <f t="shared" si="0"/>
        <v>22</v>
      </c>
      <c r="B22" s="31">
        <v>102</v>
      </c>
      <c r="C22" s="249" t="s">
        <v>850</v>
      </c>
      <c r="D22" s="320" t="s">
        <v>180</v>
      </c>
      <c r="E22" s="321" t="s">
        <v>856</v>
      </c>
      <c r="F22" s="322" t="s">
        <v>364</v>
      </c>
      <c r="G22" s="323" t="s">
        <v>362</v>
      </c>
      <c r="H22" s="322" t="s">
        <v>109</v>
      </c>
      <c r="I22" s="324">
        <f>(82+212+308)*1.3</f>
        <v>782.6</v>
      </c>
      <c r="J22" s="325"/>
      <c r="K22" s="325">
        <f>90+72+71+146+157+23</f>
        <v>559</v>
      </c>
      <c r="L22" s="325"/>
      <c r="M22" s="325"/>
      <c r="N22" s="325"/>
      <c r="O22" s="326"/>
      <c r="P22" s="326"/>
      <c r="Q22" s="326">
        <f>90+212</f>
        <v>302</v>
      </c>
      <c r="R22" s="326"/>
      <c r="S22" s="327" t="s">
        <v>951</v>
      </c>
    </row>
    <row r="23" spans="1:19" ht="15" customHeight="1">
      <c r="A23" s="561">
        <f t="shared" si="0"/>
        <v>23</v>
      </c>
      <c r="B23" s="31">
        <v>102</v>
      </c>
      <c r="C23" s="249" t="s">
        <v>850</v>
      </c>
      <c r="D23" s="320" t="s">
        <v>180</v>
      </c>
      <c r="E23" s="321" t="s">
        <v>856</v>
      </c>
      <c r="F23" s="322" t="s">
        <v>857</v>
      </c>
      <c r="G23" s="323" t="s">
        <v>366</v>
      </c>
      <c r="H23" s="322" t="s">
        <v>174</v>
      </c>
      <c r="I23" s="324"/>
      <c r="J23" s="325"/>
      <c r="K23" s="325"/>
      <c r="L23" s="325"/>
      <c r="M23" s="325"/>
      <c r="N23" s="325"/>
      <c r="O23" s="326"/>
      <c r="P23" s="326"/>
      <c r="Q23" s="326"/>
      <c r="R23" s="326"/>
      <c r="S23" s="327" t="s">
        <v>1145</v>
      </c>
    </row>
    <row r="24" spans="1:19" ht="15" customHeight="1">
      <c r="A24" s="561">
        <f t="shared" si="0"/>
        <v>24</v>
      </c>
      <c r="B24" s="31">
        <v>102</v>
      </c>
      <c r="C24" s="249" t="s">
        <v>850</v>
      </c>
      <c r="D24" s="320" t="s">
        <v>180</v>
      </c>
      <c r="E24" s="321" t="s">
        <v>856</v>
      </c>
      <c r="F24" s="322" t="s">
        <v>874</v>
      </c>
      <c r="G24" s="323" t="s">
        <v>367</v>
      </c>
      <c r="H24" s="322" t="s">
        <v>1323</v>
      </c>
      <c r="I24" s="324">
        <v>46.800000000000004</v>
      </c>
      <c r="J24" s="325"/>
      <c r="K24" s="325">
        <f>84+27</f>
        <v>111</v>
      </c>
      <c r="L24" s="325"/>
      <c r="M24" s="325"/>
      <c r="N24" s="325"/>
      <c r="O24" s="326"/>
      <c r="P24" s="326"/>
      <c r="Q24" s="326">
        <v>20</v>
      </c>
      <c r="R24" s="326"/>
      <c r="S24" s="327" t="s">
        <v>1146</v>
      </c>
    </row>
    <row r="25" spans="1:19" ht="15" customHeight="1">
      <c r="A25" s="561">
        <f t="shared" si="0"/>
        <v>25</v>
      </c>
      <c r="B25" s="31">
        <v>102</v>
      </c>
      <c r="C25" s="249" t="s">
        <v>850</v>
      </c>
      <c r="D25" s="320" t="s">
        <v>180</v>
      </c>
      <c r="E25" s="321" t="s">
        <v>856</v>
      </c>
      <c r="F25" s="322" t="s">
        <v>374</v>
      </c>
      <c r="G25" s="323" t="s">
        <v>368</v>
      </c>
      <c r="H25" s="322" t="s">
        <v>1324</v>
      </c>
      <c r="I25" s="324">
        <v>20</v>
      </c>
      <c r="J25" s="325"/>
      <c r="K25" s="325"/>
      <c r="L25" s="325"/>
      <c r="M25" s="325"/>
      <c r="N25" s="325"/>
      <c r="O25" s="326"/>
      <c r="P25" s="326"/>
      <c r="Q25" s="326"/>
      <c r="R25" s="326"/>
      <c r="S25" s="327"/>
    </row>
    <row r="26" spans="1:19" ht="15" customHeight="1">
      <c r="A26" s="561">
        <f t="shared" si="0"/>
        <v>26</v>
      </c>
      <c r="B26" s="31">
        <v>102</v>
      </c>
      <c r="C26" s="249" t="s">
        <v>850</v>
      </c>
      <c r="D26" s="320" t="s">
        <v>180</v>
      </c>
      <c r="E26" s="321" t="s">
        <v>856</v>
      </c>
      <c r="F26" s="322" t="s">
        <v>376</v>
      </c>
      <c r="G26" s="323" t="s">
        <v>370</v>
      </c>
      <c r="H26" s="322" t="s">
        <v>1323</v>
      </c>
      <c r="I26" s="324">
        <v>29.900000000000002</v>
      </c>
      <c r="J26" s="325"/>
      <c r="K26" s="325">
        <v>12</v>
      </c>
      <c r="L26" s="325"/>
      <c r="M26" s="325"/>
      <c r="N26" s="325"/>
      <c r="O26" s="326"/>
      <c r="P26" s="326"/>
      <c r="Q26" s="326">
        <v>23</v>
      </c>
      <c r="R26" s="326"/>
      <c r="S26" s="327" t="s">
        <v>522</v>
      </c>
    </row>
    <row r="27" spans="1:19" ht="15" customHeight="1">
      <c r="A27" s="561">
        <f t="shared" si="0"/>
        <v>27</v>
      </c>
      <c r="B27" s="31">
        <v>102</v>
      </c>
      <c r="C27" s="249" t="s">
        <v>850</v>
      </c>
      <c r="D27" s="320" t="s">
        <v>180</v>
      </c>
      <c r="E27" s="321" t="s">
        <v>856</v>
      </c>
      <c r="F27" s="322" t="s">
        <v>376</v>
      </c>
      <c r="G27" s="323" t="s">
        <v>372</v>
      </c>
      <c r="H27" s="322" t="s">
        <v>1323</v>
      </c>
      <c r="I27" s="324">
        <v>32.5</v>
      </c>
      <c r="J27" s="325"/>
      <c r="K27" s="325">
        <v>12</v>
      </c>
      <c r="L27" s="325"/>
      <c r="M27" s="325"/>
      <c r="N27" s="325"/>
      <c r="O27" s="326"/>
      <c r="P27" s="326"/>
      <c r="Q27" s="326">
        <v>25</v>
      </c>
      <c r="R27" s="326"/>
      <c r="S27" s="327" t="s">
        <v>522</v>
      </c>
    </row>
    <row r="28" spans="1:19" ht="15" customHeight="1">
      <c r="A28" s="561">
        <f t="shared" si="0"/>
        <v>28</v>
      </c>
      <c r="B28" s="31">
        <v>102</v>
      </c>
      <c r="C28" s="249" t="s">
        <v>850</v>
      </c>
      <c r="D28" s="320" t="s">
        <v>180</v>
      </c>
      <c r="E28" s="321" t="s">
        <v>856</v>
      </c>
      <c r="F28" s="322" t="s">
        <v>374</v>
      </c>
      <c r="G28" s="323" t="s">
        <v>373</v>
      </c>
      <c r="H28" s="322" t="s">
        <v>1324</v>
      </c>
      <c r="I28" s="324">
        <v>22</v>
      </c>
      <c r="J28" s="325"/>
      <c r="K28" s="325"/>
      <c r="L28" s="325"/>
      <c r="M28" s="325"/>
      <c r="N28" s="325"/>
      <c r="O28" s="326"/>
      <c r="P28" s="326"/>
      <c r="Q28" s="326"/>
      <c r="R28" s="326"/>
      <c r="S28" s="327"/>
    </row>
    <row r="29" spans="1:19" ht="15" customHeight="1">
      <c r="A29" s="561">
        <f t="shared" si="0"/>
        <v>29</v>
      </c>
      <c r="B29" s="31">
        <v>102</v>
      </c>
      <c r="C29" s="249" t="s">
        <v>850</v>
      </c>
      <c r="D29" s="320" t="s">
        <v>180</v>
      </c>
      <c r="E29" s="321" t="s">
        <v>856</v>
      </c>
      <c r="F29" s="322" t="s">
        <v>364</v>
      </c>
      <c r="G29" s="323" t="s">
        <v>375</v>
      </c>
      <c r="H29" s="322" t="s">
        <v>109</v>
      </c>
      <c r="I29" s="324">
        <v>418.6</v>
      </c>
      <c r="J29" s="325"/>
      <c r="K29" s="325">
        <v>597</v>
      </c>
      <c r="L29" s="325"/>
      <c r="M29" s="325"/>
      <c r="N29" s="325"/>
      <c r="O29" s="326"/>
      <c r="P29" s="326"/>
      <c r="Q29" s="326">
        <v>322</v>
      </c>
      <c r="R29" s="326"/>
      <c r="S29" s="327" t="s">
        <v>952</v>
      </c>
    </row>
    <row r="30" spans="1:19" ht="15" customHeight="1">
      <c r="A30" s="561">
        <f t="shared" si="0"/>
        <v>30</v>
      </c>
      <c r="B30" s="31">
        <v>102</v>
      </c>
      <c r="C30" s="249" t="s">
        <v>850</v>
      </c>
      <c r="D30" s="320" t="s">
        <v>180</v>
      </c>
      <c r="E30" s="321" t="s">
        <v>856</v>
      </c>
      <c r="F30" s="322" t="s">
        <v>861</v>
      </c>
      <c r="G30" s="323" t="s">
        <v>377</v>
      </c>
      <c r="H30" s="322" t="s">
        <v>174</v>
      </c>
      <c r="I30" s="324"/>
      <c r="J30" s="325"/>
      <c r="K30" s="325"/>
      <c r="L30" s="325"/>
      <c r="M30" s="325"/>
      <c r="N30" s="325"/>
      <c r="O30" s="326"/>
      <c r="P30" s="326"/>
      <c r="Q30" s="326"/>
      <c r="R30" s="326"/>
      <c r="S30" s="327" t="s">
        <v>1350</v>
      </c>
    </row>
    <row r="31" spans="1:19" ht="15" customHeight="1">
      <c r="A31" s="561">
        <f t="shared" si="0"/>
        <v>31</v>
      </c>
      <c r="B31" s="31">
        <v>102</v>
      </c>
      <c r="C31" s="249" t="s">
        <v>850</v>
      </c>
      <c r="D31" s="320" t="s">
        <v>180</v>
      </c>
      <c r="E31" s="321" t="s">
        <v>856</v>
      </c>
      <c r="F31" s="322" t="s">
        <v>863</v>
      </c>
      <c r="G31" s="323" t="s">
        <v>379</v>
      </c>
      <c r="H31" s="322" t="s">
        <v>1323</v>
      </c>
      <c r="I31" s="324">
        <v>72.8</v>
      </c>
      <c r="J31" s="325"/>
      <c r="K31" s="325">
        <v>157</v>
      </c>
      <c r="L31" s="325"/>
      <c r="M31" s="325"/>
      <c r="N31" s="325"/>
      <c r="O31" s="326"/>
      <c r="P31" s="326"/>
      <c r="Q31" s="326">
        <v>83</v>
      </c>
      <c r="R31" s="326"/>
      <c r="S31" s="327" t="s">
        <v>953</v>
      </c>
    </row>
    <row r="32" spans="1:19" ht="15" customHeight="1">
      <c r="A32" s="561">
        <f t="shared" si="0"/>
        <v>32</v>
      </c>
      <c r="B32" s="31">
        <v>102</v>
      </c>
      <c r="C32" s="249" t="s">
        <v>850</v>
      </c>
      <c r="D32" s="320" t="s">
        <v>180</v>
      </c>
      <c r="E32" s="321" t="s">
        <v>856</v>
      </c>
      <c r="F32" s="322" t="s">
        <v>868</v>
      </c>
      <c r="G32" s="323" t="s">
        <v>869</v>
      </c>
      <c r="H32" s="322" t="s">
        <v>299</v>
      </c>
      <c r="I32" s="324">
        <v>0</v>
      </c>
      <c r="J32" s="325"/>
      <c r="K32" s="325"/>
      <c r="L32" s="325"/>
      <c r="M32" s="325"/>
      <c r="N32" s="325"/>
      <c r="O32" s="326"/>
      <c r="P32" s="326"/>
      <c r="Q32" s="326"/>
      <c r="R32" s="326"/>
      <c r="S32" s="327" t="s">
        <v>614</v>
      </c>
    </row>
    <row r="33" spans="1:19" ht="15" customHeight="1">
      <c r="A33" s="561">
        <f t="shared" si="0"/>
        <v>33</v>
      </c>
      <c r="B33" s="31">
        <v>102</v>
      </c>
      <c r="C33" s="249" t="s">
        <v>850</v>
      </c>
      <c r="D33" s="320" t="s">
        <v>180</v>
      </c>
      <c r="E33" s="321" t="s">
        <v>856</v>
      </c>
      <c r="F33" s="322" t="s">
        <v>870</v>
      </c>
      <c r="G33" s="323" t="s">
        <v>871</v>
      </c>
      <c r="H33" s="322" t="s">
        <v>299</v>
      </c>
      <c r="I33" s="324">
        <v>0</v>
      </c>
      <c r="J33" s="325"/>
      <c r="K33" s="325"/>
      <c r="L33" s="325"/>
      <c r="M33" s="325"/>
      <c r="N33" s="325"/>
      <c r="O33" s="326"/>
      <c r="P33" s="326"/>
      <c r="Q33" s="326"/>
      <c r="R33" s="326"/>
      <c r="S33" s="327" t="s">
        <v>614</v>
      </c>
    </row>
    <row r="34" spans="1:19" ht="15" customHeight="1">
      <c r="A34" s="561">
        <f t="shared" si="0"/>
        <v>34</v>
      </c>
      <c r="B34" s="31">
        <v>102</v>
      </c>
      <c r="C34" s="249" t="s">
        <v>850</v>
      </c>
      <c r="D34" s="320" t="s">
        <v>180</v>
      </c>
      <c r="E34" s="321" t="s">
        <v>856</v>
      </c>
      <c r="F34" s="322" t="s">
        <v>734</v>
      </c>
      <c r="G34" s="323" t="s">
        <v>298</v>
      </c>
      <c r="H34" s="322" t="s">
        <v>299</v>
      </c>
      <c r="I34" s="324">
        <v>7.8000000000000007</v>
      </c>
      <c r="J34" s="325"/>
      <c r="K34" s="325"/>
      <c r="L34" s="325"/>
      <c r="M34" s="325"/>
      <c r="N34" s="325"/>
      <c r="O34" s="326"/>
      <c r="P34" s="326"/>
      <c r="Q34" s="326"/>
      <c r="R34" s="326"/>
      <c r="S34" s="327"/>
    </row>
    <row r="35" spans="1:19" ht="15" customHeight="1">
      <c r="A35" s="561">
        <f t="shared" si="0"/>
        <v>35</v>
      </c>
      <c r="B35" s="31">
        <v>102</v>
      </c>
      <c r="C35" s="249" t="s">
        <v>850</v>
      </c>
      <c r="D35" s="320" t="s">
        <v>180</v>
      </c>
      <c r="E35" s="321" t="s">
        <v>856</v>
      </c>
      <c r="F35" s="322" t="s">
        <v>875</v>
      </c>
      <c r="G35" s="323" t="s">
        <v>101</v>
      </c>
      <c r="H35" s="322" t="s">
        <v>299</v>
      </c>
      <c r="I35" s="324">
        <v>7.8000000000000007</v>
      </c>
      <c r="J35" s="325"/>
      <c r="K35" s="325"/>
      <c r="L35" s="325"/>
      <c r="M35" s="325"/>
      <c r="N35" s="325"/>
      <c r="O35" s="326"/>
      <c r="P35" s="326"/>
      <c r="Q35" s="326"/>
      <c r="R35" s="326"/>
      <c r="S35" s="327"/>
    </row>
    <row r="36" spans="1:19" ht="15" customHeight="1">
      <c r="A36" s="561">
        <f t="shared" si="0"/>
        <v>36</v>
      </c>
      <c r="B36" s="31">
        <v>102</v>
      </c>
      <c r="C36" s="249" t="s">
        <v>850</v>
      </c>
      <c r="D36" s="320" t="s">
        <v>180</v>
      </c>
      <c r="E36" s="321" t="s">
        <v>856</v>
      </c>
      <c r="F36" s="322" t="s">
        <v>175</v>
      </c>
      <c r="G36" s="323" t="s">
        <v>391</v>
      </c>
      <c r="H36" s="322" t="s">
        <v>174</v>
      </c>
      <c r="I36" s="324">
        <v>0</v>
      </c>
      <c r="J36" s="325"/>
      <c r="K36" s="325"/>
      <c r="L36" s="325"/>
      <c r="M36" s="325"/>
      <c r="N36" s="325"/>
      <c r="O36" s="326"/>
      <c r="P36" s="326"/>
      <c r="Q36" s="326"/>
      <c r="R36" s="326"/>
      <c r="S36" s="327" t="s">
        <v>954</v>
      </c>
    </row>
    <row r="37" spans="1:19" ht="15" customHeight="1">
      <c r="A37" s="561">
        <f t="shared" si="0"/>
        <v>37</v>
      </c>
      <c r="B37" s="31">
        <v>102</v>
      </c>
      <c r="C37" s="249" t="s">
        <v>850</v>
      </c>
      <c r="D37" s="320" t="s">
        <v>180</v>
      </c>
      <c r="E37" s="321" t="s">
        <v>856</v>
      </c>
      <c r="F37" s="322" t="s">
        <v>175</v>
      </c>
      <c r="G37" s="323" t="s">
        <v>390</v>
      </c>
      <c r="H37" s="322" t="s">
        <v>19</v>
      </c>
      <c r="I37" s="324">
        <v>18.2</v>
      </c>
      <c r="J37" s="325"/>
      <c r="K37" s="325"/>
      <c r="L37" s="325">
        <v>60</v>
      </c>
      <c r="M37" s="325"/>
      <c r="N37" s="325"/>
      <c r="O37" s="326"/>
      <c r="P37" s="326"/>
      <c r="Q37" s="326"/>
      <c r="R37" s="326">
        <v>14</v>
      </c>
      <c r="S37" s="327" t="s">
        <v>522</v>
      </c>
    </row>
    <row r="38" spans="1:19" ht="15" customHeight="1">
      <c r="A38" s="561">
        <f t="shared" si="0"/>
        <v>38</v>
      </c>
      <c r="B38" s="31">
        <v>102</v>
      </c>
      <c r="C38" s="249" t="s">
        <v>850</v>
      </c>
      <c r="D38" s="320" t="s">
        <v>180</v>
      </c>
      <c r="E38" s="321" t="s">
        <v>856</v>
      </c>
      <c r="F38" s="322" t="s">
        <v>175</v>
      </c>
      <c r="G38" s="323" t="s">
        <v>393</v>
      </c>
      <c r="H38" s="322" t="s">
        <v>19</v>
      </c>
      <c r="I38" s="324">
        <v>10.4</v>
      </c>
      <c r="J38" s="325"/>
      <c r="K38" s="325"/>
      <c r="L38" s="325">
        <v>56</v>
      </c>
      <c r="M38" s="325"/>
      <c r="N38" s="325"/>
      <c r="O38" s="326"/>
      <c r="P38" s="326"/>
      <c r="Q38" s="326"/>
      <c r="R38" s="326">
        <v>8</v>
      </c>
      <c r="S38" s="327" t="s">
        <v>522</v>
      </c>
    </row>
    <row r="39" spans="1:19" ht="15" customHeight="1">
      <c r="A39" s="561">
        <f t="shared" si="0"/>
        <v>39</v>
      </c>
      <c r="B39" s="31">
        <v>102</v>
      </c>
      <c r="C39" s="249" t="s">
        <v>850</v>
      </c>
      <c r="D39" s="320" t="s">
        <v>180</v>
      </c>
      <c r="E39" s="321" t="s">
        <v>856</v>
      </c>
      <c r="F39" s="322" t="s">
        <v>175</v>
      </c>
      <c r="G39" s="323" t="s">
        <v>392</v>
      </c>
      <c r="H39" s="322" t="s">
        <v>19</v>
      </c>
      <c r="I39" s="324">
        <v>39</v>
      </c>
      <c r="J39" s="325"/>
      <c r="K39" s="325"/>
      <c r="L39" s="325">
        <v>190</v>
      </c>
      <c r="M39" s="325"/>
      <c r="N39" s="325"/>
      <c r="O39" s="326"/>
      <c r="P39" s="326"/>
      <c r="Q39" s="326"/>
      <c r="R39" s="326">
        <v>30</v>
      </c>
      <c r="S39" s="327" t="s">
        <v>522</v>
      </c>
    </row>
    <row r="40" spans="1:19" ht="15" customHeight="1">
      <c r="A40" s="561">
        <f t="shared" si="0"/>
        <v>40</v>
      </c>
      <c r="B40" s="31">
        <v>102</v>
      </c>
      <c r="C40" s="249" t="s">
        <v>850</v>
      </c>
      <c r="D40" s="320" t="s">
        <v>180</v>
      </c>
      <c r="E40" s="321" t="s">
        <v>856</v>
      </c>
      <c r="F40" s="322" t="s">
        <v>175</v>
      </c>
      <c r="G40" s="323" t="s">
        <v>394</v>
      </c>
      <c r="H40" s="322" t="s">
        <v>19</v>
      </c>
      <c r="I40" s="324">
        <v>19.5</v>
      </c>
      <c r="J40" s="325"/>
      <c r="K40" s="325"/>
      <c r="L40" s="325">
        <v>109</v>
      </c>
      <c r="M40" s="325"/>
      <c r="N40" s="325"/>
      <c r="O40" s="326"/>
      <c r="P40" s="326">
        <v>15</v>
      </c>
      <c r="Q40" s="326"/>
      <c r="R40" s="326"/>
      <c r="S40" s="327" t="s">
        <v>955</v>
      </c>
    </row>
    <row r="41" spans="1:19" ht="15" customHeight="1">
      <c r="A41" s="561">
        <f t="shared" si="0"/>
        <v>41</v>
      </c>
      <c r="B41" s="31">
        <v>102</v>
      </c>
      <c r="C41" s="249" t="s">
        <v>850</v>
      </c>
      <c r="D41" s="320" t="s">
        <v>180</v>
      </c>
      <c r="E41" s="321" t="s">
        <v>856</v>
      </c>
      <c r="F41" s="322" t="s">
        <v>175</v>
      </c>
      <c r="G41" s="323" t="s">
        <v>395</v>
      </c>
      <c r="H41" s="322"/>
      <c r="I41" s="324">
        <v>3</v>
      </c>
      <c r="J41" s="325"/>
      <c r="K41" s="325"/>
      <c r="L41" s="325">
        <v>14</v>
      </c>
      <c r="M41" s="325"/>
      <c r="N41" s="325"/>
      <c r="O41" s="326"/>
      <c r="P41" s="326"/>
      <c r="Q41" s="326"/>
      <c r="R41" s="326">
        <v>3</v>
      </c>
      <c r="S41" s="327" t="s">
        <v>1147</v>
      </c>
    </row>
    <row r="42" spans="1:19" ht="15" customHeight="1">
      <c r="A42" s="561">
        <f t="shared" si="0"/>
        <v>42</v>
      </c>
      <c r="B42" s="31">
        <v>102</v>
      </c>
      <c r="C42" s="249" t="s">
        <v>850</v>
      </c>
      <c r="D42" s="320" t="s">
        <v>180</v>
      </c>
      <c r="E42" s="321" t="s">
        <v>856</v>
      </c>
      <c r="F42" s="322" t="s">
        <v>175</v>
      </c>
      <c r="G42" s="323" t="s">
        <v>398</v>
      </c>
      <c r="H42" s="322"/>
      <c r="I42" s="324">
        <v>16</v>
      </c>
      <c r="J42" s="325"/>
      <c r="K42" s="325"/>
      <c r="L42" s="325">
        <v>107</v>
      </c>
      <c r="M42" s="325"/>
      <c r="N42" s="325"/>
      <c r="O42" s="326"/>
      <c r="P42" s="326"/>
      <c r="Q42" s="326">
        <v>16</v>
      </c>
      <c r="R42" s="326"/>
      <c r="S42" s="327" t="s">
        <v>522</v>
      </c>
    </row>
    <row r="43" spans="1:19" ht="15" customHeight="1">
      <c r="A43" s="561">
        <f t="shared" si="0"/>
        <v>43</v>
      </c>
      <c r="B43" s="31">
        <v>102</v>
      </c>
      <c r="C43" s="249" t="s">
        <v>850</v>
      </c>
      <c r="D43" s="320" t="s">
        <v>180</v>
      </c>
      <c r="E43" s="321" t="s">
        <v>856</v>
      </c>
      <c r="F43" s="322" t="s">
        <v>175</v>
      </c>
      <c r="G43" s="323" t="s">
        <v>400</v>
      </c>
      <c r="H43" s="322" t="s">
        <v>109</v>
      </c>
      <c r="I43" s="324">
        <v>9.1</v>
      </c>
      <c r="J43" s="325"/>
      <c r="K43" s="325"/>
      <c r="L43" s="325"/>
      <c r="M43" s="325"/>
      <c r="N43" s="325">
        <v>32</v>
      </c>
      <c r="O43" s="326"/>
      <c r="P43" s="326"/>
      <c r="Q43" s="326">
        <v>7</v>
      </c>
      <c r="R43" s="326"/>
      <c r="S43" s="327" t="s">
        <v>318</v>
      </c>
    </row>
    <row r="44" spans="1:19" ht="15" customHeight="1">
      <c r="A44" s="561">
        <f t="shared" si="0"/>
        <v>44</v>
      </c>
      <c r="B44" s="31">
        <v>102</v>
      </c>
      <c r="C44" s="249" t="s">
        <v>850</v>
      </c>
      <c r="D44" s="320" t="s">
        <v>180</v>
      </c>
      <c r="E44" s="321" t="s">
        <v>856</v>
      </c>
      <c r="F44" s="322" t="s">
        <v>175</v>
      </c>
      <c r="G44" s="323" t="s">
        <v>736</v>
      </c>
      <c r="H44" s="322" t="s">
        <v>176</v>
      </c>
      <c r="I44" s="324">
        <v>13</v>
      </c>
      <c r="J44" s="325"/>
      <c r="K44" s="325"/>
      <c r="L44" s="325">
        <v>49</v>
      </c>
      <c r="M44" s="325"/>
      <c r="N44" s="325"/>
      <c r="O44" s="326"/>
      <c r="P44" s="326"/>
      <c r="Q44" s="326"/>
      <c r="R44" s="326">
        <v>10</v>
      </c>
      <c r="S44" s="327" t="s">
        <v>522</v>
      </c>
    </row>
    <row r="45" spans="1:19" ht="15" customHeight="1">
      <c r="A45" s="561">
        <f t="shared" si="0"/>
        <v>45</v>
      </c>
      <c r="B45" s="31">
        <v>102</v>
      </c>
      <c r="C45" s="249" t="s">
        <v>850</v>
      </c>
      <c r="D45" s="320" t="s">
        <v>180</v>
      </c>
      <c r="E45" s="321" t="s">
        <v>856</v>
      </c>
      <c r="F45" s="322" t="s">
        <v>175</v>
      </c>
      <c r="G45" s="323" t="s">
        <v>738</v>
      </c>
      <c r="H45" s="322" t="s">
        <v>1325</v>
      </c>
      <c r="I45" s="324">
        <v>19.5</v>
      </c>
      <c r="J45" s="325"/>
      <c r="K45" s="325"/>
      <c r="L45" s="325">
        <v>61</v>
      </c>
      <c r="M45" s="325"/>
      <c r="N45" s="325"/>
      <c r="O45" s="326"/>
      <c r="P45" s="326"/>
      <c r="Q45" s="326"/>
      <c r="R45" s="326">
        <v>15</v>
      </c>
      <c r="S45" s="327" t="s">
        <v>522</v>
      </c>
    </row>
    <row r="46" spans="1:19" ht="15" customHeight="1">
      <c r="A46" s="561">
        <f t="shared" si="0"/>
        <v>46</v>
      </c>
      <c r="B46" s="31">
        <v>102</v>
      </c>
      <c r="C46" s="249" t="s">
        <v>850</v>
      </c>
      <c r="D46" s="320" t="s">
        <v>180</v>
      </c>
      <c r="E46" s="321" t="s">
        <v>856</v>
      </c>
      <c r="F46" s="322" t="s">
        <v>876</v>
      </c>
      <c r="G46" s="323" t="s">
        <v>739</v>
      </c>
      <c r="H46" s="322" t="s">
        <v>166</v>
      </c>
      <c r="I46" s="324">
        <v>8</v>
      </c>
      <c r="J46" s="325"/>
      <c r="K46" s="325"/>
      <c r="L46" s="325"/>
      <c r="M46" s="325"/>
      <c r="N46" s="325"/>
      <c r="O46" s="326"/>
      <c r="P46" s="326"/>
      <c r="Q46" s="326"/>
      <c r="R46" s="326"/>
      <c r="S46" s="327" t="s">
        <v>528</v>
      </c>
    </row>
    <row r="47" spans="1:19" ht="15" customHeight="1">
      <c r="A47" s="561">
        <f t="shared" si="0"/>
        <v>47</v>
      </c>
      <c r="B47" s="31">
        <v>102</v>
      </c>
      <c r="C47" s="249" t="s">
        <v>850</v>
      </c>
      <c r="D47" s="320" t="s">
        <v>180</v>
      </c>
      <c r="E47" s="321" t="s">
        <v>856</v>
      </c>
      <c r="F47" s="322" t="s">
        <v>175</v>
      </c>
      <c r="G47" s="323" t="s">
        <v>796</v>
      </c>
      <c r="H47" s="322" t="s">
        <v>109</v>
      </c>
      <c r="I47" s="324">
        <v>20.8</v>
      </c>
      <c r="J47" s="325"/>
      <c r="K47" s="325"/>
      <c r="L47" s="325">
        <v>74</v>
      </c>
      <c r="M47" s="325"/>
      <c r="N47" s="325"/>
      <c r="O47" s="326"/>
      <c r="P47" s="326"/>
      <c r="Q47" s="326"/>
      <c r="R47" s="326">
        <v>16</v>
      </c>
      <c r="S47" s="327" t="s">
        <v>522</v>
      </c>
    </row>
    <row r="48" spans="1:19" ht="15" customHeight="1">
      <c r="A48" s="561">
        <f t="shared" si="0"/>
        <v>48</v>
      </c>
      <c r="B48" s="31">
        <v>102</v>
      </c>
      <c r="C48" s="249" t="s">
        <v>850</v>
      </c>
      <c r="D48" s="320" t="s">
        <v>180</v>
      </c>
      <c r="E48" s="321" t="s">
        <v>856</v>
      </c>
      <c r="F48" s="322" t="s">
        <v>175</v>
      </c>
      <c r="G48" s="323" t="s">
        <v>798</v>
      </c>
      <c r="H48" s="322" t="s">
        <v>19</v>
      </c>
      <c r="I48" s="324">
        <v>102.7</v>
      </c>
      <c r="J48" s="325"/>
      <c r="K48" s="325"/>
      <c r="L48" s="325">
        <v>132</v>
      </c>
      <c r="M48" s="325"/>
      <c r="N48" s="325"/>
      <c r="O48" s="326"/>
      <c r="P48" s="326"/>
      <c r="Q48" s="326"/>
      <c r="R48" s="326">
        <v>79</v>
      </c>
      <c r="S48" s="327" t="s">
        <v>522</v>
      </c>
    </row>
    <row r="49" spans="1:19" ht="15" customHeight="1">
      <c r="A49" s="561">
        <f t="shared" si="0"/>
        <v>49</v>
      </c>
      <c r="B49" s="31">
        <v>102</v>
      </c>
      <c r="C49" s="249" t="s">
        <v>850</v>
      </c>
      <c r="D49" s="320" t="s">
        <v>180</v>
      </c>
      <c r="E49" s="321" t="s">
        <v>856</v>
      </c>
      <c r="F49" s="322" t="s">
        <v>175</v>
      </c>
      <c r="G49" s="323" t="s">
        <v>877</v>
      </c>
      <c r="H49" s="322" t="s">
        <v>19</v>
      </c>
      <c r="I49" s="324">
        <v>19.5</v>
      </c>
      <c r="J49" s="325"/>
      <c r="K49" s="325">
        <v>40</v>
      </c>
      <c r="L49" s="325"/>
      <c r="M49" s="325"/>
      <c r="N49" s="325"/>
      <c r="O49" s="326"/>
      <c r="P49" s="326"/>
      <c r="Q49" s="326">
        <v>15</v>
      </c>
      <c r="R49" s="326"/>
      <c r="S49" s="327" t="s">
        <v>522</v>
      </c>
    </row>
    <row r="50" spans="1:19" ht="15" customHeight="1">
      <c r="A50" s="561">
        <f t="shared" si="0"/>
        <v>50</v>
      </c>
      <c r="B50" s="31">
        <v>102</v>
      </c>
      <c r="C50" s="249" t="s">
        <v>850</v>
      </c>
      <c r="D50" s="320" t="s">
        <v>180</v>
      </c>
      <c r="E50" s="321" t="s">
        <v>856</v>
      </c>
      <c r="F50" s="322" t="s">
        <v>175</v>
      </c>
      <c r="G50" s="323" t="s">
        <v>407</v>
      </c>
      <c r="H50" s="322"/>
      <c r="I50" s="324">
        <v>0</v>
      </c>
      <c r="J50" s="325"/>
      <c r="K50" s="325"/>
      <c r="L50" s="325"/>
      <c r="M50" s="325"/>
      <c r="N50" s="325"/>
      <c r="O50" s="326"/>
      <c r="P50" s="326"/>
      <c r="Q50" s="326"/>
      <c r="R50" s="326"/>
      <c r="S50" s="327" t="s">
        <v>1330</v>
      </c>
    </row>
    <row r="51" spans="1:19" ht="15" customHeight="1">
      <c r="A51" s="561">
        <f t="shared" si="0"/>
        <v>51</v>
      </c>
      <c r="B51" s="31">
        <v>102</v>
      </c>
      <c r="C51" s="249" t="s">
        <v>850</v>
      </c>
      <c r="D51" s="320" t="s">
        <v>180</v>
      </c>
      <c r="E51" s="321" t="s">
        <v>856</v>
      </c>
      <c r="F51" s="322" t="s">
        <v>544</v>
      </c>
      <c r="G51" s="323" t="s">
        <v>409</v>
      </c>
      <c r="H51" s="322"/>
      <c r="I51" s="324">
        <v>0</v>
      </c>
      <c r="J51" s="325"/>
      <c r="K51" s="325"/>
      <c r="L51" s="325"/>
      <c r="M51" s="325"/>
      <c r="N51" s="325"/>
      <c r="O51" s="326"/>
      <c r="P51" s="326"/>
      <c r="Q51" s="326"/>
      <c r="R51" s="326"/>
      <c r="S51" s="327" t="s">
        <v>1330</v>
      </c>
    </row>
    <row r="52" spans="1:19" ht="15" customHeight="1">
      <c r="A52" s="561">
        <f t="shared" si="0"/>
        <v>52</v>
      </c>
      <c r="B52" s="31">
        <v>102</v>
      </c>
      <c r="C52" s="249" t="s">
        <v>850</v>
      </c>
      <c r="D52" s="320" t="s">
        <v>180</v>
      </c>
      <c r="E52" s="321" t="s">
        <v>856</v>
      </c>
      <c r="F52" s="322" t="s">
        <v>175</v>
      </c>
      <c r="G52" s="323" t="s">
        <v>878</v>
      </c>
      <c r="H52" s="322" t="s">
        <v>19</v>
      </c>
      <c r="I52" s="324">
        <v>49.4</v>
      </c>
      <c r="J52" s="325"/>
      <c r="K52" s="325"/>
      <c r="L52" s="325">
        <v>240</v>
      </c>
      <c r="M52" s="325"/>
      <c r="N52" s="325"/>
      <c r="O52" s="326"/>
      <c r="P52" s="326"/>
      <c r="Q52" s="326"/>
      <c r="R52" s="326">
        <v>38</v>
      </c>
      <c r="S52" s="327" t="s">
        <v>522</v>
      </c>
    </row>
    <row r="53" spans="1:19" ht="15" customHeight="1">
      <c r="A53" s="561">
        <f t="shared" si="0"/>
        <v>53</v>
      </c>
      <c r="B53" s="31">
        <v>102</v>
      </c>
      <c r="C53" s="249" t="s">
        <v>850</v>
      </c>
      <c r="D53" s="320" t="s">
        <v>180</v>
      </c>
      <c r="E53" s="321" t="s">
        <v>856</v>
      </c>
      <c r="F53" s="322" t="s">
        <v>175</v>
      </c>
      <c r="G53" s="323" t="s">
        <v>879</v>
      </c>
      <c r="H53" s="322" t="s">
        <v>19</v>
      </c>
      <c r="I53" s="324">
        <v>32.5</v>
      </c>
      <c r="J53" s="325"/>
      <c r="K53" s="325"/>
      <c r="L53" s="325">
        <v>111</v>
      </c>
      <c r="M53" s="325"/>
      <c r="N53" s="325"/>
      <c r="O53" s="326"/>
      <c r="P53" s="326"/>
      <c r="Q53" s="326">
        <v>25</v>
      </c>
      <c r="R53" s="326"/>
      <c r="S53" s="327" t="s">
        <v>522</v>
      </c>
    </row>
    <row r="54" spans="1:19" ht="15" customHeight="1">
      <c r="A54" s="561">
        <f t="shared" si="0"/>
        <v>54</v>
      </c>
      <c r="B54" s="31">
        <v>102</v>
      </c>
      <c r="C54" s="249" t="s">
        <v>850</v>
      </c>
      <c r="D54" s="320" t="s">
        <v>180</v>
      </c>
      <c r="E54" s="321" t="s">
        <v>856</v>
      </c>
      <c r="F54" s="322" t="s">
        <v>175</v>
      </c>
      <c r="G54" s="323" t="s">
        <v>880</v>
      </c>
      <c r="H54" s="322" t="s">
        <v>19</v>
      </c>
      <c r="I54" s="324">
        <v>3.9000000000000004</v>
      </c>
      <c r="J54" s="325"/>
      <c r="K54" s="325"/>
      <c r="L54" s="325"/>
      <c r="M54" s="325"/>
      <c r="N54" s="325">
        <v>29</v>
      </c>
      <c r="O54" s="326"/>
      <c r="P54" s="326"/>
      <c r="Q54" s="326"/>
      <c r="R54" s="326">
        <v>3</v>
      </c>
      <c r="S54" s="327" t="s">
        <v>522</v>
      </c>
    </row>
    <row r="55" spans="1:19" ht="15" customHeight="1">
      <c r="A55" s="561">
        <f t="shared" si="0"/>
        <v>55</v>
      </c>
      <c r="B55" s="31">
        <v>102</v>
      </c>
      <c r="C55" s="249" t="s">
        <v>850</v>
      </c>
      <c r="D55" s="320" t="s">
        <v>180</v>
      </c>
      <c r="E55" s="321" t="s">
        <v>856</v>
      </c>
      <c r="F55" s="322" t="s">
        <v>778</v>
      </c>
      <c r="G55" s="323" t="s">
        <v>881</v>
      </c>
      <c r="H55" s="322" t="s">
        <v>166</v>
      </c>
      <c r="I55" s="324">
        <v>3.9000000000000004</v>
      </c>
      <c r="J55" s="325"/>
      <c r="K55" s="325"/>
      <c r="L55" s="325"/>
      <c r="M55" s="325"/>
      <c r="N55" s="325"/>
      <c r="O55" s="326"/>
      <c r="P55" s="326"/>
      <c r="Q55" s="326"/>
      <c r="R55" s="326"/>
      <c r="S55" s="327"/>
    </row>
    <row r="56" spans="1:19" ht="15" customHeight="1">
      <c r="A56" s="561">
        <f t="shared" si="0"/>
        <v>56</v>
      </c>
      <c r="B56" s="31">
        <v>102</v>
      </c>
      <c r="C56" s="249" t="s">
        <v>850</v>
      </c>
      <c r="D56" s="320" t="s">
        <v>180</v>
      </c>
      <c r="E56" s="321" t="s">
        <v>856</v>
      </c>
      <c r="F56" s="322" t="s">
        <v>882</v>
      </c>
      <c r="G56" s="323" t="s">
        <v>424</v>
      </c>
      <c r="H56" s="322" t="s">
        <v>19</v>
      </c>
      <c r="I56" s="324">
        <v>9.1</v>
      </c>
      <c r="J56" s="325"/>
      <c r="K56" s="325"/>
      <c r="L56" s="325">
        <v>47</v>
      </c>
      <c r="M56" s="325"/>
      <c r="N56" s="325"/>
      <c r="O56" s="326"/>
      <c r="P56" s="326">
        <v>7</v>
      </c>
      <c r="Q56" s="326"/>
      <c r="R56" s="326"/>
      <c r="S56" s="327"/>
    </row>
    <row r="57" spans="1:19" ht="15" customHeight="1">
      <c r="A57" s="561">
        <f t="shared" si="0"/>
        <v>57</v>
      </c>
      <c r="B57" s="31">
        <v>102</v>
      </c>
      <c r="C57" s="249" t="s">
        <v>850</v>
      </c>
      <c r="D57" s="320" t="s">
        <v>180</v>
      </c>
      <c r="E57" s="321" t="s">
        <v>856</v>
      </c>
      <c r="F57" s="322" t="s">
        <v>577</v>
      </c>
      <c r="G57" s="323" t="s">
        <v>883</v>
      </c>
      <c r="H57" s="322" t="s">
        <v>176</v>
      </c>
      <c r="I57" s="324">
        <v>19.5</v>
      </c>
      <c r="J57" s="325"/>
      <c r="K57" s="325"/>
      <c r="L57" s="325">
        <v>67</v>
      </c>
      <c r="M57" s="325"/>
      <c r="N57" s="325"/>
      <c r="O57" s="326"/>
      <c r="P57" s="326"/>
      <c r="Q57" s="326"/>
      <c r="R57" s="326">
        <v>15</v>
      </c>
      <c r="S57" s="327" t="s">
        <v>522</v>
      </c>
    </row>
    <row r="58" spans="1:19" ht="15" customHeight="1">
      <c r="A58" s="561">
        <f t="shared" si="0"/>
        <v>58</v>
      </c>
      <c r="B58" s="31">
        <v>102</v>
      </c>
      <c r="C58" s="249" t="s">
        <v>850</v>
      </c>
      <c r="D58" s="320" t="s">
        <v>180</v>
      </c>
      <c r="E58" s="321" t="s">
        <v>856</v>
      </c>
      <c r="F58" s="322" t="s">
        <v>428</v>
      </c>
      <c r="G58" s="323" t="s">
        <v>429</v>
      </c>
      <c r="H58" s="322" t="s">
        <v>19</v>
      </c>
      <c r="I58" s="324">
        <v>7.8000000000000007</v>
      </c>
      <c r="J58" s="325"/>
      <c r="K58" s="325"/>
      <c r="L58" s="325">
        <v>29</v>
      </c>
      <c r="M58" s="325"/>
      <c r="N58" s="325"/>
      <c r="O58" s="326"/>
      <c r="P58" s="326"/>
      <c r="Q58" s="326"/>
      <c r="R58" s="326">
        <v>6</v>
      </c>
      <c r="S58" s="327" t="s">
        <v>522</v>
      </c>
    </row>
    <row r="59" spans="1:19" ht="15" customHeight="1">
      <c r="A59" s="561">
        <f t="shared" si="0"/>
        <v>59</v>
      </c>
      <c r="B59" s="31">
        <v>102</v>
      </c>
      <c r="C59" s="249" t="s">
        <v>850</v>
      </c>
      <c r="D59" s="320" t="s">
        <v>180</v>
      </c>
      <c r="E59" s="321" t="s">
        <v>856</v>
      </c>
      <c r="F59" s="322" t="s">
        <v>430</v>
      </c>
      <c r="G59" s="323" t="s">
        <v>431</v>
      </c>
      <c r="H59" s="322" t="s">
        <v>19</v>
      </c>
      <c r="I59" s="324">
        <v>3.9000000000000004</v>
      </c>
      <c r="J59" s="325"/>
      <c r="K59" s="325"/>
      <c r="L59" s="325">
        <v>22</v>
      </c>
      <c r="M59" s="325"/>
      <c r="N59" s="325"/>
      <c r="O59" s="326"/>
      <c r="P59" s="326"/>
      <c r="Q59" s="326"/>
      <c r="R59" s="326">
        <v>3</v>
      </c>
      <c r="S59" s="327" t="s">
        <v>522</v>
      </c>
    </row>
    <row r="60" spans="1:19" ht="15" customHeight="1">
      <c r="A60" s="561">
        <f t="shared" si="0"/>
        <v>60</v>
      </c>
      <c r="B60" s="31">
        <v>102</v>
      </c>
      <c r="C60" s="249" t="s">
        <v>850</v>
      </c>
      <c r="D60" s="320" t="s">
        <v>180</v>
      </c>
      <c r="E60" s="321" t="s">
        <v>856</v>
      </c>
      <c r="F60" s="322" t="s">
        <v>428</v>
      </c>
      <c r="G60" s="323" t="s">
        <v>432</v>
      </c>
      <c r="H60" s="322" t="s">
        <v>19</v>
      </c>
      <c r="I60" s="324">
        <v>7.8000000000000007</v>
      </c>
      <c r="J60" s="325"/>
      <c r="K60" s="325"/>
      <c r="L60" s="325">
        <v>29</v>
      </c>
      <c r="M60" s="325"/>
      <c r="N60" s="325"/>
      <c r="O60" s="326"/>
      <c r="P60" s="326"/>
      <c r="Q60" s="326"/>
      <c r="R60" s="326">
        <v>6</v>
      </c>
      <c r="S60" s="327" t="s">
        <v>522</v>
      </c>
    </row>
    <row r="61" spans="1:19" ht="15" customHeight="1">
      <c r="A61" s="561">
        <f t="shared" si="0"/>
        <v>61</v>
      </c>
      <c r="B61" s="31">
        <v>102</v>
      </c>
      <c r="C61" s="249" t="s">
        <v>850</v>
      </c>
      <c r="D61" s="320" t="s">
        <v>180</v>
      </c>
      <c r="E61" s="321" t="s">
        <v>856</v>
      </c>
      <c r="F61" s="322" t="s">
        <v>430</v>
      </c>
      <c r="G61" s="323" t="s">
        <v>433</v>
      </c>
      <c r="H61" s="322" t="s">
        <v>19</v>
      </c>
      <c r="I61" s="324">
        <v>3.9000000000000004</v>
      </c>
      <c r="J61" s="325"/>
      <c r="K61" s="325"/>
      <c r="L61" s="325">
        <v>22</v>
      </c>
      <c r="M61" s="325"/>
      <c r="N61" s="325"/>
      <c r="O61" s="326"/>
      <c r="P61" s="326"/>
      <c r="Q61" s="326"/>
      <c r="R61" s="326">
        <v>3</v>
      </c>
      <c r="S61" s="327" t="s">
        <v>522</v>
      </c>
    </row>
    <row r="62" spans="1:19" ht="15" customHeight="1">
      <c r="A62" s="561">
        <f t="shared" si="0"/>
        <v>62</v>
      </c>
      <c r="B62" s="31">
        <v>102</v>
      </c>
      <c r="C62" s="249" t="s">
        <v>850</v>
      </c>
      <c r="D62" s="320" t="s">
        <v>180</v>
      </c>
      <c r="E62" s="321" t="s">
        <v>856</v>
      </c>
      <c r="F62" s="322" t="s">
        <v>178</v>
      </c>
      <c r="G62" s="323" t="s">
        <v>435</v>
      </c>
      <c r="H62" s="322" t="s">
        <v>1325</v>
      </c>
      <c r="I62" s="324">
        <v>152.1</v>
      </c>
      <c r="J62" s="325"/>
      <c r="K62" s="325">
        <v>141</v>
      </c>
      <c r="L62" s="325"/>
      <c r="M62" s="325"/>
      <c r="N62" s="325"/>
      <c r="O62" s="326"/>
      <c r="P62" s="326"/>
      <c r="Q62" s="326">
        <v>117</v>
      </c>
      <c r="R62" s="326"/>
      <c r="S62" s="327" t="s">
        <v>522</v>
      </c>
    </row>
    <row r="63" spans="1:19" ht="15" customHeight="1">
      <c r="A63" s="561">
        <f t="shared" si="0"/>
        <v>63</v>
      </c>
      <c r="B63" s="31">
        <v>102</v>
      </c>
      <c r="C63" s="249" t="s">
        <v>850</v>
      </c>
      <c r="D63" s="320" t="s">
        <v>180</v>
      </c>
      <c r="E63" s="321" t="s">
        <v>856</v>
      </c>
      <c r="F63" s="322" t="s">
        <v>595</v>
      </c>
      <c r="G63" s="323" t="s">
        <v>437</v>
      </c>
      <c r="H63" s="322" t="s">
        <v>1325</v>
      </c>
      <c r="I63" s="324">
        <v>28.6</v>
      </c>
      <c r="J63" s="325"/>
      <c r="K63" s="325">
        <v>59</v>
      </c>
      <c r="L63" s="325"/>
      <c r="M63" s="325"/>
      <c r="N63" s="325"/>
      <c r="O63" s="326"/>
      <c r="P63" s="326"/>
      <c r="Q63" s="326">
        <v>22</v>
      </c>
      <c r="R63" s="326"/>
      <c r="S63" s="327" t="s">
        <v>522</v>
      </c>
    </row>
    <row r="64" spans="1:19" ht="15" customHeight="1">
      <c r="A64" s="561">
        <f t="shared" si="0"/>
        <v>64</v>
      </c>
      <c r="B64" s="31">
        <v>102</v>
      </c>
      <c r="C64" s="249" t="s">
        <v>850</v>
      </c>
      <c r="D64" s="320" t="s">
        <v>180</v>
      </c>
      <c r="E64" s="321" t="s">
        <v>856</v>
      </c>
      <c r="F64" s="322" t="s">
        <v>884</v>
      </c>
      <c r="G64" s="323" t="s">
        <v>439</v>
      </c>
      <c r="H64" s="322" t="s">
        <v>174</v>
      </c>
      <c r="I64" s="324">
        <v>3</v>
      </c>
      <c r="J64" s="325"/>
      <c r="K64" s="325"/>
      <c r="L64" s="325">
        <v>32</v>
      </c>
      <c r="M64" s="325"/>
      <c r="N64" s="325"/>
      <c r="O64" s="326"/>
      <c r="P64" s="326">
        <v>3</v>
      </c>
      <c r="Q64" s="326"/>
      <c r="R64" s="326"/>
      <c r="S64" s="327"/>
    </row>
    <row r="65" spans="1:19" ht="15" customHeight="1">
      <c r="A65" s="561">
        <f t="shared" si="0"/>
        <v>65</v>
      </c>
      <c r="B65" s="31">
        <v>102</v>
      </c>
      <c r="C65" s="249" t="s">
        <v>850</v>
      </c>
      <c r="D65" s="320" t="s">
        <v>180</v>
      </c>
      <c r="E65" s="321" t="s">
        <v>856</v>
      </c>
      <c r="F65" s="322" t="s">
        <v>184</v>
      </c>
      <c r="G65" s="323" t="s">
        <v>885</v>
      </c>
      <c r="H65" s="322" t="s">
        <v>1325</v>
      </c>
      <c r="I65" s="324">
        <v>9.1</v>
      </c>
      <c r="J65" s="325"/>
      <c r="K65" s="325">
        <v>32</v>
      </c>
      <c r="L65" s="325"/>
      <c r="M65" s="325"/>
      <c r="N65" s="325"/>
      <c r="O65" s="326"/>
      <c r="P65" s="326"/>
      <c r="Q65" s="326">
        <v>7</v>
      </c>
      <c r="R65" s="326"/>
      <c r="S65" s="327" t="s">
        <v>522</v>
      </c>
    </row>
    <row r="66" spans="1:19" ht="15" customHeight="1">
      <c r="A66" s="561">
        <f t="shared" si="0"/>
        <v>66</v>
      </c>
      <c r="B66" s="31">
        <v>102</v>
      </c>
      <c r="C66" s="249" t="s">
        <v>850</v>
      </c>
      <c r="D66" s="320" t="s">
        <v>180</v>
      </c>
      <c r="E66" s="321" t="s">
        <v>856</v>
      </c>
      <c r="F66" s="322" t="s">
        <v>41</v>
      </c>
      <c r="G66" s="323" t="s">
        <v>442</v>
      </c>
      <c r="H66" s="322" t="s">
        <v>109</v>
      </c>
      <c r="I66" s="324">
        <v>14.3</v>
      </c>
      <c r="J66" s="325"/>
      <c r="K66" s="325">
        <v>60</v>
      </c>
      <c r="L66" s="325"/>
      <c r="M66" s="325"/>
      <c r="N66" s="325"/>
      <c r="O66" s="326"/>
      <c r="P66" s="326"/>
      <c r="Q66" s="326">
        <v>11</v>
      </c>
      <c r="R66" s="326"/>
      <c r="S66" s="327" t="s">
        <v>522</v>
      </c>
    </row>
    <row r="67" spans="1:19" ht="15" customHeight="1">
      <c r="A67" s="561">
        <f t="shared" ref="A67:A130" si="1">1+A66</f>
        <v>67</v>
      </c>
      <c r="B67" s="31">
        <v>102</v>
      </c>
      <c r="C67" s="249" t="s">
        <v>850</v>
      </c>
      <c r="D67" s="320" t="s">
        <v>180</v>
      </c>
      <c r="E67" s="321" t="s">
        <v>856</v>
      </c>
      <c r="F67" s="322" t="s">
        <v>489</v>
      </c>
      <c r="G67" s="323" t="s">
        <v>444</v>
      </c>
      <c r="H67" s="322" t="s">
        <v>109</v>
      </c>
      <c r="I67" s="324">
        <v>7.8000000000000007</v>
      </c>
      <c r="J67" s="325"/>
      <c r="K67" s="325">
        <v>33</v>
      </c>
      <c r="L67" s="325"/>
      <c r="M67" s="325"/>
      <c r="N67" s="325"/>
      <c r="O67" s="326"/>
      <c r="P67" s="326"/>
      <c r="Q67" s="326"/>
      <c r="R67" s="326">
        <v>6</v>
      </c>
      <c r="S67" s="327" t="s">
        <v>522</v>
      </c>
    </row>
    <row r="68" spans="1:19" ht="15" customHeight="1">
      <c r="A68" s="561">
        <f t="shared" si="1"/>
        <v>68</v>
      </c>
      <c r="B68" s="31">
        <v>102</v>
      </c>
      <c r="C68" s="249" t="s">
        <v>850</v>
      </c>
      <c r="D68" s="320" t="s">
        <v>180</v>
      </c>
      <c r="E68" s="321" t="s">
        <v>856</v>
      </c>
      <c r="F68" s="322" t="s">
        <v>40</v>
      </c>
      <c r="G68" s="323" t="s">
        <v>446</v>
      </c>
      <c r="H68" s="322" t="s">
        <v>44</v>
      </c>
      <c r="I68" s="324">
        <v>9.1</v>
      </c>
      <c r="J68" s="325"/>
      <c r="K68" s="325">
        <v>36</v>
      </c>
      <c r="L68" s="325"/>
      <c r="M68" s="325"/>
      <c r="N68" s="325"/>
      <c r="O68" s="326"/>
      <c r="P68" s="326"/>
      <c r="Q68" s="326">
        <v>7</v>
      </c>
      <c r="R68" s="326"/>
      <c r="S68" s="327" t="s">
        <v>522</v>
      </c>
    </row>
    <row r="69" spans="1:19" ht="15" customHeight="1">
      <c r="A69" s="561">
        <f t="shared" si="1"/>
        <v>69</v>
      </c>
      <c r="B69" s="31">
        <v>102</v>
      </c>
      <c r="C69" s="249" t="s">
        <v>850</v>
      </c>
      <c r="D69" s="320" t="s">
        <v>180</v>
      </c>
      <c r="E69" s="321" t="s">
        <v>856</v>
      </c>
      <c r="F69" s="322" t="s">
        <v>447</v>
      </c>
      <c r="G69" s="323" t="s">
        <v>448</v>
      </c>
      <c r="H69" s="322" t="s">
        <v>148</v>
      </c>
      <c r="I69" s="324">
        <v>2.6</v>
      </c>
      <c r="J69" s="325">
        <v>13</v>
      </c>
      <c r="K69" s="325"/>
      <c r="L69" s="325"/>
      <c r="M69" s="325"/>
      <c r="N69" s="325"/>
      <c r="O69" s="326"/>
      <c r="P69" s="326"/>
      <c r="Q69" s="326"/>
      <c r="R69" s="326">
        <v>2</v>
      </c>
      <c r="S69" s="327" t="s">
        <v>526</v>
      </c>
    </row>
    <row r="70" spans="1:19" ht="15" customHeight="1">
      <c r="A70" s="561">
        <f t="shared" si="1"/>
        <v>70</v>
      </c>
      <c r="B70" s="31">
        <v>102</v>
      </c>
      <c r="C70" s="249" t="s">
        <v>850</v>
      </c>
      <c r="D70" s="320" t="s">
        <v>180</v>
      </c>
      <c r="E70" s="321" t="s">
        <v>856</v>
      </c>
      <c r="F70" s="322" t="s">
        <v>447</v>
      </c>
      <c r="G70" s="323" t="s">
        <v>449</v>
      </c>
      <c r="H70" s="322" t="s">
        <v>148</v>
      </c>
      <c r="I70" s="324">
        <v>2.6</v>
      </c>
      <c r="J70" s="325">
        <v>13</v>
      </c>
      <c r="K70" s="325"/>
      <c r="L70" s="325"/>
      <c r="M70" s="325"/>
      <c r="N70" s="325"/>
      <c r="O70" s="326"/>
      <c r="P70" s="326"/>
      <c r="Q70" s="326"/>
      <c r="R70" s="326">
        <v>2</v>
      </c>
      <c r="S70" s="327" t="s">
        <v>526</v>
      </c>
    </row>
    <row r="71" spans="1:19" ht="15" customHeight="1">
      <c r="A71" s="561">
        <f t="shared" si="1"/>
        <v>71</v>
      </c>
      <c r="B71" s="31">
        <v>102</v>
      </c>
      <c r="C71" s="249" t="s">
        <v>850</v>
      </c>
      <c r="D71" s="320" t="s">
        <v>180</v>
      </c>
      <c r="E71" s="321" t="s">
        <v>856</v>
      </c>
      <c r="F71" s="322" t="s">
        <v>447</v>
      </c>
      <c r="G71" s="323" t="s">
        <v>450</v>
      </c>
      <c r="H71" s="322" t="s">
        <v>148</v>
      </c>
      <c r="I71" s="324">
        <v>2.6</v>
      </c>
      <c r="J71" s="325">
        <v>13</v>
      </c>
      <c r="K71" s="325"/>
      <c r="L71" s="325"/>
      <c r="M71" s="325"/>
      <c r="N71" s="325"/>
      <c r="O71" s="326"/>
      <c r="P71" s="326"/>
      <c r="Q71" s="326"/>
      <c r="R71" s="326">
        <v>2</v>
      </c>
      <c r="S71" s="327" t="s">
        <v>526</v>
      </c>
    </row>
    <row r="72" spans="1:19" ht="15" customHeight="1">
      <c r="A72" s="561">
        <f t="shared" si="1"/>
        <v>72</v>
      </c>
      <c r="B72" s="31">
        <v>102</v>
      </c>
      <c r="C72" s="249" t="s">
        <v>850</v>
      </c>
      <c r="D72" s="320" t="s">
        <v>180</v>
      </c>
      <c r="E72" s="321" t="s">
        <v>856</v>
      </c>
      <c r="F72" s="322" t="s">
        <v>447</v>
      </c>
      <c r="G72" s="323" t="s">
        <v>451</v>
      </c>
      <c r="H72" s="322" t="s">
        <v>148</v>
      </c>
      <c r="I72" s="324">
        <v>2.6</v>
      </c>
      <c r="J72" s="325">
        <v>13</v>
      </c>
      <c r="K72" s="325"/>
      <c r="L72" s="325"/>
      <c r="M72" s="325"/>
      <c r="N72" s="325"/>
      <c r="O72" s="326"/>
      <c r="P72" s="326"/>
      <c r="Q72" s="326"/>
      <c r="R72" s="326">
        <v>2</v>
      </c>
      <c r="S72" s="327" t="s">
        <v>526</v>
      </c>
    </row>
    <row r="73" spans="1:19" ht="15" customHeight="1">
      <c r="A73" s="561">
        <f t="shared" si="1"/>
        <v>73</v>
      </c>
      <c r="B73" s="31">
        <v>102</v>
      </c>
      <c r="C73" s="249" t="s">
        <v>850</v>
      </c>
      <c r="D73" s="320" t="s">
        <v>180</v>
      </c>
      <c r="E73" s="321" t="s">
        <v>856</v>
      </c>
      <c r="F73" s="322" t="s">
        <v>447</v>
      </c>
      <c r="G73" s="323" t="s">
        <v>452</v>
      </c>
      <c r="H73" s="322" t="s">
        <v>148</v>
      </c>
      <c r="I73" s="324">
        <v>1.3</v>
      </c>
      <c r="J73" s="325">
        <v>9</v>
      </c>
      <c r="K73" s="325"/>
      <c r="L73" s="325"/>
      <c r="M73" s="325"/>
      <c r="N73" s="325"/>
      <c r="O73" s="326"/>
      <c r="P73" s="326"/>
      <c r="Q73" s="326"/>
      <c r="R73" s="326">
        <v>1</v>
      </c>
      <c r="S73" s="327" t="s">
        <v>526</v>
      </c>
    </row>
    <row r="74" spans="1:19" ht="15" customHeight="1">
      <c r="A74" s="561">
        <f t="shared" si="1"/>
        <v>74</v>
      </c>
      <c r="B74" s="31">
        <v>102</v>
      </c>
      <c r="C74" s="249" t="s">
        <v>850</v>
      </c>
      <c r="D74" s="320" t="s">
        <v>180</v>
      </c>
      <c r="E74" s="321" t="s">
        <v>856</v>
      </c>
      <c r="F74" s="322" t="s">
        <v>447</v>
      </c>
      <c r="G74" s="323" t="s">
        <v>453</v>
      </c>
      <c r="H74" s="322" t="s">
        <v>148</v>
      </c>
      <c r="I74" s="324">
        <v>2.6</v>
      </c>
      <c r="J74" s="325">
        <v>12</v>
      </c>
      <c r="K74" s="325"/>
      <c r="L74" s="325"/>
      <c r="M74" s="325"/>
      <c r="N74" s="325"/>
      <c r="O74" s="326"/>
      <c r="P74" s="326"/>
      <c r="Q74" s="326"/>
      <c r="R74" s="326">
        <v>2</v>
      </c>
      <c r="S74" s="327" t="s">
        <v>526</v>
      </c>
    </row>
    <row r="75" spans="1:19" ht="15" customHeight="1">
      <c r="A75" s="561">
        <f t="shared" si="1"/>
        <v>75</v>
      </c>
      <c r="B75" s="31">
        <v>102</v>
      </c>
      <c r="C75" s="249" t="s">
        <v>850</v>
      </c>
      <c r="D75" s="320" t="s">
        <v>180</v>
      </c>
      <c r="E75" s="321" t="s">
        <v>856</v>
      </c>
      <c r="F75" s="322" t="s">
        <v>886</v>
      </c>
      <c r="G75" s="323" t="s">
        <v>470</v>
      </c>
      <c r="H75" s="322" t="s">
        <v>174</v>
      </c>
      <c r="I75" s="324">
        <v>2</v>
      </c>
      <c r="J75" s="325"/>
      <c r="K75" s="325"/>
      <c r="L75" s="325">
        <v>16</v>
      </c>
      <c r="M75" s="325"/>
      <c r="N75" s="325"/>
      <c r="O75" s="326"/>
      <c r="P75" s="326"/>
      <c r="Q75" s="326">
        <v>2</v>
      </c>
      <c r="R75" s="326"/>
      <c r="S75" s="327"/>
    </row>
    <row r="76" spans="1:19" ht="15" customHeight="1">
      <c r="A76" s="561">
        <f t="shared" si="1"/>
        <v>76</v>
      </c>
      <c r="B76" s="31">
        <v>102</v>
      </c>
      <c r="C76" s="249" t="s">
        <v>850</v>
      </c>
      <c r="D76" s="320" t="s">
        <v>180</v>
      </c>
      <c r="E76" s="321" t="s">
        <v>856</v>
      </c>
      <c r="F76" s="322" t="s">
        <v>887</v>
      </c>
      <c r="G76" s="323" t="s">
        <v>473</v>
      </c>
      <c r="H76" s="322" t="s">
        <v>109</v>
      </c>
      <c r="I76" s="324">
        <v>5.2</v>
      </c>
      <c r="J76" s="325"/>
      <c r="K76" s="325"/>
      <c r="L76" s="325">
        <v>26</v>
      </c>
      <c r="M76" s="325"/>
      <c r="N76" s="325"/>
      <c r="O76" s="326"/>
      <c r="P76" s="326"/>
      <c r="Q76" s="326"/>
      <c r="R76" s="326">
        <v>4</v>
      </c>
      <c r="S76" s="327" t="s">
        <v>956</v>
      </c>
    </row>
    <row r="77" spans="1:19" ht="15" customHeight="1">
      <c r="A77" s="561">
        <f t="shared" si="1"/>
        <v>77</v>
      </c>
      <c r="B77" s="31">
        <v>102</v>
      </c>
      <c r="C77" s="249" t="s">
        <v>850</v>
      </c>
      <c r="D77" s="320" t="s">
        <v>180</v>
      </c>
      <c r="E77" s="321" t="s">
        <v>856</v>
      </c>
      <c r="F77" s="322" t="s">
        <v>332</v>
      </c>
      <c r="G77" s="323" t="s">
        <v>755</v>
      </c>
      <c r="H77" s="322" t="s">
        <v>109</v>
      </c>
      <c r="I77" s="324">
        <v>22.1</v>
      </c>
      <c r="J77" s="325"/>
      <c r="K77" s="325">
        <v>62</v>
      </c>
      <c r="L77" s="325"/>
      <c r="M77" s="325"/>
      <c r="N77" s="325"/>
      <c r="O77" s="326"/>
      <c r="P77" s="326"/>
      <c r="Q77" s="326">
        <v>17</v>
      </c>
      <c r="R77" s="326"/>
      <c r="S77" s="327" t="s">
        <v>522</v>
      </c>
    </row>
    <row r="78" spans="1:19" ht="15" customHeight="1">
      <c r="A78" s="561">
        <f t="shared" si="1"/>
        <v>78</v>
      </c>
      <c r="B78" s="31">
        <v>102</v>
      </c>
      <c r="C78" s="249" t="s">
        <v>850</v>
      </c>
      <c r="D78" s="320" t="s">
        <v>180</v>
      </c>
      <c r="E78" s="321" t="s">
        <v>856</v>
      </c>
      <c r="F78" s="322" t="s">
        <v>334</v>
      </c>
      <c r="G78" s="323" t="s">
        <v>756</v>
      </c>
      <c r="H78" s="322" t="s">
        <v>19</v>
      </c>
      <c r="I78" s="324">
        <v>87.100000000000009</v>
      </c>
      <c r="J78" s="325"/>
      <c r="K78" s="325"/>
      <c r="L78" s="325">
        <v>410</v>
      </c>
      <c r="M78" s="325"/>
      <c r="N78" s="325"/>
      <c r="O78" s="326"/>
      <c r="P78" s="326"/>
      <c r="Q78" s="326"/>
      <c r="R78" s="326">
        <v>44</v>
      </c>
      <c r="S78" s="327" t="s">
        <v>522</v>
      </c>
    </row>
    <row r="79" spans="1:19" ht="15" customHeight="1">
      <c r="A79" s="561">
        <f t="shared" si="1"/>
        <v>79</v>
      </c>
      <c r="B79" s="31">
        <v>102</v>
      </c>
      <c r="C79" s="249" t="s">
        <v>850</v>
      </c>
      <c r="D79" s="320" t="s">
        <v>180</v>
      </c>
      <c r="E79" s="321" t="s">
        <v>856</v>
      </c>
      <c r="F79" s="322" t="s">
        <v>332</v>
      </c>
      <c r="G79" s="323" t="s">
        <v>757</v>
      </c>
      <c r="H79" s="322" t="s">
        <v>109</v>
      </c>
      <c r="I79" s="324">
        <v>16.900000000000002</v>
      </c>
      <c r="J79" s="325"/>
      <c r="K79" s="325"/>
      <c r="L79" s="325">
        <v>61</v>
      </c>
      <c r="M79" s="325"/>
      <c r="N79" s="325"/>
      <c r="O79" s="326"/>
      <c r="P79" s="326"/>
      <c r="Q79" s="326"/>
      <c r="R79" s="326">
        <v>13</v>
      </c>
      <c r="S79" s="327" t="s">
        <v>522</v>
      </c>
    </row>
    <row r="80" spans="1:19" ht="15" customHeight="1">
      <c r="A80" s="561">
        <f t="shared" si="1"/>
        <v>80</v>
      </c>
      <c r="B80" s="31">
        <v>102</v>
      </c>
      <c r="C80" s="249" t="s">
        <v>850</v>
      </c>
      <c r="D80" s="320" t="s">
        <v>180</v>
      </c>
      <c r="E80" s="321" t="s">
        <v>856</v>
      </c>
      <c r="F80" s="322" t="s">
        <v>334</v>
      </c>
      <c r="G80" s="323" t="s">
        <v>467</v>
      </c>
      <c r="H80" s="322" t="s">
        <v>19</v>
      </c>
      <c r="I80" s="324">
        <v>63.7</v>
      </c>
      <c r="J80" s="325"/>
      <c r="K80" s="325"/>
      <c r="L80" s="325">
        <v>392</v>
      </c>
      <c r="M80" s="325"/>
      <c r="N80" s="325"/>
      <c r="O80" s="326"/>
      <c r="P80" s="326">
        <v>20</v>
      </c>
      <c r="Q80" s="326"/>
      <c r="R80" s="326"/>
      <c r="S80" s="327"/>
    </row>
    <row r="81" spans="1:19" ht="15" customHeight="1">
      <c r="A81" s="561">
        <f t="shared" si="1"/>
        <v>81</v>
      </c>
      <c r="B81" s="31">
        <v>102</v>
      </c>
      <c r="C81" s="249" t="s">
        <v>850</v>
      </c>
      <c r="D81" s="320" t="s">
        <v>180</v>
      </c>
      <c r="E81" s="321" t="s">
        <v>856</v>
      </c>
      <c r="F81" s="322" t="s">
        <v>168</v>
      </c>
      <c r="G81" s="323" t="s">
        <v>758</v>
      </c>
      <c r="H81" s="322" t="s">
        <v>948</v>
      </c>
      <c r="I81" s="324">
        <v>156</v>
      </c>
      <c r="J81" s="325"/>
      <c r="K81" s="325"/>
      <c r="L81" s="325"/>
      <c r="M81" s="325"/>
      <c r="N81" s="325">
        <v>205</v>
      </c>
      <c r="O81" s="326"/>
      <c r="P81" s="326"/>
      <c r="Q81" s="326">
        <v>98</v>
      </c>
      <c r="R81" s="326"/>
      <c r="S81" s="327" t="s">
        <v>957</v>
      </c>
    </row>
    <row r="82" spans="1:19" ht="15" customHeight="1">
      <c r="A82" s="561">
        <f t="shared" si="1"/>
        <v>82</v>
      </c>
      <c r="B82" s="31">
        <v>102</v>
      </c>
      <c r="C82" s="249" t="s">
        <v>850</v>
      </c>
      <c r="D82" s="320" t="s">
        <v>180</v>
      </c>
      <c r="E82" s="321" t="s">
        <v>856</v>
      </c>
      <c r="F82" s="322" t="s">
        <v>168</v>
      </c>
      <c r="G82" s="323" t="s">
        <v>469</v>
      </c>
      <c r="H82" s="322" t="s">
        <v>109</v>
      </c>
      <c r="I82" s="324">
        <v>114.4</v>
      </c>
      <c r="J82" s="325"/>
      <c r="K82" s="325">
        <v>153</v>
      </c>
      <c r="L82" s="325"/>
      <c r="M82" s="325"/>
      <c r="N82" s="325"/>
      <c r="O82" s="326"/>
      <c r="P82" s="326"/>
      <c r="Q82" s="326">
        <v>70</v>
      </c>
      <c r="R82" s="326"/>
      <c r="S82" s="327"/>
    </row>
    <row r="83" spans="1:19" ht="15" customHeight="1">
      <c r="A83" s="561">
        <f t="shared" si="1"/>
        <v>83</v>
      </c>
      <c r="B83" s="31">
        <v>102</v>
      </c>
      <c r="C83" s="249" t="s">
        <v>850</v>
      </c>
      <c r="D83" s="320" t="s">
        <v>180</v>
      </c>
      <c r="E83" s="321" t="s">
        <v>856</v>
      </c>
      <c r="F83" s="322" t="s">
        <v>168</v>
      </c>
      <c r="G83" s="323" t="s">
        <v>888</v>
      </c>
      <c r="H83" s="322" t="s">
        <v>44</v>
      </c>
      <c r="I83" s="324">
        <v>172.9</v>
      </c>
      <c r="J83" s="325"/>
      <c r="K83" s="325"/>
      <c r="L83" s="325"/>
      <c r="M83" s="325"/>
      <c r="N83" s="325">
        <v>285</v>
      </c>
      <c r="O83" s="326"/>
      <c r="P83" s="326"/>
      <c r="Q83" s="326">
        <v>68</v>
      </c>
      <c r="R83" s="326"/>
      <c r="S83" s="327" t="s">
        <v>958</v>
      </c>
    </row>
    <row r="84" spans="1:19" ht="15" customHeight="1">
      <c r="A84" s="561">
        <f t="shared" si="1"/>
        <v>84</v>
      </c>
      <c r="B84" s="31">
        <v>102</v>
      </c>
      <c r="C84" s="249" t="s">
        <v>850</v>
      </c>
      <c r="D84" s="320" t="s">
        <v>180</v>
      </c>
      <c r="E84" s="321" t="s">
        <v>856</v>
      </c>
      <c r="F84" s="322" t="s">
        <v>123</v>
      </c>
      <c r="G84" s="323" t="s">
        <v>472</v>
      </c>
      <c r="H84" s="322" t="s">
        <v>109</v>
      </c>
      <c r="I84" s="324">
        <v>11.700000000000001</v>
      </c>
      <c r="J84" s="325"/>
      <c r="K84" s="325">
        <v>44</v>
      </c>
      <c r="L84" s="325"/>
      <c r="M84" s="325"/>
      <c r="N84" s="325"/>
      <c r="O84" s="326"/>
      <c r="P84" s="326"/>
      <c r="Q84" s="326">
        <v>9</v>
      </c>
      <c r="R84" s="326"/>
      <c r="S84" s="327" t="s">
        <v>522</v>
      </c>
    </row>
    <row r="85" spans="1:19" ht="15" customHeight="1">
      <c r="A85" s="561">
        <f t="shared" si="1"/>
        <v>85</v>
      </c>
      <c r="B85" s="31">
        <v>102</v>
      </c>
      <c r="C85" s="249" t="s">
        <v>850</v>
      </c>
      <c r="D85" s="320" t="s">
        <v>180</v>
      </c>
      <c r="E85" s="321" t="s">
        <v>856</v>
      </c>
      <c r="F85" s="322" t="s">
        <v>759</v>
      </c>
      <c r="G85" s="323" t="s">
        <v>760</v>
      </c>
      <c r="H85" s="322" t="s">
        <v>19</v>
      </c>
      <c r="I85" s="324">
        <v>9.1</v>
      </c>
      <c r="J85" s="325"/>
      <c r="K85" s="325"/>
      <c r="L85" s="325">
        <v>32</v>
      </c>
      <c r="M85" s="325"/>
      <c r="N85" s="325"/>
      <c r="O85" s="326"/>
      <c r="P85" s="326"/>
      <c r="Q85" s="326"/>
      <c r="R85" s="326">
        <v>7</v>
      </c>
      <c r="S85" s="327" t="s">
        <v>522</v>
      </c>
    </row>
    <row r="86" spans="1:19" ht="15" customHeight="1">
      <c r="A86" s="561">
        <f t="shared" si="1"/>
        <v>86</v>
      </c>
      <c r="B86" s="31">
        <v>102</v>
      </c>
      <c r="C86" s="249" t="s">
        <v>850</v>
      </c>
      <c r="D86" s="320" t="s">
        <v>180</v>
      </c>
      <c r="E86" s="321" t="s">
        <v>856</v>
      </c>
      <c r="F86" s="322" t="s">
        <v>889</v>
      </c>
      <c r="G86" s="323" t="s">
        <v>491</v>
      </c>
      <c r="H86" s="322" t="s">
        <v>44</v>
      </c>
      <c r="I86" s="324">
        <v>67.600000000000009</v>
      </c>
      <c r="J86" s="325"/>
      <c r="K86" s="325"/>
      <c r="L86" s="325"/>
      <c r="M86" s="325"/>
      <c r="N86" s="325">
        <v>102</v>
      </c>
      <c r="O86" s="326"/>
      <c r="P86" s="326"/>
      <c r="Q86" s="326">
        <v>52</v>
      </c>
      <c r="R86" s="326"/>
      <c r="S86" s="327" t="s">
        <v>318</v>
      </c>
    </row>
    <row r="87" spans="1:19" ht="15" customHeight="1">
      <c r="A87" s="561">
        <f t="shared" si="1"/>
        <v>87</v>
      </c>
      <c r="B87" s="31">
        <v>102</v>
      </c>
      <c r="C87" s="249" t="s">
        <v>850</v>
      </c>
      <c r="D87" s="320" t="s">
        <v>180</v>
      </c>
      <c r="E87" s="321" t="s">
        <v>856</v>
      </c>
      <c r="F87" s="322" t="s">
        <v>889</v>
      </c>
      <c r="G87" s="323" t="s">
        <v>494</v>
      </c>
      <c r="H87" s="322" t="s">
        <v>44</v>
      </c>
      <c r="I87" s="324">
        <v>24.7</v>
      </c>
      <c r="J87" s="325"/>
      <c r="K87" s="325"/>
      <c r="L87" s="325"/>
      <c r="M87" s="325"/>
      <c r="N87" s="325">
        <v>51</v>
      </c>
      <c r="O87" s="326"/>
      <c r="P87" s="326"/>
      <c r="Q87" s="326">
        <v>19</v>
      </c>
      <c r="R87" s="326"/>
      <c r="S87" s="327" t="s">
        <v>318</v>
      </c>
    </row>
    <row r="88" spans="1:19" ht="15" customHeight="1">
      <c r="A88" s="561">
        <f t="shared" si="1"/>
        <v>88</v>
      </c>
      <c r="B88" s="31">
        <v>102</v>
      </c>
      <c r="C88" s="249" t="s">
        <v>850</v>
      </c>
      <c r="D88" s="320" t="s">
        <v>180</v>
      </c>
      <c r="E88" s="321" t="s">
        <v>856</v>
      </c>
      <c r="F88" s="322" t="s">
        <v>889</v>
      </c>
      <c r="G88" s="323" t="s">
        <v>890</v>
      </c>
      <c r="H88" s="322" t="s">
        <v>109</v>
      </c>
      <c r="I88" s="324">
        <v>13</v>
      </c>
      <c r="J88" s="325"/>
      <c r="K88" s="325"/>
      <c r="L88" s="325"/>
      <c r="M88" s="325"/>
      <c r="N88" s="325">
        <v>42</v>
      </c>
      <c r="O88" s="326"/>
      <c r="P88" s="326"/>
      <c r="Q88" s="326">
        <v>10</v>
      </c>
      <c r="R88" s="326"/>
      <c r="S88" s="327" t="s">
        <v>522</v>
      </c>
    </row>
    <row r="89" spans="1:19" ht="15" customHeight="1">
      <c r="A89" s="561">
        <f t="shared" si="1"/>
        <v>89</v>
      </c>
      <c r="B89" s="31">
        <v>102</v>
      </c>
      <c r="C89" s="249" t="s">
        <v>850</v>
      </c>
      <c r="D89" s="320" t="s">
        <v>180</v>
      </c>
      <c r="E89" s="321" t="s">
        <v>856</v>
      </c>
      <c r="F89" s="322" t="s">
        <v>889</v>
      </c>
      <c r="G89" s="323" t="s">
        <v>891</v>
      </c>
      <c r="H89" s="322" t="s">
        <v>109</v>
      </c>
      <c r="I89" s="324">
        <v>9.1</v>
      </c>
      <c r="J89" s="325">
        <v>3</v>
      </c>
      <c r="K89" s="325"/>
      <c r="L89" s="325"/>
      <c r="M89" s="325"/>
      <c r="N89" s="325">
        <v>30</v>
      </c>
      <c r="O89" s="326"/>
      <c r="P89" s="326"/>
      <c r="Q89" s="326">
        <v>7</v>
      </c>
      <c r="R89" s="326"/>
      <c r="S89" s="327" t="s">
        <v>318</v>
      </c>
    </row>
    <row r="90" spans="1:19" ht="15" customHeight="1">
      <c r="A90" s="561">
        <f t="shared" si="1"/>
        <v>90</v>
      </c>
      <c r="B90" s="31">
        <v>102</v>
      </c>
      <c r="C90" s="249" t="s">
        <v>850</v>
      </c>
      <c r="D90" s="320" t="s">
        <v>180</v>
      </c>
      <c r="E90" s="321" t="s">
        <v>856</v>
      </c>
      <c r="F90" s="322" t="s">
        <v>283</v>
      </c>
      <c r="G90" s="323" t="s">
        <v>763</v>
      </c>
      <c r="H90" s="322" t="s">
        <v>109</v>
      </c>
      <c r="I90" s="324">
        <v>16.900000000000002</v>
      </c>
      <c r="J90" s="325"/>
      <c r="K90" s="325"/>
      <c r="L90" s="325">
        <v>50</v>
      </c>
      <c r="M90" s="325"/>
      <c r="N90" s="325"/>
      <c r="O90" s="326"/>
      <c r="P90" s="326"/>
      <c r="Q90" s="326"/>
      <c r="R90" s="326">
        <v>13</v>
      </c>
      <c r="S90" s="327" t="s">
        <v>522</v>
      </c>
    </row>
    <row r="91" spans="1:19" ht="15" customHeight="1">
      <c r="A91" s="561">
        <f t="shared" si="1"/>
        <v>91</v>
      </c>
      <c r="B91" s="31">
        <v>102</v>
      </c>
      <c r="C91" s="249" t="s">
        <v>850</v>
      </c>
      <c r="D91" s="320" t="s">
        <v>180</v>
      </c>
      <c r="E91" s="321" t="s">
        <v>856</v>
      </c>
      <c r="F91" s="322" t="s">
        <v>892</v>
      </c>
      <c r="G91" s="323" t="s">
        <v>476</v>
      </c>
      <c r="H91" s="322" t="s">
        <v>19</v>
      </c>
      <c r="I91" s="324">
        <v>3.9000000000000004</v>
      </c>
      <c r="J91" s="325"/>
      <c r="K91" s="325"/>
      <c r="L91" s="325">
        <v>30</v>
      </c>
      <c r="M91" s="325"/>
      <c r="N91" s="325"/>
      <c r="O91" s="326"/>
      <c r="P91" s="326"/>
      <c r="Q91" s="326">
        <v>3</v>
      </c>
      <c r="R91" s="326"/>
      <c r="S91" s="327" t="s">
        <v>522</v>
      </c>
    </row>
    <row r="92" spans="1:19" ht="15" customHeight="1">
      <c r="A92" s="561">
        <f t="shared" si="1"/>
        <v>92</v>
      </c>
      <c r="B92" s="31">
        <v>102</v>
      </c>
      <c r="C92" s="249" t="s">
        <v>850</v>
      </c>
      <c r="D92" s="320" t="s">
        <v>180</v>
      </c>
      <c r="E92" s="321" t="s">
        <v>856</v>
      </c>
      <c r="F92" s="322" t="s">
        <v>479</v>
      </c>
      <c r="G92" s="323" t="s">
        <v>764</v>
      </c>
      <c r="H92" s="322"/>
      <c r="I92" s="324">
        <v>0</v>
      </c>
      <c r="J92" s="325"/>
      <c r="K92" s="325"/>
      <c r="L92" s="325"/>
      <c r="M92" s="325"/>
      <c r="N92" s="325"/>
      <c r="O92" s="326"/>
      <c r="P92" s="326"/>
      <c r="Q92" s="326"/>
      <c r="R92" s="326"/>
      <c r="S92" s="327" t="s">
        <v>1330</v>
      </c>
    </row>
    <row r="93" spans="1:19" ht="15" customHeight="1">
      <c r="A93" s="561">
        <f t="shared" si="1"/>
        <v>93</v>
      </c>
      <c r="B93" s="31">
        <v>102</v>
      </c>
      <c r="C93" s="249" t="s">
        <v>850</v>
      </c>
      <c r="D93" s="320" t="s">
        <v>180</v>
      </c>
      <c r="E93" s="321" t="s">
        <v>856</v>
      </c>
      <c r="F93" s="322" t="s">
        <v>479</v>
      </c>
      <c r="G93" s="323" t="s">
        <v>766</v>
      </c>
      <c r="H93" s="322"/>
      <c r="I93" s="324">
        <v>0</v>
      </c>
      <c r="J93" s="325"/>
      <c r="K93" s="325"/>
      <c r="L93" s="325"/>
      <c r="M93" s="325"/>
      <c r="N93" s="325"/>
      <c r="O93" s="326"/>
      <c r="P93" s="326"/>
      <c r="Q93" s="326"/>
      <c r="R93" s="326"/>
      <c r="S93" s="327" t="s">
        <v>1330</v>
      </c>
    </row>
    <row r="94" spans="1:19" ht="15" customHeight="1">
      <c r="A94" s="561">
        <f t="shared" si="1"/>
        <v>94</v>
      </c>
      <c r="B94" s="31">
        <v>102</v>
      </c>
      <c r="C94" s="249" t="s">
        <v>850</v>
      </c>
      <c r="D94" s="320" t="s">
        <v>180</v>
      </c>
      <c r="E94" s="321" t="s">
        <v>856</v>
      </c>
      <c r="F94" s="322" t="s">
        <v>479</v>
      </c>
      <c r="G94" s="323" t="s">
        <v>482</v>
      </c>
      <c r="H94" s="322"/>
      <c r="I94" s="324">
        <v>0</v>
      </c>
      <c r="J94" s="325"/>
      <c r="K94" s="325"/>
      <c r="L94" s="325"/>
      <c r="M94" s="325"/>
      <c r="N94" s="325"/>
      <c r="O94" s="326"/>
      <c r="P94" s="326"/>
      <c r="Q94" s="326"/>
      <c r="R94" s="326"/>
      <c r="S94" s="327" t="s">
        <v>1330</v>
      </c>
    </row>
    <row r="95" spans="1:19" ht="15" customHeight="1">
      <c r="A95" s="561">
        <f t="shared" si="1"/>
        <v>95</v>
      </c>
      <c r="B95" s="31">
        <v>102</v>
      </c>
      <c r="C95" s="249" t="s">
        <v>850</v>
      </c>
      <c r="D95" s="320" t="s">
        <v>180</v>
      </c>
      <c r="E95" s="321" t="s">
        <v>856</v>
      </c>
      <c r="F95" s="322" t="s">
        <v>489</v>
      </c>
      <c r="G95" s="323" t="s">
        <v>480</v>
      </c>
      <c r="H95" s="322" t="s">
        <v>19</v>
      </c>
      <c r="I95" s="324">
        <v>37.700000000000003</v>
      </c>
      <c r="J95" s="325"/>
      <c r="K95" s="325"/>
      <c r="L95" s="325">
        <v>80</v>
      </c>
      <c r="M95" s="325"/>
      <c r="N95" s="325"/>
      <c r="O95" s="326"/>
      <c r="P95" s="326">
        <v>29</v>
      </c>
      <c r="Q95" s="326"/>
      <c r="R95" s="326"/>
      <c r="S95" s="327" t="s">
        <v>526</v>
      </c>
    </row>
    <row r="96" spans="1:19" ht="15" customHeight="1">
      <c r="A96" s="561">
        <f t="shared" si="1"/>
        <v>96</v>
      </c>
      <c r="B96" s="31">
        <v>102</v>
      </c>
      <c r="C96" s="249" t="s">
        <v>850</v>
      </c>
      <c r="D96" s="320" t="s">
        <v>180</v>
      </c>
      <c r="E96" s="321" t="s">
        <v>856</v>
      </c>
      <c r="F96" s="322" t="s">
        <v>489</v>
      </c>
      <c r="G96" s="323" t="s">
        <v>771</v>
      </c>
      <c r="H96" s="322" t="s">
        <v>109</v>
      </c>
      <c r="I96" s="324">
        <v>19.5</v>
      </c>
      <c r="J96" s="325"/>
      <c r="K96" s="325">
        <v>67</v>
      </c>
      <c r="L96" s="325"/>
      <c r="M96" s="325"/>
      <c r="N96" s="325"/>
      <c r="O96" s="326"/>
      <c r="P96" s="326"/>
      <c r="Q96" s="326">
        <v>15</v>
      </c>
      <c r="R96" s="326"/>
      <c r="S96" s="327" t="s">
        <v>318</v>
      </c>
    </row>
    <row r="97" spans="1:19" ht="15" customHeight="1">
      <c r="A97" s="561">
        <f t="shared" si="1"/>
        <v>97</v>
      </c>
      <c r="B97" s="31">
        <v>102</v>
      </c>
      <c r="C97" s="249" t="s">
        <v>850</v>
      </c>
      <c r="D97" s="320" t="s">
        <v>180</v>
      </c>
      <c r="E97" s="321" t="s">
        <v>856</v>
      </c>
      <c r="F97" s="322" t="s">
        <v>489</v>
      </c>
      <c r="G97" s="323" t="s">
        <v>772</v>
      </c>
      <c r="H97" s="322" t="s">
        <v>109</v>
      </c>
      <c r="I97" s="324">
        <v>23.400000000000002</v>
      </c>
      <c r="J97" s="325"/>
      <c r="K97" s="325">
        <v>62</v>
      </c>
      <c r="L97" s="325"/>
      <c r="M97" s="325"/>
      <c r="N97" s="325"/>
      <c r="O97" s="326"/>
      <c r="P97" s="326"/>
      <c r="Q97" s="326">
        <v>18</v>
      </c>
      <c r="R97" s="326"/>
      <c r="S97" s="327" t="s">
        <v>522</v>
      </c>
    </row>
    <row r="98" spans="1:19" ht="15" customHeight="1">
      <c r="A98" s="561">
        <f t="shared" si="1"/>
        <v>98</v>
      </c>
      <c r="B98" s="31">
        <v>102</v>
      </c>
      <c r="C98" s="249" t="s">
        <v>850</v>
      </c>
      <c r="D98" s="320" t="s">
        <v>180</v>
      </c>
      <c r="E98" s="321" t="s">
        <v>856</v>
      </c>
      <c r="F98" s="322" t="s">
        <v>489</v>
      </c>
      <c r="G98" s="323" t="s">
        <v>513</v>
      </c>
      <c r="H98" s="322" t="s">
        <v>19</v>
      </c>
      <c r="I98" s="324">
        <v>59.800000000000004</v>
      </c>
      <c r="J98" s="325"/>
      <c r="K98" s="325"/>
      <c r="L98" s="325">
        <v>99</v>
      </c>
      <c r="M98" s="325"/>
      <c r="N98" s="325"/>
      <c r="O98" s="326"/>
      <c r="P98" s="326">
        <v>46</v>
      </c>
      <c r="Q98" s="326"/>
      <c r="R98" s="326"/>
      <c r="S98" s="327"/>
    </row>
    <row r="99" spans="1:19" ht="15" customHeight="1">
      <c r="A99" s="561">
        <f t="shared" si="1"/>
        <v>99</v>
      </c>
      <c r="B99" s="31">
        <v>102</v>
      </c>
      <c r="C99" s="249" t="s">
        <v>850</v>
      </c>
      <c r="D99" s="320" t="s">
        <v>180</v>
      </c>
      <c r="E99" s="321" t="s">
        <v>856</v>
      </c>
      <c r="F99" s="322" t="s">
        <v>489</v>
      </c>
      <c r="G99" s="323" t="s">
        <v>490</v>
      </c>
      <c r="H99" s="322" t="s">
        <v>19</v>
      </c>
      <c r="I99" s="324">
        <v>7.8000000000000007</v>
      </c>
      <c r="J99" s="325"/>
      <c r="K99" s="325"/>
      <c r="L99" s="325">
        <v>58</v>
      </c>
      <c r="M99" s="325"/>
      <c r="N99" s="325"/>
      <c r="O99" s="326"/>
      <c r="P99" s="326"/>
      <c r="Q99" s="326"/>
      <c r="R99" s="326">
        <v>6</v>
      </c>
      <c r="S99" s="327" t="s">
        <v>522</v>
      </c>
    </row>
    <row r="100" spans="1:19" ht="15" customHeight="1">
      <c r="A100" s="561">
        <f t="shared" si="1"/>
        <v>100</v>
      </c>
      <c r="B100" s="31">
        <v>102</v>
      </c>
      <c r="C100" s="249" t="s">
        <v>850</v>
      </c>
      <c r="D100" s="320" t="s">
        <v>180</v>
      </c>
      <c r="E100" s="321" t="s">
        <v>856</v>
      </c>
      <c r="F100" s="322" t="s">
        <v>489</v>
      </c>
      <c r="G100" s="323" t="s">
        <v>492</v>
      </c>
      <c r="H100" s="322" t="s">
        <v>19</v>
      </c>
      <c r="I100" s="324">
        <v>11.700000000000001</v>
      </c>
      <c r="J100" s="325"/>
      <c r="K100" s="325"/>
      <c r="L100" s="325">
        <v>48</v>
      </c>
      <c r="M100" s="325"/>
      <c r="N100" s="325"/>
      <c r="O100" s="326"/>
      <c r="P100" s="326"/>
      <c r="Q100" s="326"/>
      <c r="R100" s="326">
        <v>9</v>
      </c>
      <c r="S100" s="327" t="s">
        <v>522</v>
      </c>
    </row>
    <row r="101" spans="1:19" ht="15" customHeight="1">
      <c r="A101" s="561">
        <f t="shared" si="1"/>
        <v>101</v>
      </c>
      <c r="B101" s="31">
        <v>102</v>
      </c>
      <c r="C101" s="249" t="s">
        <v>850</v>
      </c>
      <c r="D101" s="320" t="s">
        <v>180</v>
      </c>
      <c r="E101" s="321" t="s">
        <v>856</v>
      </c>
      <c r="F101" s="322" t="s">
        <v>489</v>
      </c>
      <c r="G101" s="323" t="s">
        <v>503</v>
      </c>
      <c r="H101" s="322"/>
      <c r="I101" s="324">
        <v>0</v>
      </c>
      <c r="J101" s="325"/>
      <c r="K101" s="325"/>
      <c r="L101" s="325"/>
      <c r="M101" s="325"/>
      <c r="N101" s="325"/>
      <c r="O101" s="326"/>
      <c r="P101" s="326"/>
      <c r="Q101" s="326"/>
      <c r="R101" s="326"/>
      <c r="S101" s="327" t="s">
        <v>1330</v>
      </c>
    </row>
    <row r="102" spans="1:19" ht="15" customHeight="1">
      <c r="A102" s="561">
        <f t="shared" si="1"/>
        <v>102</v>
      </c>
      <c r="B102" s="31">
        <v>102</v>
      </c>
      <c r="C102" s="249" t="s">
        <v>850</v>
      </c>
      <c r="D102" s="320" t="s">
        <v>180</v>
      </c>
      <c r="E102" s="321" t="s">
        <v>856</v>
      </c>
      <c r="F102" s="322" t="s">
        <v>489</v>
      </c>
      <c r="G102" s="323" t="s">
        <v>504</v>
      </c>
      <c r="H102" s="322"/>
      <c r="I102" s="324">
        <v>0</v>
      </c>
      <c r="J102" s="325"/>
      <c r="K102" s="325"/>
      <c r="L102" s="325"/>
      <c r="M102" s="325"/>
      <c r="N102" s="325"/>
      <c r="O102" s="326"/>
      <c r="P102" s="326"/>
      <c r="Q102" s="326"/>
      <c r="R102" s="326"/>
      <c r="S102" s="327" t="s">
        <v>1330</v>
      </c>
    </row>
    <row r="103" spans="1:19" ht="15" customHeight="1">
      <c r="A103" s="561">
        <f t="shared" si="1"/>
        <v>103</v>
      </c>
      <c r="B103" s="31">
        <v>102</v>
      </c>
      <c r="C103" s="249" t="s">
        <v>850</v>
      </c>
      <c r="D103" s="320" t="s">
        <v>180</v>
      </c>
      <c r="E103" s="321" t="s">
        <v>856</v>
      </c>
      <c r="F103" s="322" t="s">
        <v>489</v>
      </c>
      <c r="G103" s="323" t="s">
        <v>505</v>
      </c>
      <c r="H103" s="322" t="s">
        <v>176</v>
      </c>
      <c r="I103" s="324">
        <v>33.800000000000004</v>
      </c>
      <c r="J103" s="325">
        <v>29</v>
      </c>
      <c r="K103" s="325"/>
      <c r="L103" s="325"/>
      <c r="M103" s="325"/>
      <c r="N103" s="325">
        <v>47</v>
      </c>
      <c r="O103" s="326"/>
      <c r="P103" s="326"/>
      <c r="Q103" s="326"/>
      <c r="R103" s="326">
        <v>29</v>
      </c>
      <c r="S103" s="327"/>
    </row>
    <row r="104" spans="1:19" ht="15" customHeight="1">
      <c r="A104" s="561">
        <f t="shared" si="1"/>
        <v>104</v>
      </c>
      <c r="B104" s="31">
        <v>102</v>
      </c>
      <c r="C104" s="249" t="s">
        <v>850</v>
      </c>
      <c r="D104" s="320" t="s">
        <v>180</v>
      </c>
      <c r="E104" s="321" t="s">
        <v>856</v>
      </c>
      <c r="F104" s="322" t="s">
        <v>489</v>
      </c>
      <c r="G104" s="323" t="s">
        <v>506</v>
      </c>
      <c r="H104" s="322" t="s">
        <v>109</v>
      </c>
      <c r="I104" s="324">
        <v>29.900000000000002</v>
      </c>
      <c r="J104" s="325"/>
      <c r="K104" s="325"/>
      <c r="L104" s="325">
        <v>85</v>
      </c>
      <c r="M104" s="325"/>
      <c r="N104" s="325"/>
      <c r="O104" s="326"/>
      <c r="P104" s="326"/>
      <c r="Q104" s="326">
        <v>23</v>
      </c>
      <c r="R104" s="326"/>
      <c r="S104" s="327" t="s">
        <v>522</v>
      </c>
    </row>
    <row r="105" spans="1:19" ht="15" customHeight="1">
      <c r="A105" s="561">
        <f t="shared" si="1"/>
        <v>105</v>
      </c>
      <c r="B105" s="31">
        <v>102</v>
      </c>
      <c r="C105" s="249" t="s">
        <v>850</v>
      </c>
      <c r="D105" s="320" t="s">
        <v>180</v>
      </c>
      <c r="E105" s="321" t="s">
        <v>856</v>
      </c>
      <c r="F105" s="322" t="s">
        <v>489</v>
      </c>
      <c r="G105" s="323" t="s">
        <v>507</v>
      </c>
      <c r="H105" s="322" t="s">
        <v>19</v>
      </c>
      <c r="I105" s="324">
        <v>10.4</v>
      </c>
      <c r="J105" s="325"/>
      <c r="K105" s="325"/>
      <c r="L105" s="325">
        <v>56</v>
      </c>
      <c r="M105" s="325"/>
      <c r="N105" s="325"/>
      <c r="O105" s="326"/>
      <c r="P105" s="326"/>
      <c r="Q105" s="326"/>
      <c r="R105" s="326">
        <v>8</v>
      </c>
      <c r="S105" s="327" t="s">
        <v>522</v>
      </c>
    </row>
    <row r="106" spans="1:19" ht="15" customHeight="1">
      <c r="A106" s="561">
        <f t="shared" si="1"/>
        <v>106</v>
      </c>
      <c r="B106" s="31">
        <v>102</v>
      </c>
      <c r="C106" s="249" t="s">
        <v>850</v>
      </c>
      <c r="D106" s="320" t="s">
        <v>180</v>
      </c>
      <c r="E106" s="321" t="s">
        <v>856</v>
      </c>
      <c r="F106" s="322" t="s">
        <v>489</v>
      </c>
      <c r="G106" s="323" t="s">
        <v>508</v>
      </c>
      <c r="H106" s="322" t="s">
        <v>19</v>
      </c>
      <c r="I106" s="324">
        <v>41.6</v>
      </c>
      <c r="J106" s="325"/>
      <c r="K106" s="325"/>
      <c r="L106" s="325">
        <v>81</v>
      </c>
      <c r="M106" s="325"/>
      <c r="N106" s="325"/>
      <c r="O106" s="326"/>
      <c r="P106" s="326"/>
      <c r="Q106" s="326"/>
      <c r="R106" s="326">
        <v>32</v>
      </c>
      <c r="S106" s="327" t="s">
        <v>522</v>
      </c>
    </row>
    <row r="107" spans="1:19" ht="15" customHeight="1">
      <c r="A107" s="561">
        <f t="shared" si="1"/>
        <v>107</v>
      </c>
      <c r="B107" s="31">
        <v>102</v>
      </c>
      <c r="C107" s="249" t="s">
        <v>850</v>
      </c>
      <c r="D107" s="320" t="s">
        <v>180</v>
      </c>
      <c r="E107" s="321" t="s">
        <v>856</v>
      </c>
      <c r="F107" s="322" t="s">
        <v>489</v>
      </c>
      <c r="G107" s="323" t="s">
        <v>509</v>
      </c>
      <c r="H107" s="322" t="s">
        <v>19</v>
      </c>
      <c r="I107" s="324">
        <v>37.700000000000003</v>
      </c>
      <c r="J107" s="325"/>
      <c r="K107" s="325"/>
      <c r="L107" s="325">
        <v>81</v>
      </c>
      <c r="M107" s="325"/>
      <c r="N107" s="325"/>
      <c r="O107" s="326"/>
      <c r="P107" s="326"/>
      <c r="Q107" s="326"/>
      <c r="R107" s="326">
        <v>29</v>
      </c>
      <c r="S107" s="327" t="s">
        <v>522</v>
      </c>
    </row>
    <row r="108" spans="1:19" ht="15" customHeight="1">
      <c r="A108" s="561">
        <f t="shared" si="1"/>
        <v>108</v>
      </c>
      <c r="B108" s="31">
        <v>102</v>
      </c>
      <c r="C108" s="249" t="s">
        <v>850</v>
      </c>
      <c r="D108" s="320" t="s">
        <v>180</v>
      </c>
      <c r="E108" s="321" t="s">
        <v>856</v>
      </c>
      <c r="F108" s="322" t="s">
        <v>893</v>
      </c>
      <c r="G108" s="323" t="s">
        <v>169</v>
      </c>
      <c r="H108" s="322"/>
      <c r="I108" s="324">
        <v>0</v>
      </c>
      <c r="J108" s="325"/>
      <c r="K108" s="325"/>
      <c r="L108" s="325"/>
      <c r="M108" s="325"/>
      <c r="N108" s="325"/>
      <c r="O108" s="326"/>
      <c r="P108" s="326"/>
      <c r="Q108" s="326"/>
      <c r="R108" s="326"/>
      <c r="S108" s="327" t="s">
        <v>1330</v>
      </c>
    </row>
    <row r="109" spans="1:19" ht="15" customHeight="1">
      <c r="A109" s="561">
        <f t="shared" si="1"/>
        <v>109</v>
      </c>
      <c r="B109" s="31">
        <v>102</v>
      </c>
      <c r="C109" s="249" t="s">
        <v>850</v>
      </c>
      <c r="D109" s="320" t="s">
        <v>180</v>
      </c>
      <c r="E109" s="321" t="s">
        <v>328</v>
      </c>
      <c r="F109" s="322" t="s">
        <v>870</v>
      </c>
      <c r="G109" s="323" t="s">
        <v>871</v>
      </c>
      <c r="H109" s="322" t="s">
        <v>299</v>
      </c>
      <c r="I109" s="324">
        <v>0</v>
      </c>
      <c r="J109" s="325"/>
      <c r="K109" s="325"/>
      <c r="L109" s="325"/>
      <c r="M109" s="325"/>
      <c r="N109" s="325"/>
      <c r="O109" s="326"/>
      <c r="P109" s="326"/>
      <c r="Q109" s="326"/>
      <c r="R109" s="326"/>
      <c r="S109" s="327" t="s">
        <v>614</v>
      </c>
    </row>
    <row r="110" spans="1:19" ht="15" customHeight="1">
      <c r="A110" s="561">
        <f t="shared" si="1"/>
        <v>110</v>
      </c>
      <c r="B110" s="31">
        <v>102</v>
      </c>
      <c r="C110" s="249" t="s">
        <v>850</v>
      </c>
      <c r="D110" s="320" t="s">
        <v>180</v>
      </c>
      <c r="E110" s="321" t="s">
        <v>328</v>
      </c>
      <c r="F110" s="322" t="s">
        <v>894</v>
      </c>
      <c r="G110" s="323" t="s">
        <v>895</v>
      </c>
      <c r="H110" s="322" t="s">
        <v>166</v>
      </c>
      <c r="I110" s="324">
        <v>0</v>
      </c>
      <c r="J110" s="325"/>
      <c r="K110" s="325"/>
      <c r="L110" s="325"/>
      <c r="M110" s="325"/>
      <c r="N110" s="325"/>
      <c r="O110" s="326"/>
      <c r="P110" s="326"/>
      <c r="Q110" s="326"/>
      <c r="R110" s="326"/>
      <c r="S110" s="327" t="s">
        <v>959</v>
      </c>
    </row>
    <row r="111" spans="1:19" ht="15" customHeight="1">
      <c r="A111" s="561">
        <f t="shared" si="1"/>
        <v>111</v>
      </c>
      <c r="B111" s="31">
        <v>102</v>
      </c>
      <c r="C111" s="249" t="s">
        <v>850</v>
      </c>
      <c r="D111" s="320" t="s">
        <v>180</v>
      </c>
      <c r="E111" s="321" t="s">
        <v>328</v>
      </c>
      <c r="F111" s="322" t="s">
        <v>175</v>
      </c>
      <c r="G111" s="323" t="s">
        <v>896</v>
      </c>
      <c r="H111" s="322" t="s">
        <v>44</v>
      </c>
      <c r="I111" s="324">
        <v>33.800000000000004</v>
      </c>
      <c r="J111" s="325"/>
      <c r="K111" s="325"/>
      <c r="L111" s="325">
        <v>71</v>
      </c>
      <c r="M111" s="325"/>
      <c r="N111" s="325"/>
      <c r="O111" s="326"/>
      <c r="P111" s="326"/>
      <c r="Q111" s="326">
        <v>32</v>
      </c>
      <c r="R111" s="326"/>
      <c r="S111" s="327" t="s">
        <v>522</v>
      </c>
    </row>
    <row r="112" spans="1:19" ht="15" customHeight="1">
      <c r="A112" s="561">
        <f t="shared" si="1"/>
        <v>112</v>
      </c>
      <c r="B112" s="31">
        <v>102</v>
      </c>
      <c r="C112" s="249" t="s">
        <v>850</v>
      </c>
      <c r="D112" s="320" t="s">
        <v>180</v>
      </c>
      <c r="E112" s="321" t="s">
        <v>328</v>
      </c>
      <c r="F112" s="322" t="s">
        <v>778</v>
      </c>
      <c r="G112" s="323" t="s">
        <v>561</v>
      </c>
      <c r="H112" s="322" t="s">
        <v>166</v>
      </c>
      <c r="I112" s="324">
        <v>0</v>
      </c>
      <c r="J112" s="325"/>
      <c r="K112" s="325"/>
      <c r="L112" s="325"/>
      <c r="M112" s="325"/>
      <c r="N112" s="325"/>
      <c r="O112" s="326"/>
      <c r="P112" s="326"/>
      <c r="Q112" s="326"/>
      <c r="R112" s="326"/>
      <c r="S112" s="327" t="s">
        <v>960</v>
      </c>
    </row>
    <row r="113" spans="1:19" ht="15" customHeight="1">
      <c r="A113" s="561">
        <f t="shared" si="1"/>
        <v>113</v>
      </c>
      <c r="B113" s="31">
        <v>102</v>
      </c>
      <c r="C113" s="249" t="s">
        <v>850</v>
      </c>
      <c r="D113" s="320" t="s">
        <v>180</v>
      </c>
      <c r="E113" s="321" t="s">
        <v>328</v>
      </c>
      <c r="F113" s="322" t="s">
        <v>175</v>
      </c>
      <c r="G113" s="323" t="s">
        <v>897</v>
      </c>
      <c r="H113" s="322"/>
      <c r="I113" s="324">
        <v>0</v>
      </c>
      <c r="J113" s="325"/>
      <c r="K113" s="325"/>
      <c r="L113" s="325"/>
      <c r="M113" s="325"/>
      <c r="N113" s="325"/>
      <c r="O113" s="326"/>
      <c r="P113" s="326"/>
      <c r="Q113" s="326"/>
      <c r="R113" s="326"/>
      <c r="S113" s="327" t="s">
        <v>961</v>
      </c>
    </row>
    <row r="114" spans="1:19" ht="15" customHeight="1">
      <c r="A114" s="561">
        <f t="shared" si="1"/>
        <v>114</v>
      </c>
      <c r="B114" s="31">
        <v>102</v>
      </c>
      <c r="C114" s="249" t="s">
        <v>850</v>
      </c>
      <c r="D114" s="320" t="s">
        <v>180</v>
      </c>
      <c r="E114" s="321" t="s">
        <v>328</v>
      </c>
      <c r="F114" s="322" t="s">
        <v>334</v>
      </c>
      <c r="G114" s="323" t="s">
        <v>898</v>
      </c>
      <c r="H114" s="322" t="s">
        <v>44</v>
      </c>
      <c r="I114" s="324">
        <v>45.5</v>
      </c>
      <c r="J114" s="325"/>
      <c r="K114" s="325"/>
      <c r="L114" s="325">
        <v>79</v>
      </c>
      <c r="M114" s="325"/>
      <c r="N114" s="325"/>
      <c r="O114" s="326"/>
      <c r="P114" s="326"/>
      <c r="Q114" s="326">
        <v>35</v>
      </c>
      <c r="R114" s="326"/>
      <c r="S114" s="327" t="s">
        <v>522</v>
      </c>
    </row>
    <row r="115" spans="1:19" ht="15" customHeight="1">
      <c r="A115" s="561">
        <f t="shared" si="1"/>
        <v>115</v>
      </c>
      <c r="B115" s="31">
        <v>102</v>
      </c>
      <c r="C115" s="249" t="s">
        <v>850</v>
      </c>
      <c r="D115" s="320" t="s">
        <v>180</v>
      </c>
      <c r="E115" s="321" t="s">
        <v>328</v>
      </c>
      <c r="F115" s="322" t="s">
        <v>334</v>
      </c>
      <c r="G115" s="323" t="s">
        <v>784</v>
      </c>
      <c r="H115" s="322" t="s">
        <v>44</v>
      </c>
      <c r="I115" s="324">
        <v>53.300000000000004</v>
      </c>
      <c r="J115" s="325"/>
      <c r="K115" s="325"/>
      <c r="L115" s="325">
        <v>120</v>
      </c>
      <c r="M115" s="325"/>
      <c r="N115" s="325"/>
      <c r="O115" s="326"/>
      <c r="P115" s="326"/>
      <c r="Q115" s="326">
        <v>41</v>
      </c>
      <c r="R115" s="326"/>
      <c r="S115" s="327" t="s">
        <v>522</v>
      </c>
    </row>
    <row r="116" spans="1:19" ht="15" customHeight="1">
      <c r="A116" s="561">
        <f t="shared" si="1"/>
        <v>116</v>
      </c>
      <c r="B116" s="31">
        <v>102</v>
      </c>
      <c r="C116" s="249" t="s">
        <v>850</v>
      </c>
      <c r="D116" s="320" t="s">
        <v>180</v>
      </c>
      <c r="E116" s="321" t="s">
        <v>328</v>
      </c>
      <c r="F116" s="322" t="s">
        <v>899</v>
      </c>
      <c r="G116" s="323" t="s">
        <v>785</v>
      </c>
      <c r="H116" s="322" t="s">
        <v>44</v>
      </c>
      <c r="I116" s="324">
        <v>18.2</v>
      </c>
      <c r="J116" s="325"/>
      <c r="K116" s="325"/>
      <c r="L116" s="325">
        <v>60</v>
      </c>
      <c r="M116" s="325"/>
      <c r="N116" s="325"/>
      <c r="O116" s="326"/>
      <c r="P116" s="326"/>
      <c r="Q116" s="326">
        <v>41</v>
      </c>
      <c r="R116" s="326"/>
      <c r="S116" s="327" t="s">
        <v>522</v>
      </c>
    </row>
    <row r="117" spans="1:19" ht="15" customHeight="1">
      <c r="A117" s="561">
        <f t="shared" si="1"/>
        <v>117</v>
      </c>
      <c r="B117" s="31">
        <v>102</v>
      </c>
      <c r="C117" s="249" t="s">
        <v>850</v>
      </c>
      <c r="D117" s="320" t="s">
        <v>180</v>
      </c>
      <c r="E117" s="321" t="s">
        <v>328</v>
      </c>
      <c r="F117" s="322" t="s">
        <v>334</v>
      </c>
      <c r="G117" s="323" t="s">
        <v>786</v>
      </c>
      <c r="H117" s="322" t="s">
        <v>44</v>
      </c>
      <c r="I117" s="324">
        <v>44.2</v>
      </c>
      <c r="J117" s="325"/>
      <c r="K117" s="325"/>
      <c r="L117" s="325">
        <v>72</v>
      </c>
      <c r="M117" s="325"/>
      <c r="N117" s="325"/>
      <c r="O117" s="326"/>
      <c r="P117" s="326"/>
      <c r="Q117" s="326">
        <v>34</v>
      </c>
      <c r="R117" s="326"/>
      <c r="S117" s="327" t="s">
        <v>522</v>
      </c>
    </row>
    <row r="118" spans="1:19" ht="15" customHeight="1">
      <c r="A118" s="561">
        <f t="shared" si="1"/>
        <v>118</v>
      </c>
      <c r="B118" s="31">
        <v>102</v>
      </c>
      <c r="C118" s="249" t="s">
        <v>850</v>
      </c>
      <c r="D118" s="320" t="s">
        <v>180</v>
      </c>
      <c r="E118" s="321" t="s">
        <v>328</v>
      </c>
      <c r="F118" s="322" t="s">
        <v>334</v>
      </c>
      <c r="G118" s="323" t="s">
        <v>900</v>
      </c>
      <c r="H118" s="322" t="s">
        <v>44</v>
      </c>
      <c r="I118" s="324">
        <v>49.4</v>
      </c>
      <c r="J118" s="325"/>
      <c r="K118" s="325"/>
      <c r="L118" s="325">
        <v>68</v>
      </c>
      <c r="M118" s="325"/>
      <c r="N118" s="325"/>
      <c r="O118" s="326"/>
      <c r="P118" s="326"/>
      <c r="Q118" s="326">
        <v>30</v>
      </c>
      <c r="R118" s="326"/>
      <c r="S118" s="327" t="s">
        <v>522</v>
      </c>
    </row>
    <row r="119" spans="1:19" ht="15" customHeight="1">
      <c r="A119" s="561">
        <f t="shared" si="1"/>
        <v>119</v>
      </c>
      <c r="B119" s="31">
        <v>102</v>
      </c>
      <c r="C119" s="249" t="s">
        <v>850</v>
      </c>
      <c r="D119" s="320" t="s">
        <v>180</v>
      </c>
      <c r="E119" s="321" t="s">
        <v>328</v>
      </c>
      <c r="F119" s="322" t="s">
        <v>168</v>
      </c>
      <c r="G119" s="323" t="s">
        <v>788</v>
      </c>
      <c r="H119" s="322"/>
      <c r="I119" s="324">
        <v>0</v>
      </c>
      <c r="J119" s="325"/>
      <c r="K119" s="325"/>
      <c r="L119" s="325"/>
      <c r="M119" s="325"/>
      <c r="N119" s="325"/>
      <c r="O119" s="326"/>
      <c r="P119" s="326"/>
      <c r="Q119" s="326"/>
      <c r="R119" s="326"/>
      <c r="S119" s="327" t="s">
        <v>962</v>
      </c>
    </row>
    <row r="120" spans="1:19" ht="15" customHeight="1">
      <c r="A120" s="561">
        <f t="shared" si="1"/>
        <v>120</v>
      </c>
      <c r="B120" s="31">
        <v>102</v>
      </c>
      <c r="C120" s="249" t="s">
        <v>850</v>
      </c>
      <c r="D120" s="320" t="s">
        <v>180</v>
      </c>
      <c r="E120" s="321" t="s">
        <v>328</v>
      </c>
      <c r="F120" s="322" t="s">
        <v>123</v>
      </c>
      <c r="G120" s="323" t="s">
        <v>901</v>
      </c>
      <c r="H120" s="322" t="s">
        <v>109</v>
      </c>
      <c r="I120" s="324">
        <v>10.4</v>
      </c>
      <c r="J120" s="325"/>
      <c r="K120" s="325"/>
      <c r="L120" s="325"/>
      <c r="M120" s="325"/>
      <c r="N120" s="325">
        <v>42</v>
      </c>
      <c r="O120" s="326"/>
      <c r="P120" s="326"/>
      <c r="Q120" s="326">
        <v>8</v>
      </c>
      <c r="R120" s="326"/>
      <c r="S120" s="327"/>
    </row>
    <row r="121" spans="1:19" ht="15" customHeight="1">
      <c r="A121" s="561">
        <f t="shared" si="1"/>
        <v>121</v>
      </c>
      <c r="B121" s="31">
        <v>102</v>
      </c>
      <c r="C121" s="249" t="s">
        <v>850</v>
      </c>
      <c r="D121" s="320" t="s">
        <v>180</v>
      </c>
      <c r="E121" s="321" t="s">
        <v>328</v>
      </c>
      <c r="F121" s="322" t="s">
        <v>489</v>
      </c>
      <c r="G121" s="323" t="s">
        <v>902</v>
      </c>
      <c r="H121" s="322" t="s">
        <v>19</v>
      </c>
      <c r="I121" s="324">
        <v>161.20000000000002</v>
      </c>
      <c r="J121" s="325"/>
      <c r="K121" s="325"/>
      <c r="L121" s="325">
        <v>460</v>
      </c>
      <c r="M121" s="325"/>
      <c r="N121" s="325"/>
      <c r="O121" s="326"/>
      <c r="P121" s="326">
        <v>124</v>
      </c>
      <c r="Q121" s="326"/>
      <c r="R121" s="326"/>
      <c r="S121" s="327"/>
    </row>
    <row r="122" spans="1:19" ht="15" customHeight="1">
      <c r="A122" s="561">
        <f t="shared" si="1"/>
        <v>122</v>
      </c>
      <c r="B122" s="31">
        <v>102</v>
      </c>
      <c r="C122" s="249" t="s">
        <v>850</v>
      </c>
      <c r="D122" s="320" t="s">
        <v>180</v>
      </c>
      <c r="E122" s="321" t="s">
        <v>328</v>
      </c>
      <c r="F122" s="322" t="s">
        <v>489</v>
      </c>
      <c r="G122" s="323" t="s">
        <v>903</v>
      </c>
      <c r="H122" s="322" t="s">
        <v>44</v>
      </c>
      <c r="I122" s="324">
        <v>27.3</v>
      </c>
      <c r="J122" s="325"/>
      <c r="K122" s="325"/>
      <c r="L122" s="325">
        <v>62</v>
      </c>
      <c r="M122" s="325"/>
      <c r="N122" s="325"/>
      <c r="O122" s="326"/>
      <c r="P122" s="326"/>
      <c r="Q122" s="326">
        <v>21</v>
      </c>
      <c r="R122" s="326"/>
      <c r="S122" s="327" t="s">
        <v>522</v>
      </c>
    </row>
    <row r="123" spans="1:19" ht="15" customHeight="1">
      <c r="A123" s="561">
        <f t="shared" si="1"/>
        <v>123</v>
      </c>
      <c r="B123" s="31">
        <v>102</v>
      </c>
      <c r="C123" s="249" t="s">
        <v>850</v>
      </c>
      <c r="D123" s="320" t="s">
        <v>180</v>
      </c>
      <c r="E123" s="321" t="s">
        <v>328</v>
      </c>
      <c r="F123" s="322" t="s">
        <v>489</v>
      </c>
      <c r="G123" s="323" t="s">
        <v>904</v>
      </c>
      <c r="H123" s="322" t="s">
        <v>19</v>
      </c>
      <c r="I123" s="324">
        <v>20.8</v>
      </c>
      <c r="J123" s="325"/>
      <c r="K123" s="325"/>
      <c r="L123" s="325">
        <v>48</v>
      </c>
      <c r="M123" s="325"/>
      <c r="N123" s="325"/>
      <c r="O123" s="326"/>
      <c r="P123" s="326">
        <v>16</v>
      </c>
      <c r="Q123" s="326"/>
      <c r="R123" s="326"/>
      <c r="S123" s="327"/>
    </row>
    <row r="124" spans="1:19" ht="15" customHeight="1">
      <c r="A124" s="561">
        <f t="shared" si="1"/>
        <v>124</v>
      </c>
      <c r="B124" s="31">
        <v>102</v>
      </c>
      <c r="C124" s="249" t="s">
        <v>850</v>
      </c>
      <c r="D124" s="320" t="s">
        <v>180</v>
      </c>
      <c r="E124" s="321" t="s">
        <v>328</v>
      </c>
      <c r="F124" s="322" t="s">
        <v>489</v>
      </c>
      <c r="G124" s="323" t="s">
        <v>606</v>
      </c>
      <c r="H124" s="322" t="s">
        <v>19</v>
      </c>
      <c r="I124" s="324">
        <v>20.8</v>
      </c>
      <c r="J124" s="325"/>
      <c r="K124" s="325"/>
      <c r="L124" s="325">
        <v>48</v>
      </c>
      <c r="M124" s="325"/>
      <c r="N124" s="325"/>
      <c r="O124" s="326"/>
      <c r="P124" s="326">
        <v>16</v>
      </c>
      <c r="Q124" s="326"/>
      <c r="R124" s="326"/>
      <c r="S124" s="327"/>
    </row>
    <row r="125" spans="1:19" ht="15" customHeight="1">
      <c r="A125" s="561">
        <f t="shared" si="1"/>
        <v>125</v>
      </c>
      <c r="B125" s="31">
        <v>102</v>
      </c>
      <c r="C125" s="249" t="s">
        <v>850</v>
      </c>
      <c r="D125" s="320" t="s">
        <v>180</v>
      </c>
      <c r="E125" s="321" t="s">
        <v>328</v>
      </c>
      <c r="F125" s="322" t="s">
        <v>489</v>
      </c>
      <c r="G125" s="323" t="s">
        <v>604</v>
      </c>
      <c r="H125" s="322" t="s">
        <v>109</v>
      </c>
      <c r="I125" s="324">
        <v>75.400000000000006</v>
      </c>
      <c r="J125" s="325"/>
      <c r="K125" s="325"/>
      <c r="L125" s="325">
        <v>91</v>
      </c>
      <c r="M125" s="325"/>
      <c r="N125" s="325"/>
      <c r="O125" s="326"/>
      <c r="P125" s="326"/>
      <c r="Q125" s="326">
        <v>58</v>
      </c>
      <c r="R125" s="326"/>
      <c r="S125" s="327" t="s">
        <v>522</v>
      </c>
    </row>
    <row r="126" spans="1:19" ht="15" customHeight="1">
      <c r="A126" s="561">
        <f t="shared" si="1"/>
        <v>126</v>
      </c>
      <c r="B126" s="31">
        <v>102</v>
      </c>
      <c r="C126" s="249" t="s">
        <v>850</v>
      </c>
      <c r="D126" s="320" t="s">
        <v>180</v>
      </c>
      <c r="E126" s="321" t="s">
        <v>328</v>
      </c>
      <c r="F126" s="322" t="s">
        <v>489</v>
      </c>
      <c r="G126" s="323" t="s">
        <v>905</v>
      </c>
      <c r="H126" s="322" t="s">
        <v>19</v>
      </c>
      <c r="I126" s="324">
        <v>16.900000000000002</v>
      </c>
      <c r="J126" s="325"/>
      <c r="K126" s="325"/>
      <c r="L126" s="325">
        <v>52</v>
      </c>
      <c r="M126" s="325"/>
      <c r="N126" s="325"/>
      <c r="O126" s="326"/>
      <c r="P126" s="326"/>
      <c r="Q126" s="326"/>
      <c r="R126" s="326">
        <v>13</v>
      </c>
      <c r="S126" s="327" t="s">
        <v>522</v>
      </c>
    </row>
    <row r="127" spans="1:19" ht="15" customHeight="1">
      <c r="A127" s="561">
        <f t="shared" si="1"/>
        <v>127</v>
      </c>
      <c r="B127" s="31">
        <v>102</v>
      </c>
      <c r="C127" s="249" t="s">
        <v>850</v>
      </c>
      <c r="D127" s="320" t="s">
        <v>180</v>
      </c>
      <c r="E127" s="321" t="s">
        <v>54</v>
      </c>
      <c r="F127" s="322" t="s">
        <v>374</v>
      </c>
      <c r="G127" s="323" t="s">
        <v>790</v>
      </c>
      <c r="H127" s="322" t="s">
        <v>169</v>
      </c>
      <c r="I127" s="324"/>
      <c r="J127" s="325"/>
      <c r="K127" s="325"/>
      <c r="L127" s="325"/>
      <c r="M127" s="325"/>
      <c r="N127" s="325"/>
      <c r="O127" s="326"/>
      <c r="P127" s="326"/>
      <c r="Q127" s="326"/>
      <c r="R127" s="326"/>
      <c r="S127" s="327"/>
    </row>
    <row r="128" spans="1:19" ht="15" customHeight="1">
      <c r="A128" s="561">
        <f t="shared" si="1"/>
        <v>128</v>
      </c>
      <c r="B128" s="31">
        <v>102</v>
      </c>
      <c r="C128" s="249" t="s">
        <v>850</v>
      </c>
      <c r="D128" s="320" t="s">
        <v>180</v>
      </c>
      <c r="E128" s="321" t="s">
        <v>54</v>
      </c>
      <c r="F128" s="322" t="s">
        <v>376</v>
      </c>
      <c r="G128" s="323" t="s">
        <v>791</v>
      </c>
      <c r="H128" s="322" t="s">
        <v>1323</v>
      </c>
      <c r="I128" s="324">
        <v>32.5</v>
      </c>
      <c r="J128" s="325"/>
      <c r="K128" s="325"/>
      <c r="L128" s="325"/>
      <c r="M128" s="325"/>
      <c r="N128" s="325"/>
      <c r="O128" s="326"/>
      <c r="P128" s="326"/>
      <c r="Q128" s="326"/>
      <c r="R128" s="326"/>
      <c r="S128" s="327" t="s">
        <v>963</v>
      </c>
    </row>
    <row r="129" spans="1:19" ht="15" customHeight="1">
      <c r="A129" s="561">
        <f t="shared" si="1"/>
        <v>129</v>
      </c>
      <c r="B129" s="31">
        <v>102</v>
      </c>
      <c r="C129" s="249" t="s">
        <v>850</v>
      </c>
      <c r="D129" s="320" t="s">
        <v>180</v>
      </c>
      <c r="E129" s="321" t="s">
        <v>54</v>
      </c>
      <c r="F129" s="322" t="s">
        <v>54</v>
      </c>
      <c r="G129" s="323" t="s">
        <v>792</v>
      </c>
      <c r="H129" s="322" t="s">
        <v>109</v>
      </c>
      <c r="I129" s="324">
        <v>1782.3</v>
      </c>
      <c r="J129" s="325"/>
      <c r="K129" s="325">
        <v>313</v>
      </c>
      <c r="L129" s="325"/>
      <c r="M129" s="325"/>
      <c r="N129" s="325"/>
      <c r="O129" s="326"/>
      <c r="P129" s="326"/>
      <c r="Q129" s="326"/>
      <c r="R129" s="326">
        <v>1935</v>
      </c>
      <c r="S129" s="327" t="s">
        <v>522</v>
      </c>
    </row>
    <row r="130" spans="1:19" ht="15" customHeight="1">
      <c r="A130" s="561">
        <f t="shared" si="1"/>
        <v>130</v>
      </c>
      <c r="B130" s="31">
        <v>102</v>
      </c>
      <c r="C130" s="249" t="s">
        <v>850</v>
      </c>
      <c r="D130" s="320" t="s">
        <v>180</v>
      </c>
      <c r="E130" s="321" t="s">
        <v>54</v>
      </c>
      <c r="F130" s="322" t="s">
        <v>376</v>
      </c>
      <c r="G130" s="323" t="s">
        <v>793</v>
      </c>
      <c r="H130" s="322" t="s">
        <v>1323</v>
      </c>
      <c r="I130" s="324">
        <v>33</v>
      </c>
      <c r="J130" s="325"/>
      <c r="K130" s="325"/>
      <c r="L130" s="325"/>
      <c r="M130" s="325"/>
      <c r="N130" s="325"/>
      <c r="O130" s="326"/>
      <c r="P130" s="326"/>
      <c r="Q130" s="326"/>
      <c r="R130" s="326"/>
      <c r="S130" s="327" t="s">
        <v>964</v>
      </c>
    </row>
    <row r="131" spans="1:19" ht="15" customHeight="1">
      <c r="A131" s="561">
        <f t="shared" ref="A131:A194" si="2">1+A130</f>
        <v>131</v>
      </c>
      <c r="B131" s="31">
        <v>102</v>
      </c>
      <c r="C131" s="249" t="s">
        <v>850</v>
      </c>
      <c r="D131" s="320" t="s">
        <v>180</v>
      </c>
      <c r="E131" s="321" t="s">
        <v>54</v>
      </c>
      <c r="F131" s="322" t="s">
        <v>374</v>
      </c>
      <c r="G131" s="323" t="s">
        <v>794</v>
      </c>
      <c r="H131" s="322" t="s">
        <v>169</v>
      </c>
      <c r="I131" s="324"/>
      <c r="J131" s="325"/>
      <c r="K131" s="325"/>
      <c r="L131" s="325"/>
      <c r="M131" s="325"/>
      <c r="N131" s="325"/>
      <c r="O131" s="326"/>
      <c r="P131" s="326"/>
      <c r="Q131" s="326"/>
      <c r="R131" s="326"/>
      <c r="S131" s="327"/>
    </row>
    <row r="132" spans="1:19" ht="15" customHeight="1">
      <c r="A132" s="561">
        <f t="shared" si="2"/>
        <v>132</v>
      </c>
      <c r="B132" s="31">
        <v>102</v>
      </c>
      <c r="C132" s="249" t="s">
        <v>850</v>
      </c>
      <c r="D132" s="320" t="s">
        <v>180</v>
      </c>
      <c r="E132" s="321" t="s">
        <v>54</v>
      </c>
      <c r="F132" s="322" t="s">
        <v>734</v>
      </c>
      <c r="G132" s="323" t="s">
        <v>298</v>
      </c>
      <c r="H132" s="322"/>
      <c r="I132" s="324">
        <v>0</v>
      </c>
      <c r="J132" s="325"/>
      <c r="K132" s="325"/>
      <c r="L132" s="325"/>
      <c r="M132" s="325"/>
      <c r="N132" s="325"/>
      <c r="O132" s="326"/>
      <c r="P132" s="326"/>
      <c r="Q132" s="326"/>
      <c r="R132" s="326"/>
      <c r="S132" s="327" t="s">
        <v>614</v>
      </c>
    </row>
    <row r="133" spans="1:19" ht="15" customHeight="1">
      <c r="A133" s="561">
        <f t="shared" si="2"/>
        <v>133</v>
      </c>
      <c r="B133" s="31">
        <v>102</v>
      </c>
      <c r="C133" s="249" t="s">
        <v>850</v>
      </c>
      <c r="D133" s="320" t="s">
        <v>180</v>
      </c>
      <c r="E133" s="321" t="s">
        <v>54</v>
      </c>
      <c r="F133" s="322" t="s">
        <v>875</v>
      </c>
      <c r="G133" s="323" t="s">
        <v>101</v>
      </c>
      <c r="H133" s="322"/>
      <c r="I133" s="324">
        <v>0</v>
      </c>
      <c r="J133" s="325"/>
      <c r="K133" s="325"/>
      <c r="L133" s="325"/>
      <c r="M133" s="325"/>
      <c r="N133" s="325"/>
      <c r="O133" s="326"/>
      <c r="P133" s="326"/>
      <c r="Q133" s="326"/>
      <c r="R133" s="326"/>
      <c r="S133" s="327" t="s">
        <v>614</v>
      </c>
    </row>
    <row r="134" spans="1:19" ht="15" customHeight="1">
      <c r="A134" s="561">
        <f t="shared" si="2"/>
        <v>134</v>
      </c>
      <c r="B134" s="31">
        <v>102</v>
      </c>
      <c r="C134" s="249" t="s">
        <v>850</v>
      </c>
      <c r="D134" s="320" t="s">
        <v>180</v>
      </c>
      <c r="E134" s="321" t="s">
        <v>54</v>
      </c>
      <c r="F134" s="322" t="s">
        <v>876</v>
      </c>
      <c r="G134" s="323" t="s">
        <v>625</v>
      </c>
      <c r="H134" s="322"/>
      <c r="I134" s="324">
        <v>0</v>
      </c>
      <c r="J134" s="325"/>
      <c r="K134" s="325"/>
      <c r="L134" s="325"/>
      <c r="M134" s="325"/>
      <c r="N134" s="325"/>
      <c r="O134" s="326"/>
      <c r="P134" s="326"/>
      <c r="Q134" s="326"/>
      <c r="R134" s="326"/>
      <c r="S134" s="327" t="s">
        <v>1148</v>
      </c>
    </row>
    <row r="135" spans="1:19" ht="15" customHeight="1">
      <c r="A135" s="561">
        <f t="shared" si="2"/>
        <v>135</v>
      </c>
      <c r="B135" s="31">
        <v>102</v>
      </c>
      <c r="C135" s="249" t="s">
        <v>850</v>
      </c>
      <c r="D135" s="320" t="s">
        <v>180</v>
      </c>
      <c r="E135" s="321" t="s">
        <v>54</v>
      </c>
      <c r="F135" s="322" t="s">
        <v>175</v>
      </c>
      <c r="G135" s="323" t="s">
        <v>629</v>
      </c>
      <c r="H135" s="322" t="s">
        <v>44</v>
      </c>
      <c r="I135" s="324">
        <v>93.600000000000009</v>
      </c>
      <c r="J135" s="325"/>
      <c r="K135" s="325"/>
      <c r="L135" s="325">
        <v>244</v>
      </c>
      <c r="M135" s="325"/>
      <c r="N135" s="325"/>
      <c r="O135" s="326"/>
      <c r="P135" s="326">
        <v>72</v>
      </c>
      <c r="Q135" s="326"/>
      <c r="R135" s="326"/>
      <c r="S135" s="327"/>
    </row>
    <row r="136" spans="1:19" ht="15" customHeight="1">
      <c r="A136" s="561">
        <f t="shared" si="2"/>
        <v>136</v>
      </c>
      <c r="B136" s="31">
        <v>102</v>
      </c>
      <c r="C136" s="249" t="s">
        <v>850</v>
      </c>
      <c r="D136" s="320" t="s">
        <v>180</v>
      </c>
      <c r="E136" s="321" t="s">
        <v>54</v>
      </c>
      <c r="F136" s="322" t="s">
        <v>175</v>
      </c>
      <c r="G136" s="323" t="s">
        <v>630</v>
      </c>
      <c r="H136" s="322"/>
      <c r="I136" s="324">
        <v>0</v>
      </c>
      <c r="J136" s="325"/>
      <c r="K136" s="325"/>
      <c r="L136" s="325"/>
      <c r="M136" s="325"/>
      <c r="N136" s="325"/>
      <c r="O136" s="326"/>
      <c r="P136" s="326"/>
      <c r="Q136" s="326"/>
      <c r="R136" s="326"/>
      <c r="S136" s="327" t="s">
        <v>965</v>
      </c>
    </row>
    <row r="137" spans="1:19" ht="15" customHeight="1">
      <c r="A137" s="561">
        <f t="shared" si="2"/>
        <v>137</v>
      </c>
      <c r="B137" s="31">
        <v>102</v>
      </c>
      <c r="C137" s="249" t="s">
        <v>850</v>
      </c>
      <c r="D137" s="320" t="s">
        <v>180</v>
      </c>
      <c r="E137" s="321" t="s">
        <v>54</v>
      </c>
      <c r="F137" s="322" t="s">
        <v>175</v>
      </c>
      <c r="G137" s="323" t="s">
        <v>906</v>
      </c>
      <c r="H137" s="322" t="s">
        <v>19</v>
      </c>
      <c r="I137" s="324">
        <v>1.3</v>
      </c>
      <c r="J137" s="325"/>
      <c r="K137" s="325"/>
      <c r="L137" s="325">
        <v>32</v>
      </c>
      <c r="M137" s="325"/>
      <c r="N137" s="325"/>
      <c r="O137" s="326"/>
      <c r="P137" s="326">
        <v>6</v>
      </c>
      <c r="Q137" s="326"/>
      <c r="R137" s="326"/>
      <c r="S137" s="327"/>
    </row>
    <row r="138" spans="1:19" ht="15" customHeight="1">
      <c r="A138" s="561">
        <f t="shared" si="2"/>
        <v>138</v>
      </c>
      <c r="B138" s="31">
        <v>102</v>
      </c>
      <c r="C138" s="249" t="s">
        <v>850</v>
      </c>
      <c r="D138" s="320" t="s">
        <v>180</v>
      </c>
      <c r="E138" s="321" t="s">
        <v>54</v>
      </c>
      <c r="F138" s="322" t="s">
        <v>547</v>
      </c>
      <c r="G138" s="323" t="s">
        <v>632</v>
      </c>
      <c r="H138" s="322" t="s">
        <v>19</v>
      </c>
      <c r="I138" s="324">
        <v>6.5</v>
      </c>
      <c r="J138" s="325"/>
      <c r="K138" s="325"/>
      <c r="L138" s="325"/>
      <c r="M138" s="325"/>
      <c r="N138" s="325"/>
      <c r="O138" s="326"/>
      <c r="P138" s="326"/>
      <c r="Q138" s="326"/>
      <c r="R138" s="326"/>
      <c r="S138" s="327"/>
    </row>
    <row r="139" spans="1:19" ht="15" customHeight="1">
      <c r="A139" s="561">
        <f t="shared" si="2"/>
        <v>139</v>
      </c>
      <c r="B139" s="31">
        <v>102</v>
      </c>
      <c r="C139" s="249" t="s">
        <v>850</v>
      </c>
      <c r="D139" s="320" t="s">
        <v>180</v>
      </c>
      <c r="E139" s="321" t="s">
        <v>54</v>
      </c>
      <c r="F139" s="322" t="s">
        <v>175</v>
      </c>
      <c r="G139" s="323" t="s">
        <v>802</v>
      </c>
      <c r="H139" s="322" t="s">
        <v>19</v>
      </c>
      <c r="I139" s="324">
        <v>9.1</v>
      </c>
      <c r="J139" s="325"/>
      <c r="K139" s="325"/>
      <c r="L139" s="325">
        <v>43</v>
      </c>
      <c r="M139" s="325"/>
      <c r="N139" s="325"/>
      <c r="O139" s="326"/>
      <c r="P139" s="326">
        <v>3</v>
      </c>
      <c r="Q139" s="326"/>
      <c r="R139" s="326"/>
      <c r="S139" s="327"/>
    </row>
    <row r="140" spans="1:19" ht="15" customHeight="1">
      <c r="A140" s="561">
        <f t="shared" si="2"/>
        <v>140</v>
      </c>
      <c r="B140" s="31">
        <v>102</v>
      </c>
      <c r="C140" s="249" t="s">
        <v>850</v>
      </c>
      <c r="D140" s="320" t="s">
        <v>180</v>
      </c>
      <c r="E140" s="321" t="s">
        <v>54</v>
      </c>
      <c r="F140" s="322" t="s">
        <v>894</v>
      </c>
      <c r="G140" s="323" t="s">
        <v>803</v>
      </c>
      <c r="H140" s="322" t="s">
        <v>166</v>
      </c>
      <c r="I140" s="324">
        <v>7.8000000000000007</v>
      </c>
      <c r="J140" s="325"/>
      <c r="K140" s="325"/>
      <c r="L140" s="325"/>
      <c r="M140" s="325"/>
      <c r="N140" s="325"/>
      <c r="O140" s="326"/>
      <c r="P140" s="326"/>
      <c r="Q140" s="326"/>
      <c r="R140" s="326"/>
      <c r="S140" s="327"/>
    </row>
    <row r="141" spans="1:19" ht="15" customHeight="1">
      <c r="A141" s="561">
        <f t="shared" si="2"/>
        <v>141</v>
      </c>
      <c r="B141" s="31">
        <v>102</v>
      </c>
      <c r="C141" s="249" t="s">
        <v>850</v>
      </c>
      <c r="D141" s="320" t="s">
        <v>180</v>
      </c>
      <c r="E141" s="321" t="s">
        <v>54</v>
      </c>
      <c r="F141" s="322" t="s">
        <v>175</v>
      </c>
      <c r="G141" s="323" t="s">
        <v>636</v>
      </c>
      <c r="H141" s="322" t="s">
        <v>19</v>
      </c>
      <c r="I141" s="324">
        <v>76.7</v>
      </c>
      <c r="J141" s="325"/>
      <c r="K141" s="325"/>
      <c r="L141" s="325">
        <v>163</v>
      </c>
      <c r="M141" s="325"/>
      <c r="N141" s="325"/>
      <c r="O141" s="326"/>
      <c r="P141" s="326">
        <v>59</v>
      </c>
      <c r="Q141" s="326"/>
      <c r="R141" s="326"/>
      <c r="S141" s="327"/>
    </row>
    <row r="142" spans="1:19" ht="15" customHeight="1">
      <c r="A142" s="561">
        <f t="shared" si="2"/>
        <v>142</v>
      </c>
      <c r="B142" s="31">
        <v>102</v>
      </c>
      <c r="C142" s="249" t="s">
        <v>850</v>
      </c>
      <c r="D142" s="320" t="s">
        <v>180</v>
      </c>
      <c r="E142" s="321" t="s">
        <v>54</v>
      </c>
      <c r="F142" s="322" t="s">
        <v>175</v>
      </c>
      <c r="G142" s="323" t="s">
        <v>907</v>
      </c>
      <c r="H142" s="322" t="s">
        <v>19</v>
      </c>
      <c r="I142" s="324">
        <v>11.700000000000001</v>
      </c>
      <c r="J142" s="325"/>
      <c r="K142" s="325"/>
      <c r="L142" s="325">
        <v>52</v>
      </c>
      <c r="M142" s="325"/>
      <c r="N142" s="325"/>
      <c r="O142" s="326"/>
      <c r="P142" s="326">
        <v>9</v>
      </c>
      <c r="Q142" s="326"/>
      <c r="R142" s="326"/>
      <c r="S142" s="327"/>
    </row>
    <row r="143" spans="1:19" ht="15" customHeight="1">
      <c r="A143" s="561">
        <f t="shared" si="2"/>
        <v>143</v>
      </c>
      <c r="B143" s="31">
        <v>102</v>
      </c>
      <c r="C143" s="249" t="s">
        <v>850</v>
      </c>
      <c r="D143" s="320" t="s">
        <v>180</v>
      </c>
      <c r="E143" s="321" t="s">
        <v>54</v>
      </c>
      <c r="F143" s="322" t="s">
        <v>175</v>
      </c>
      <c r="G143" s="323" t="s">
        <v>908</v>
      </c>
      <c r="H143" s="322" t="s">
        <v>19</v>
      </c>
      <c r="I143" s="324">
        <v>1.3</v>
      </c>
      <c r="J143" s="325"/>
      <c r="K143" s="325"/>
      <c r="L143" s="325">
        <v>24</v>
      </c>
      <c r="M143" s="325"/>
      <c r="N143" s="325"/>
      <c r="O143" s="326"/>
      <c r="P143" s="326">
        <v>2</v>
      </c>
      <c r="Q143" s="326"/>
      <c r="R143" s="326"/>
      <c r="S143" s="327"/>
    </row>
    <row r="144" spans="1:19" ht="15" customHeight="1">
      <c r="A144" s="561">
        <f t="shared" si="2"/>
        <v>144</v>
      </c>
      <c r="B144" s="31">
        <v>102</v>
      </c>
      <c r="C144" s="249" t="s">
        <v>850</v>
      </c>
      <c r="D144" s="320" t="s">
        <v>180</v>
      </c>
      <c r="E144" s="321" t="s">
        <v>54</v>
      </c>
      <c r="F144" s="322" t="s">
        <v>547</v>
      </c>
      <c r="G144" s="323" t="s">
        <v>909</v>
      </c>
      <c r="H144" s="322" t="s">
        <v>19</v>
      </c>
      <c r="I144" s="324">
        <v>3.9000000000000004</v>
      </c>
      <c r="J144" s="325"/>
      <c r="K144" s="325"/>
      <c r="L144" s="325"/>
      <c r="M144" s="325"/>
      <c r="N144" s="325"/>
      <c r="O144" s="326"/>
      <c r="P144" s="326"/>
      <c r="Q144" s="326"/>
      <c r="R144" s="326"/>
      <c r="S144" s="327"/>
    </row>
    <row r="145" spans="1:19" ht="15" customHeight="1">
      <c r="A145" s="561">
        <f t="shared" si="2"/>
        <v>145</v>
      </c>
      <c r="B145" s="31">
        <v>102</v>
      </c>
      <c r="C145" s="249" t="s">
        <v>850</v>
      </c>
      <c r="D145" s="320" t="s">
        <v>180</v>
      </c>
      <c r="E145" s="321" t="s">
        <v>54</v>
      </c>
      <c r="F145" s="322" t="s">
        <v>423</v>
      </c>
      <c r="G145" s="323" t="s">
        <v>805</v>
      </c>
      <c r="H145" s="322" t="s">
        <v>176</v>
      </c>
      <c r="I145" s="324">
        <v>19.5</v>
      </c>
      <c r="J145" s="325"/>
      <c r="K145" s="325"/>
      <c r="L145" s="325"/>
      <c r="M145" s="325"/>
      <c r="N145" s="325">
        <v>56</v>
      </c>
      <c r="O145" s="326"/>
      <c r="P145" s="326"/>
      <c r="Q145" s="326">
        <v>15</v>
      </c>
      <c r="R145" s="326"/>
      <c r="S145" s="327"/>
    </row>
    <row r="146" spans="1:19" ht="15" customHeight="1">
      <c r="A146" s="561">
        <f t="shared" si="2"/>
        <v>146</v>
      </c>
      <c r="B146" s="31">
        <v>102</v>
      </c>
      <c r="C146" s="249" t="s">
        <v>850</v>
      </c>
      <c r="D146" s="320" t="s">
        <v>180</v>
      </c>
      <c r="E146" s="321" t="s">
        <v>54</v>
      </c>
      <c r="F146" s="322" t="s">
        <v>36</v>
      </c>
      <c r="G146" s="323" t="s">
        <v>910</v>
      </c>
      <c r="H146" s="322" t="s">
        <v>176</v>
      </c>
      <c r="I146" s="324">
        <v>52</v>
      </c>
      <c r="J146" s="325"/>
      <c r="K146" s="325"/>
      <c r="L146" s="325"/>
      <c r="M146" s="325"/>
      <c r="N146" s="325">
        <v>136</v>
      </c>
      <c r="O146" s="326"/>
      <c r="P146" s="326"/>
      <c r="Q146" s="326">
        <v>15</v>
      </c>
      <c r="R146" s="326"/>
      <c r="S146" s="327"/>
    </row>
    <row r="147" spans="1:19" ht="15" customHeight="1">
      <c r="A147" s="561">
        <f t="shared" si="2"/>
        <v>147</v>
      </c>
      <c r="B147" s="31">
        <v>102</v>
      </c>
      <c r="C147" s="249" t="s">
        <v>850</v>
      </c>
      <c r="D147" s="320" t="s">
        <v>180</v>
      </c>
      <c r="E147" s="321" t="s">
        <v>54</v>
      </c>
      <c r="F147" s="322" t="s">
        <v>36</v>
      </c>
      <c r="G147" s="323" t="s">
        <v>806</v>
      </c>
      <c r="H147" s="322" t="s">
        <v>176</v>
      </c>
      <c r="I147" s="324">
        <v>27.3</v>
      </c>
      <c r="J147" s="325"/>
      <c r="K147" s="325"/>
      <c r="L147" s="325">
        <v>80</v>
      </c>
      <c r="M147" s="325"/>
      <c r="N147" s="325"/>
      <c r="O147" s="326"/>
      <c r="P147" s="326">
        <v>21</v>
      </c>
      <c r="Q147" s="326"/>
      <c r="R147" s="326"/>
      <c r="S147" s="327"/>
    </row>
    <row r="148" spans="1:19" ht="15" customHeight="1">
      <c r="A148" s="561">
        <f t="shared" si="2"/>
        <v>148</v>
      </c>
      <c r="B148" s="31">
        <v>102</v>
      </c>
      <c r="C148" s="249" t="s">
        <v>850</v>
      </c>
      <c r="D148" s="320" t="s">
        <v>180</v>
      </c>
      <c r="E148" s="321" t="s">
        <v>54</v>
      </c>
      <c r="F148" s="322" t="s">
        <v>438</v>
      </c>
      <c r="G148" s="323" t="s">
        <v>911</v>
      </c>
      <c r="H148" s="322" t="s">
        <v>19</v>
      </c>
      <c r="I148" s="324">
        <v>9.1</v>
      </c>
      <c r="J148" s="325"/>
      <c r="K148" s="325"/>
      <c r="L148" s="325"/>
      <c r="M148" s="325"/>
      <c r="N148" s="325">
        <v>24</v>
      </c>
      <c r="O148" s="326"/>
      <c r="P148" s="326"/>
      <c r="Q148" s="326"/>
      <c r="R148" s="326"/>
      <c r="S148" s="327"/>
    </row>
    <row r="149" spans="1:19" ht="15" customHeight="1">
      <c r="A149" s="561">
        <f t="shared" si="2"/>
        <v>149</v>
      </c>
      <c r="B149" s="31">
        <v>102</v>
      </c>
      <c r="C149" s="249" t="s">
        <v>850</v>
      </c>
      <c r="D149" s="320" t="s">
        <v>180</v>
      </c>
      <c r="E149" s="321" t="s">
        <v>54</v>
      </c>
      <c r="F149" s="322" t="s">
        <v>436</v>
      </c>
      <c r="G149" s="323" t="s">
        <v>912</v>
      </c>
      <c r="H149" s="322" t="s">
        <v>19</v>
      </c>
      <c r="I149" s="324">
        <v>10.4</v>
      </c>
      <c r="J149" s="325"/>
      <c r="K149" s="325"/>
      <c r="L149" s="325"/>
      <c r="M149" s="325"/>
      <c r="N149" s="325">
        <v>43</v>
      </c>
      <c r="O149" s="326"/>
      <c r="P149" s="326"/>
      <c r="Q149" s="326">
        <v>8</v>
      </c>
      <c r="R149" s="326"/>
      <c r="S149" s="327"/>
    </row>
    <row r="150" spans="1:19" ht="15" customHeight="1">
      <c r="A150" s="561">
        <f t="shared" si="2"/>
        <v>150</v>
      </c>
      <c r="B150" s="31">
        <v>102</v>
      </c>
      <c r="C150" s="249" t="s">
        <v>850</v>
      </c>
      <c r="D150" s="320" t="s">
        <v>180</v>
      </c>
      <c r="E150" s="321" t="s">
        <v>54</v>
      </c>
      <c r="F150" s="322" t="s">
        <v>913</v>
      </c>
      <c r="G150" s="323" t="s">
        <v>914</v>
      </c>
      <c r="H150" s="322"/>
      <c r="I150" s="324">
        <v>11</v>
      </c>
      <c r="J150" s="325"/>
      <c r="K150" s="325"/>
      <c r="L150" s="325">
        <v>28</v>
      </c>
      <c r="M150" s="325"/>
      <c r="N150" s="325"/>
      <c r="O150" s="326"/>
      <c r="P150" s="326">
        <v>11</v>
      </c>
      <c r="Q150" s="326"/>
      <c r="R150" s="326"/>
      <c r="S150" s="327"/>
    </row>
    <row r="151" spans="1:19" ht="15" customHeight="1">
      <c r="A151" s="561">
        <f t="shared" si="2"/>
        <v>151</v>
      </c>
      <c r="B151" s="31">
        <v>102</v>
      </c>
      <c r="C151" s="249" t="s">
        <v>850</v>
      </c>
      <c r="D151" s="320" t="s">
        <v>180</v>
      </c>
      <c r="E151" s="321" t="s">
        <v>54</v>
      </c>
      <c r="F151" s="322" t="s">
        <v>915</v>
      </c>
      <c r="G151" s="323" t="s">
        <v>916</v>
      </c>
      <c r="H151" s="322"/>
      <c r="I151" s="324">
        <v>11</v>
      </c>
      <c r="J151" s="325"/>
      <c r="K151" s="325"/>
      <c r="L151" s="325">
        <v>14</v>
      </c>
      <c r="M151" s="325"/>
      <c r="N151" s="325"/>
      <c r="O151" s="326"/>
      <c r="P151" s="326">
        <v>11</v>
      </c>
      <c r="Q151" s="326"/>
      <c r="R151" s="326"/>
      <c r="S151" s="327"/>
    </row>
    <row r="152" spans="1:19" ht="15" customHeight="1">
      <c r="A152" s="561">
        <f t="shared" si="2"/>
        <v>152</v>
      </c>
      <c r="B152" s="31">
        <v>102</v>
      </c>
      <c r="C152" s="249" t="s">
        <v>850</v>
      </c>
      <c r="D152" s="320" t="s">
        <v>180</v>
      </c>
      <c r="E152" s="321" t="s">
        <v>54</v>
      </c>
      <c r="F152" s="322" t="s">
        <v>917</v>
      </c>
      <c r="G152" s="323" t="s">
        <v>918</v>
      </c>
      <c r="H152" s="322"/>
      <c r="I152" s="324">
        <v>11</v>
      </c>
      <c r="J152" s="325"/>
      <c r="K152" s="325"/>
      <c r="L152" s="325">
        <v>29</v>
      </c>
      <c r="M152" s="325"/>
      <c r="N152" s="325"/>
      <c r="O152" s="326"/>
      <c r="P152" s="326">
        <v>11</v>
      </c>
      <c r="Q152" s="326"/>
      <c r="R152" s="326"/>
      <c r="S152" s="327"/>
    </row>
    <row r="153" spans="1:19" ht="15" customHeight="1">
      <c r="A153" s="561">
        <f t="shared" si="2"/>
        <v>153</v>
      </c>
      <c r="B153" s="31">
        <v>102</v>
      </c>
      <c r="C153" s="249" t="s">
        <v>850</v>
      </c>
      <c r="D153" s="320" t="s">
        <v>180</v>
      </c>
      <c r="E153" s="321" t="s">
        <v>54</v>
      </c>
      <c r="F153" s="322" t="s">
        <v>265</v>
      </c>
      <c r="G153" s="323" t="s">
        <v>919</v>
      </c>
      <c r="H153" s="322" t="s">
        <v>176</v>
      </c>
      <c r="I153" s="324">
        <v>19.5</v>
      </c>
      <c r="J153" s="325"/>
      <c r="K153" s="325"/>
      <c r="L153" s="325"/>
      <c r="M153" s="325"/>
      <c r="N153" s="325">
        <v>66</v>
      </c>
      <c r="O153" s="326"/>
      <c r="P153" s="326">
        <v>15</v>
      </c>
      <c r="Q153" s="326"/>
      <c r="R153" s="326"/>
      <c r="S153" s="327"/>
    </row>
    <row r="154" spans="1:19" ht="15" customHeight="1">
      <c r="A154" s="561">
        <f t="shared" si="2"/>
        <v>154</v>
      </c>
      <c r="B154" s="31">
        <v>102</v>
      </c>
      <c r="C154" s="249" t="s">
        <v>850</v>
      </c>
      <c r="D154" s="320" t="s">
        <v>180</v>
      </c>
      <c r="E154" s="321" t="s">
        <v>54</v>
      </c>
      <c r="F154" s="322" t="s">
        <v>593</v>
      </c>
      <c r="G154" s="323" t="s">
        <v>920</v>
      </c>
      <c r="H154" s="322" t="s">
        <v>176</v>
      </c>
      <c r="I154" s="324">
        <v>26</v>
      </c>
      <c r="J154" s="325"/>
      <c r="K154" s="325"/>
      <c r="L154" s="325"/>
      <c r="M154" s="325"/>
      <c r="N154" s="325">
        <v>87</v>
      </c>
      <c r="O154" s="326"/>
      <c r="P154" s="326">
        <v>20</v>
      </c>
      <c r="Q154" s="326"/>
      <c r="R154" s="326"/>
      <c r="S154" s="327"/>
    </row>
    <row r="155" spans="1:19" ht="15" customHeight="1">
      <c r="A155" s="561">
        <f t="shared" si="2"/>
        <v>155</v>
      </c>
      <c r="B155" s="31">
        <v>102</v>
      </c>
      <c r="C155" s="249" t="s">
        <v>850</v>
      </c>
      <c r="D155" s="320" t="s">
        <v>180</v>
      </c>
      <c r="E155" s="321" t="s">
        <v>54</v>
      </c>
      <c r="F155" s="322" t="s">
        <v>440</v>
      </c>
      <c r="G155" s="323" t="s">
        <v>811</v>
      </c>
      <c r="H155" s="322" t="s">
        <v>176</v>
      </c>
      <c r="I155" s="324">
        <v>10.4</v>
      </c>
      <c r="J155" s="325"/>
      <c r="K155" s="325"/>
      <c r="L155" s="325"/>
      <c r="M155" s="325"/>
      <c r="N155" s="325">
        <v>41</v>
      </c>
      <c r="O155" s="326"/>
      <c r="P155" s="326"/>
      <c r="Q155" s="326">
        <v>8</v>
      </c>
      <c r="R155" s="326"/>
      <c r="S155" s="327"/>
    </row>
    <row r="156" spans="1:19" ht="15" customHeight="1">
      <c r="A156" s="561">
        <f t="shared" si="2"/>
        <v>156</v>
      </c>
      <c r="B156" s="31">
        <v>102</v>
      </c>
      <c r="C156" s="249" t="s">
        <v>850</v>
      </c>
      <c r="D156" s="320" t="s">
        <v>180</v>
      </c>
      <c r="E156" s="321" t="s">
        <v>54</v>
      </c>
      <c r="F156" s="322" t="s">
        <v>440</v>
      </c>
      <c r="G156" s="323" t="s">
        <v>812</v>
      </c>
      <c r="H156" s="322" t="s">
        <v>176</v>
      </c>
      <c r="I156" s="324">
        <v>24.7</v>
      </c>
      <c r="J156" s="325"/>
      <c r="K156" s="325"/>
      <c r="L156" s="325"/>
      <c r="M156" s="325"/>
      <c r="N156" s="325">
        <v>63</v>
      </c>
      <c r="O156" s="326"/>
      <c r="P156" s="326"/>
      <c r="Q156" s="326">
        <v>19</v>
      </c>
      <c r="R156" s="326"/>
      <c r="S156" s="327"/>
    </row>
    <row r="157" spans="1:19" ht="15" customHeight="1">
      <c r="A157" s="561">
        <f t="shared" si="2"/>
        <v>157</v>
      </c>
      <c r="B157" s="31">
        <v>102</v>
      </c>
      <c r="C157" s="249" t="s">
        <v>850</v>
      </c>
      <c r="D157" s="320" t="s">
        <v>180</v>
      </c>
      <c r="E157" s="321" t="s">
        <v>54</v>
      </c>
      <c r="F157" s="322" t="s">
        <v>462</v>
      </c>
      <c r="G157" s="323" t="s">
        <v>814</v>
      </c>
      <c r="H157" s="322"/>
      <c r="I157" s="324">
        <v>4</v>
      </c>
      <c r="J157" s="325"/>
      <c r="K157" s="325"/>
      <c r="L157" s="325">
        <v>32</v>
      </c>
      <c r="M157" s="325"/>
      <c r="N157" s="325"/>
      <c r="O157" s="326"/>
      <c r="P157" s="326">
        <v>4</v>
      </c>
      <c r="Q157" s="326"/>
      <c r="R157" s="326"/>
      <c r="S157" s="327"/>
    </row>
    <row r="158" spans="1:19" ht="15" customHeight="1">
      <c r="A158" s="561">
        <f t="shared" si="2"/>
        <v>158</v>
      </c>
      <c r="B158" s="31">
        <v>102</v>
      </c>
      <c r="C158" s="249" t="s">
        <v>850</v>
      </c>
      <c r="D158" s="320" t="s">
        <v>180</v>
      </c>
      <c r="E158" s="321" t="s">
        <v>54</v>
      </c>
      <c r="F158" s="322" t="s">
        <v>462</v>
      </c>
      <c r="G158" s="323" t="s">
        <v>815</v>
      </c>
      <c r="H158" s="322" t="s">
        <v>44</v>
      </c>
      <c r="I158" s="324">
        <v>5.2</v>
      </c>
      <c r="J158" s="325"/>
      <c r="K158" s="325"/>
      <c r="L158" s="325">
        <v>30</v>
      </c>
      <c r="M158" s="325"/>
      <c r="N158" s="325"/>
      <c r="O158" s="326"/>
      <c r="P158" s="326">
        <v>4</v>
      </c>
      <c r="Q158" s="326"/>
      <c r="R158" s="326"/>
      <c r="S158" s="327"/>
    </row>
    <row r="159" spans="1:19" ht="15" customHeight="1">
      <c r="A159" s="561">
        <f t="shared" si="2"/>
        <v>159</v>
      </c>
      <c r="B159" s="31">
        <v>102</v>
      </c>
      <c r="C159" s="249" t="s">
        <v>850</v>
      </c>
      <c r="D159" s="320" t="s">
        <v>180</v>
      </c>
      <c r="E159" s="321" t="s">
        <v>54</v>
      </c>
      <c r="F159" s="322" t="s">
        <v>168</v>
      </c>
      <c r="G159" s="323" t="s">
        <v>816</v>
      </c>
      <c r="H159" s="322" t="s">
        <v>109</v>
      </c>
      <c r="I159" s="324">
        <v>63.7</v>
      </c>
      <c r="J159" s="325"/>
      <c r="K159" s="325"/>
      <c r="L159" s="325"/>
      <c r="M159" s="325"/>
      <c r="N159" s="325">
        <v>99</v>
      </c>
      <c r="O159" s="326"/>
      <c r="P159" s="326"/>
      <c r="Q159" s="326">
        <v>32</v>
      </c>
      <c r="R159" s="326"/>
      <c r="S159" s="327"/>
    </row>
    <row r="160" spans="1:19" ht="15" customHeight="1">
      <c r="A160" s="561">
        <f t="shared" si="2"/>
        <v>160</v>
      </c>
      <c r="B160" s="31">
        <v>102</v>
      </c>
      <c r="C160" s="249" t="s">
        <v>850</v>
      </c>
      <c r="D160" s="320" t="s">
        <v>180</v>
      </c>
      <c r="E160" s="321" t="s">
        <v>54</v>
      </c>
      <c r="F160" s="322" t="s">
        <v>168</v>
      </c>
      <c r="G160" s="323" t="s">
        <v>659</v>
      </c>
      <c r="H160" s="322" t="s">
        <v>109</v>
      </c>
      <c r="I160" s="324">
        <v>70.2</v>
      </c>
      <c r="J160" s="325"/>
      <c r="K160" s="325"/>
      <c r="L160" s="325"/>
      <c r="M160" s="325"/>
      <c r="N160" s="325">
        <v>108</v>
      </c>
      <c r="O160" s="326"/>
      <c r="P160" s="326"/>
      <c r="Q160" s="326">
        <v>41</v>
      </c>
      <c r="R160" s="326"/>
      <c r="S160" s="327"/>
    </row>
    <row r="161" spans="1:19" ht="15" customHeight="1">
      <c r="A161" s="561">
        <f t="shared" si="2"/>
        <v>161</v>
      </c>
      <c r="B161" s="31">
        <v>102</v>
      </c>
      <c r="C161" s="249" t="s">
        <v>850</v>
      </c>
      <c r="D161" s="320" t="s">
        <v>180</v>
      </c>
      <c r="E161" s="321" t="s">
        <v>54</v>
      </c>
      <c r="F161" s="322" t="s">
        <v>123</v>
      </c>
      <c r="G161" s="323" t="s">
        <v>817</v>
      </c>
      <c r="H161" s="322" t="s">
        <v>109</v>
      </c>
      <c r="I161" s="324">
        <v>6.5</v>
      </c>
      <c r="J161" s="325"/>
      <c r="K161" s="325"/>
      <c r="L161" s="325"/>
      <c r="M161" s="325"/>
      <c r="N161" s="325">
        <v>30</v>
      </c>
      <c r="O161" s="326"/>
      <c r="P161" s="326"/>
      <c r="Q161" s="326">
        <v>5</v>
      </c>
      <c r="R161" s="326"/>
      <c r="S161" s="327"/>
    </row>
    <row r="162" spans="1:19" ht="15" customHeight="1">
      <c r="A162" s="561">
        <f t="shared" si="2"/>
        <v>162</v>
      </c>
      <c r="B162" s="31">
        <v>102</v>
      </c>
      <c r="C162" s="249" t="s">
        <v>850</v>
      </c>
      <c r="D162" s="320" t="s">
        <v>180</v>
      </c>
      <c r="E162" s="321" t="s">
        <v>54</v>
      </c>
      <c r="F162" s="322" t="s">
        <v>123</v>
      </c>
      <c r="G162" s="323" t="s">
        <v>921</v>
      </c>
      <c r="H162" s="322" t="s">
        <v>109</v>
      </c>
      <c r="I162" s="324">
        <v>6.5</v>
      </c>
      <c r="J162" s="325"/>
      <c r="K162" s="325"/>
      <c r="L162" s="325"/>
      <c r="M162" s="325"/>
      <c r="N162" s="325">
        <v>31</v>
      </c>
      <c r="O162" s="326"/>
      <c r="P162" s="326"/>
      <c r="Q162" s="326">
        <v>5</v>
      </c>
      <c r="R162" s="326"/>
      <c r="S162" s="327"/>
    </row>
    <row r="163" spans="1:19" ht="15" customHeight="1">
      <c r="A163" s="561">
        <f t="shared" si="2"/>
        <v>163</v>
      </c>
      <c r="B163" s="31">
        <v>102</v>
      </c>
      <c r="C163" s="249" t="s">
        <v>850</v>
      </c>
      <c r="D163" s="320" t="s">
        <v>180</v>
      </c>
      <c r="E163" s="321" t="s">
        <v>54</v>
      </c>
      <c r="F163" s="322" t="s">
        <v>489</v>
      </c>
      <c r="G163" s="323" t="s">
        <v>922</v>
      </c>
      <c r="H163" s="322"/>
      <c r="I163" s="324">
        <v>0</v>
      </c>
      <c r="J163" s="325"/>
      <c r="K163" s="325"/>
      <c r="L163" s="325">
        <v>10</v>
      </c>
      <c r="M163" s="325"/>
      <c r="N163" s="325"/>
      <c r="O163" s="326"/>
      <c r="P163" s="326"/>
      <c r="Q163" s="326"/>
      <c r="R163" s="326"/>
      <c r="S163" s="327" t="s">
        <v>1149</v>
      </c>
    </row>
    <row r="164" spans="1:19" ht="15" customHeight="1">
      <c r="A164" s="561">
        <f t="shared" si="2"/>
        <v>164</v>
      </c>
      <c r="B164" s="31">
        <v>102</v>
      </c>
      <c r="C164" s="249" t="s">
        <v>850</v>
      </c>
      <c r="D164" s="320" t="s">
        <v>180</v>
      </c>
      <c r="E164" s="321" t="s">
        <v>54</v>
      </c>
      <c r="F164" s="322" t="s">
        <v>489</v>
      </c>
      <c r="G164" s="323" t="s">
        <v>923</v>
      </c>
      <c r="H164" s="322"/>
      <c r="I164" s="324">
        <v>0</v>
      </c>
      <c r="J164" s="325"/>
      <c r="K164" s="325"/>
      <c r="L164" s="325">
        <v>20</v>
      </c>
      <c r="M164" s="325"/>
      <c r="N164" s="325"/>
      <c r="O164" s="326"/>
      <c r="P164" s="326"/>
      <c r="Q164" s="326"/>
      <c r="R164" s="326"/>
      <c r="S164" s="327" t="s">
        <v>1149</v>
      </c>
    </row>
    <row r="165" spans="1:19" ht="15" customHeight="1">
      <c r="A165" s="561">
        <f t="shared" si="2"/>
        <v>165</v>
      </c>
      <c r="B165" s="31">
        <v>102</v>
      </c>
      <c r="C165" s="249" t="s">
        <v>850</v>
      </c>
      <c r="D165" s="320" t="s">
        <v>180</v>
      </c>
      <c r="E165" s="321" t="s">
        <v>54</v>
      </c>
      <c r="F165" s="322" t="s">
        <v>489</v>
      </c>
      <c r="G165" s="323" t="s">
        <v>924</v>
      </c>
      <c r="H165" s="322" t="s">
        <v>176</v>
      </c>
      <c r="I165" s="324">
        <v>5.2</v>
      </c>
      <c r="J165" s="325"/>
      <c r="K165" s="325"/>
      <c r="L165" s="325"/>
      <c r="M165" s="325"/>
      <c r="N165" s="325">
        <v>5</v>
      </c>
      <c r="O165" s="326"/>
      <c r="P165" s="326"/>
      <c r="Q165" s="326">
        <v>4</v>
      </c>
      <c r="R165" s="326"/>
      <c r="S165" s="327" t="s">
        <v>966</v>
      </c>
    </row>
    <row r="166" spans="1:19" ht="15" customHeight="1">
      <c r="A166" s="561">
        <f t="shared" si="2"/>
        <v>166</v>
      </c>
      <c r="B166" s="31">
        <v>102</v>
      </c>
      <c r="C166" s="249" t="s">
        <v>850</v>
      </c>
      <c r="D166" s="320" t="s">
        <v>180</v>
      </c>
      <c r="E166" s="321" t="s">
        <v>54</v>
      </c>
      <c r="F166" s="322" t="s">
        <v>489</v>
      </c>
      <c r="G166" s="323" t="s">
        <v>925</v>
      </c>
      <c r="H166" s="322"/>
      <c r="I166" s="324">
        <v>0.5</v>
      </c>
      <c r="J166" s="325"/>
      <c r="K166" s="325"/>
      <c r="L166" s="325">
        <v>0.5</v>
      </c>
      <c r="M166" s="325"/>
      <c r="N166" s="325"/>
      <c r="O166" s="326"/>
      <c r="P166" s="326">
        <v>0.5</v>
      </c>
      <c r="Q166" s="326"/>
      <c r="R166" s="326"/>
      <c r="S166" s="327"/>
    </row>
    <row r="167" spans="1:19" ht="15" customHeight="1">
      <c r="A167" s="561">
        <f t="shared" si="2"/>
        <v>167</v>
      </c>
      <c r="B167" s="31">
        <v>102</v>
      </c>
      <c r="C167" s="249" t="s">
        <v>850</v>
      </c>
      <c r="D167" s="320" t="s">
        <v>180</v>
      </c>
      <c r="E167" s="321" t="s">
        <v>54</v>
      </c>
      <c r="F167" s="322" t="s">
        <v>489</v>
      </c>
      <c r="G167" s="323" t="s">
        <v>926</v>
      </c>
      <c r="H167" s="322" t="s">
        <v>174</v>
      </c>
      <c r="I167" s="324">
        <v>0</v>
      </c>
      <c r="J167" s="325"/>
      <c r="K167" s="325"/>
      <c r="L167" s="325"/>
      <c r="M167" s="325"/>
      <c r="N167" s="325"/>
      <c r="O167" s="326"/>
      <c r="P167" s="326"/>
      <c r="Q167" s="326"/>
      <c r="R167" s="326"/>
      <c r="S167" s="327" t="s">
        <v>1350</v>
      </c>
    </row>
    <row r="168" spans="1:19" ht="15" customHeight="1">
      <c r="A168" s="561">
        <f t="shared" si="2"/>
        <v>168</v>
      </c>
      <c r="B168" s="31">
        <v>102</v>
      </c>
      <c r="C168" s="249" t="s">
        <v>850</v>
      </c>
      <c r="D168" s="320" t="s">
        <v>180</v>
      </c>
      <c r="E168" s="321" t="s">
        <v>622</v>
      </c>
      <c r="F168" s="322" t="s">
        <v>623</v>
      </c>
      <c r="G168" s="323" t="s">
        <v>298</v>
      </c>
      <c r="H168" s="322"/>
      <c r="I168" s="324">
        <v>0</v>
      </c>
      <c r="J168" s="325"/>
      <c r="K168" s="325"/>
      <c r="L168" s="325"/>
      <c r="M168" s="325"/>
      <c r="N168" s="325"/>
      <c r="O168" s="326"/>
      <c r="P168" s="326"/>
      <c r="Q168" s="326"/>
      <c r="R168" s="326"/>
      <c r="S168" s="327" t="s">
        <v>614</v>
      </c>
    </row>
    <row r="169" spans="1:19" ht="15" customHeight="1">
      <c r="A169" s="561">
        <f t="shared" si="2"/>
        <v>169</v>
      </c>
      <c r="B169" s="31">
        <v>102</v>
      </c>
      <c r="C169" s="249" t="s">
        <v>850</v>
      </c>
      <c r="D169" s="320" t="s">
        <v>180</v>
      </c>
      <c r="E169" s="321" t="s">
        <v>622</v>
      </c>
      <c r="F169" s="322" t="s">
        <v>927</v>
      </c>
      <c r="G169" s="323" t="s">
        <v>101</v>
      </c>
      <c r="H169" s="322"/>
      <c r="I169" s="324">
        <v>0</v>
      </c>
      <c r="J169" s="325"/>
      <c r="K169" s="325"/>
      <c r="L169" s="325"/>
      <c r="M169" s="325"/>
      <c r="N169" s="325"/>
      <c r="O169" s="326"/>
      <c r="P169" s="326"/>
      <c r="Q169" s="326"/>
      <c r="R169" s="326"/>
      <c r="S169" s="327" t="s">
        <v>614</v>
      </c>
    </row>
    <row r="170" spans="1:19" ht="15" customHeight="1">
      <c r="A170" s="561">
        <f t="shared" si="2"/>
        <v>170</v>
      </c>
      <c r="B170" s="31">
        <v>102</v>
      </c>
      <c r="C170" s="249" t="s">
        <v>850</v>
      </c>
      <c r="D170" s="320" t="s">
        <v>180</v>
      </c>
      <c r="E170" s="321" t="s">
        <v>622</v>
      </c>
      <c r="F170" s="322" t="s">
        <v>547</v>
      </c>
      <c r="G170" s="323" t="s">
        <v>830</v>
      </c>
      <c r="H170" s="322"/>
      <c r="I170" s="324">
        <v>0</v>
      </c>
      <c r="J170" s="325"/>
      <c r="K170" s="325"/>
      <c r="L170" s="325"/>
      <c r="M170" s="325"/>
      <c r="N170" s="325"/>
      <c r="O170" s="326"/>
      <c r="P170" s="326"/>
      <c r="Q170" s="326"/>
      <c r="R170" s="326"/>
      <c r="S170" s="327" t="s">
        <v>967</v>
      </c>
    </row>
    <row r="171" spans="1:19" ht="15" customHeight="1">
      <c r="A171" s="561">
        <f t="shared" si="2"/>
        <v>171</v>
      </c>
      <c r="B171" s="31">
        <v>102</v>
      </c>
      <c r="C171" s="249" t="s">
        <v>850</v>
      </c>
      <c r="D171" s="320" t="s">
        <v>180</v>
      </c>
      <c r="E171" s="321" t="s">
        <v>622</v>
      </c>
      <c r="F171" s="322" t="s">
        <v>175</v>
      </c>
      <c r="G171" s="323" t="s">
        <v>928</v>
      </c>
      <c r="H171" s="322" t="s">
        <v>19</v>
      </c>
      <c r="I171" s="324">
        <v>1.3</v>
      </c>
      <c r="J171" s="325"/>
      <c r="K171" s="325"/>
      <c r="L171" s="325">
        <v>12</v>
      </c>
      <c r="M171" s="325"/>
      <c r="N171" s="325"/>
      <c r="O171" s="326"/>
      <c r="P171" s="326"/>
      <c r="Q171" s="326"/>
      <c r="R171" s="326">
        <v>1</v>
      </c>
      <c r="S171" s="327" t="s">
        <v>1150</v>
      </c>
    </row>
    <row r="172" spans="1:19" ht="15" customHeight="1">
      <c r="A172" s="561">
        <f t="shared" si="2"/>
        <v>172</v>
      </c>
      <c r="B172" s="31">
        <v>102</v>
      </c>
      <c r="C172" s="249" t="s">
        <v>850</v>
      </c>
      <c r="D172" s="320" t="s">
        <v>180</v>
      </c>
      <c r="E172" s="321" t="s">
        <v>622</v>
      </c>
      <c r="F172" s="322" t="s">
        <v>631</v>
      </c>
      <c r="G172" s="323" t="s">
        <v>929</v>
      </c>
      <c r="H172" s="322" t="s">
        <v>19</v>
      </c>
      <c r="I172" s="324">
        <v>1791.4</v>
      </c>
      <c r="J172" s="325"/>
      <c r="K172" s="325"/>
      <c r="L172" s="325">
        <v>1384</v>
      </c>
      <c r="M172" s="325"/>
      <c r="N172" s="325"/>
      <c r="O172" s="326"/>
      <c r="P172" s="326">
        <v>1378</v>
      </c>
      <c r="Q172" s="326"/>
      <c r="R172" s="326"/>
      <c r="S172" s="327"/>
    </row>
    <row r="173" spans="1:19" ht="15" customHeight="1">
      <c r="A173" s="561">
        <f t="shared" si="2"/>
        <v>173</v>
      </c>
      <c r="B173" s="31">
        <v>102</v>
      </c>
      <c r="C173" s="249" t="s">
        <v>850</v>
      </c>
      <c r="D173" s="320" t="s">
        <v>180</v>
      </c>
      <c r="E173" s="321" t="s">
        <v>622</v>
      </c>
      <c r="F173" s="322" t="s">
        <v>628</v>
      </c>
      <c r="G173" s="323" t="s">
        <v>930</v>
      </c>
      <c r="H173" s="322" t="s">
        <v>19</v>
      </c>
      <c r="I173" s="324">
        <v>572</v>
      </c>
      <c r="J173" s="325"/>
      <c r="K173" s="325"/>
      <c r="L173" s="325">
        <v>616</v>
      </c>
      <c r="M173" s="325"/>
      <c r="N173" s="325"/>
      <c r="O173" s="326"/>
      <c r="P173" s="326">
        <v>572</v>
      </c>
      <c r="Q173" s="326"/>
      <c r="R173" s="326"/>
      <c r="S173" s="327"/>
    </row>
    <row r="174" spans="1:19" ht="15" customHeight="1">
      <c r="A174" s="561">
        <f t="shared" si="2"/>
        <v>174</v>
      </c>
      <c r="B174" s="31">
        <v>102</v>
      </c>
      <c r="C174" s="249" t="s">
        <v>850</v>
      </c>
      <c r="D174" s="320" t="s">
        <v>180</v>
      </c>
      <c r="E174" s="321" t="s">
        <v>622</v>
      </c>
      <c r="F174" s="322" t="s">
        <v>628</v>
      </c>
      <c r="G174" s="323" t="s">
        <v>931</v>
      </c>
      <c r="H174" s="322" t="s">
        <v>19</v>
      </c>
      <c r="I174" s="324">
        <v>288</v>
      </c>
      <c r="J174" s="325"/>
      <c r="K174" s="325"/>
      <c r="L174" s="325">
        <v>610</v>
      </c>
      <c r="M174" s="325"/>
      <c r="N174" s="325"/>
      <c r="O174" s="326"/>
      <c r="P174" s="326">
        <v>288</v>
      </c>
      <c r="Q174" s="326"/>
      <c r="R174" s="326"/>
      <c r="S174" s="327"/>
    </row>
    <row r="175" spans="1:19" ht="15" customHeight="1">
      <c r="A175" s="561">
        <f t="shared" si="2"/>
        <v>175</v>
      </c>
      <c r="B175" s="31">
        <v>102</v>
      </c>
      <c r="C175" s="249" t="s">
        <v>850</v>
      </c>
      <c r="D175" s="320" t="s">
        <v>180</v>
      </c>
      <c r="E175" s="321" t="s">
        <v>622</v>
      </c>
      <c r="F175" s="322" t="s">
        <v>631</v>
      </c>
      <c r="G175" s="323" t="s">
        <v>678</v>
      </c>
      <c r="H175" s="322"/>
      <c r="I175" s="324">
        <v>37</v>
      </c>
      <c r="J175" s="325"/>
      <c r="K175" s="325"/>
      <c r="L175" s="325">
        <v>49</v>
      </c>
      <c r="M175" s="325"/>
      <c r="N175" s="325"/>
      <c r="O175" s="326"/>
      <c r="P175" s="326">
        <v>37</v>
      </c>
      <c r="Q175" s="326"/>
      <c r="R175" s="326"/>
      <c r="S175" s="327"/>
    </row>
    <row r="176" spans="1:19" ht="15" customHeight="1">
      <c r="A176" s="561">
        <f t="shared" si="2"/>
        <v>176</v>
      </c>
      <c r="B176" s="31">
        <v>102</v>
      </c>
      <c r="C176" s="249" t="s">
        <v>850</v>
      </c>
      <c r="D176" s="320" t="s">
        <v>180</v>
      </c>
      <c r="E176" s="321" t="s">
        <v>622</v>
      </c>
      <c r="F176" s="322" t="s">
        <v>547</v>
      </c>
      <c r="G176" s="323" t="s">
        <v>933</v>
      </c>
      <c r="H176" s="322" t="s">
        <v>19</v>
      </c>
      <c r="I176" s="324">
        <v>0</v>
      </c>
      <c r="J176" s="325"/>
      <c r="K176" s="325"/>
      <c r="L176" s="325"/>
      <c r="M176" s="325"/>
      <c r="N176" s="325"/>
      <c r="O176" s="326"/>
      <c r="P176" s="326"/>
      <c r="Q176" s="326"/>
      <c r="R176" s="326"/>
      <c r="S176" s="327" t="s">
        <v>968</v>
      </c>
    </row>
    <row r="177" spans="1:19" ht="15" customHeight="1">
      <c r="A177" s="561">
        <f t="shared" si="2"/>
        <v>177</v>
      </c>
      <c r="B177" s="31">
        <v>102</v>
      </c>
      <c r="C177" s="249" t="s">
        <v>850</v>
      </c>
      <c r="D177" s="320" t="s">
        <v>180</v>
      </c>
      <c r="E177" s="321" t="s">
        <v>622</v>
      </c>
      <c r="F177" s="322" t="s">
        <v>175</v>
      </c>
      <c r="G177" s="323" t="s">
        <v>934</v>
      </c>
      <c r="H177" s="322" t="s">
        <v>19</v>
      </c>
      <c r="I177" s="324">
        <v>2.6</v>
      </c>
      <c r="J177" s="325"/>
      <c r="K177" s="325"/>
      <c r="L177" s="325">
        <v>9</v>
      </c>
      <c r="M177" s="325"/>
      <c r="N177" s="325"/>
      <c r="O177" s="326"/>
      <c r="P177" s="326">
        <v>2</v>
      </c>
      <c r="Q177" s="326"/>
      <c r="R177" s="326"/>
      <c r="S177" s="327"/>
    </row>
    <row r="178" spans="1:19" ht="15" customHeight="1">
      <c r="A178" s="561">
        <f t="shared" si="2"/>
        <v>178</v>
      </c>
      <c r="B178" s="31">
        <v>102</v>
      </c>
      <c r="C178" s="249" t="s">
        <v>850</v>
      </c>
      <c r="D178" s="320" t="s">
        <v>180</v>
      </c>
      <c r="E178" s="321" t="s">
        <v>622</v>
      </c>
      <c r="F178" s="322" t="s">
        <v>631</v>
      </c>
      <c r="G178" s="323" t="s">
        <v>935</v>
      </c>
      <c r="H178" s="322" t="s">
        <v>19</v>
      </c>
      <c r="I178" s="324">
        <v>561</v>
      </c>
      <c r="J178" s="325"/>
      <c r="K178" s="325"/>
      <c r="L178" s="325">
        <v>605</v>
      </c>
      <c r="M178" s="325"/>
      <c r="N178" s="325"/>
      <c r="O178" s="326"/>
      <c r="P178" s="326">
        <v>561</v>
      </c>
      <c r="Q178" s="326"/>
      <c r="R178" s="326"/>
      <c r="S178" s="327"/>
    </row>
    <row r="179" spans="1:19" ht="15" customHeight="1">
      <c r="A179" s="561">
        <f t="shared" si="2"/>
        <v>179</v>
      </c>
      <c r="B179" s="31">
        <v>102</v>
      </c>
      <c r="C179" s="249" t="s">
        <v>850</v>
      </c>
      <c r="D179" s="320" t="s">
        <v>180</v>
      </c>
      <c r="E179" s="321" t="s">
        <v>622</v>
      </c>
      <c r="F179" s="322" t="s">
        <v>936</v>
      </c>
      <c r="G179" s="323" t="s">
        <v>835</v>
      </c>
      <c r="H179" s="322" t="s">
        <v>19</v>
      </c>
      <c r="I179" s="324">
        <v>18</v>
      </c>
      <c r="J179" s="325"/>
      <c r="K179" s="325"/>
      <c r="L179" s="325">
        <v>37</v>
      </c>
      <c r="M179" s="325"/>
      <c r="N179" s="325"/>
      <c r="O179" s="326"/>
      <c r="P179" s="326">
        <v>18</v>
      </c>
      <c r="Q179" s="326"/>
      <c r="R179" s="326"/>
      <c r="S179" s="327"/>
    </row>
    <row r="180" spans="1:19" ht="15" customHeight="1">
      <c r="A180" s="561">
        <f t="shared" si="2"/>
        <v>180</v>
      </c>
      <c r="B180" s="31">
        <v>102</v>
      </c>
      <c r="C180" s="249" t="s">
        <v>850</v>
      </c>
      <c r="D180" s="320" t="s">
        <v>180</v>
      </c>
      <c r="E180" s="321" t="s">
        <v>622</v>
      </c>
      <c r="F180" s="322" t="s">
        <v>838</v>
      </c>
      <c r="G180" s="323" t="s">
        <v>937</v>
      </c>
      <c r="H180" s="322" t="s">
        <v>19</v>
      </c>
      <c r="I180" s="324">
        <v>29</v>
      </c>
      <c r="J180" s="325"/>
      <c r="K180" s="325"/>
      <c r="L180" s="325">
        <v>48</v>
      </c>
      <c r="M180" s="325"/>
      <c r="N180" s="325"/>
      <c r="O180" s="326"/>
      <c r="P180" s="326">
        <v>29</v>
      </c>
      <c r="Q180" s="326"/>
      <c r="R180" s="326"/>
      <c r="S180" s="327"/>
    </row>
    <row r="181" spans="1:19" ht="15" customHeight="1">
      <c r="A181" s="561">
        <f t="shared" si="2"/>
        <v>181</v>
      </c>
      <c r="B181" s="31">
        <v>102</v>
      </c>
      <c r="C181" s="249" t="s">
        <v>850</v>
      </c>
      <c r="D181" s="320" t="s">
        <v>180</v>
      </c>
      <c r="E181" s="321" t="s">
        <v>622</v>
      </c>
      <c r="F181" s="322" t="s">
        <v>938</v>
      </c>
      <c r="G181" s="323" t="s">
        <v>939</v>
      </c>
      <c r="H181" s="322" t="s">
        <v>19</v>
      </c>
      <c r="I181" s="324">
        <v>34</v>
      </c>
      <c r="J181" s="325"/>
      <c r="K181" s="325"/>
      <c r="L181" s="325">
        <v>38</v>
      </c>
      <c r="M181" s="325"/>
      <c r="N181" s="325"/>
      <c r="O181" s="326"/>
      <c r="P181" s="326">
        <v>34</v>
      </c>
      <c r="Q181" s="326"/>
      <c r="R181" s="326"/>
      <c r="S181" s="327"/>
    </row>
    <row r="182" spans="1:19" ht="15" customHeight="1">
      <c r="A182" s="561">
        <f t="shared" si="2"/>
        <v>182</v>
      </c>
      <c r="B182" s="31">
        <v>102</v>
      </c>
      <c r="C182" s="249" t="s">
        <v>850</v>
      </c>
      <c r="D182" s="320" t="s">
        <v>180</v>
      </c>
      <c r="E182" s="321" t="s">
        <v>622</v>
      </c>
      <c r="F182" s="322" t="s">
        <v>940</v>
      </c>
      <c r="G182" s="323" t="s">
        <v>941</v>
      </c>
      <c r="H182" s="322" t="s">
        <v>19</v>
      </c>
      <c r="I182" s="324">
        <v>36</v>
      </c>
      <c r="J182" s="325"/>
      <c r="K182" s="325"/>
      <c r="L182" s="325">
        <v>38</v>
      </c>
      <c r="M182" s="325"/>
      <c r="N182" s="325"/>
      <c r="O182" s="326"/>
      <c r="P182" s="326">
        <v>36</v>
      </c>
      <c r="Q182" s="326"/>
      <c r="R182" s="326"/>
      <c r="S182" s="327"/>
    </row>
    <row r="183" spans="1:19" ht="15" customHeight="1">
      <c r="A183" s="561">
        <f t="shared" si="2"/>
        <v>183</v>
      </c>
      <c r="B183" s="31">
        <v>102</v>
      </c>
      <c r="C183" s="249" t="s">
        <v>850</v>
      </c>
      <c r="D183" s="320" t="s">
        <v>180</v>
      </c>
      <c r="E183" s="321" t="s">
        <v>622</v>
      </c>
      <c r="F183" s="322" t="s">
        <v>942</v>
      </c>
      <c r="G183" s="323" t="s">
        <v>943</v>
      </c>
      <c r="H183" s="322"/>
      <c r="I183" s="324">
        <v>49</v>
      </c>
      <c r="J183" s="325"/>
      <c r="K183" s="325"/>
      <c r="L183" s="325">
        <v>56</v>
      </c>
      <c r="M183" s="325"/>
      <c r="N183" s="325"/>
      <c r="O183" s="326"/>
      <c r="P183" s="326">
        <v>49</v>
      </c>
      <c r="Q183" s="326"/>
      <c r="R183" s="326"/>
      <c r="S183" s="327"/>
    </row>
    <row r="184" spans="1:19" ht="15" customHeight="1">
      <c r="A184" s="561">
        <f t="shared" si="2"/>
        <v>184</v>
      </c>
      <c r="B184" s="31">
        <v>102</v>
      </c>
      <c r="C184" s="249" t="s">
        <v>850</v>
      </c>
      <c r="D184" s="320" t="s">
        <v>180</v>
      </c>
      <c r="E184" s="321" t="s">
        <v>622</v>
      </c>
      <c r="F184" s="322" t="s">
        <v>598</v>
      </c>
      <c r="G184" s="323" t="s">
        <v>840</v>
      </c>
      <c r="H184" s="322" t="s">
        <v>109</v>
      </c>
      <c r="I184" s="324">
        <v>29.900000000000002</v>
      </c>
      <c r="J184" s="325"/>
      <c r="K184" s="325"/>
      <c r="L184" s="325"/>
      <c r="M184" s="325"/>
      <c r="N184" s="325">
        <v>75</v>
      </c>
      <c r="O184" s="326"/>
      <c r="P184" s="326">
        <v>23</v>
      </c>
      <c r="Q184" s="326"/>
      <c r="R184" s="326"/>
      <c r="S184" s="327"/>
    </row>
    <row r="185" spans="1:19" ht="15" customHeight="1">
      <c r="A185" s="561">
        <f t="shared" si="2"/>
        <v>185</v>
      </c>
      <c r="B185" s="31">
        <v>102</v>
      </c>
      <c r="C185" s="249" t="s">
        <v>850</v>
      </c>
      <c r="D185" s="320" t="s">
        <v>180</v>
      </c>
      <c r="E185" s="321" t="s">
        <v>622</v>
      </c>
      <c r="F185" s="322" t="s">
        <v>648</v>
      </c>
      <c r="G185" s="323" t="s">
        <v>841</v>
      </c>
      <c r="H185" s="322" t="s">
        <v>19</v>
      </c>
      <c r="I185" s="324">
        <v>28</v>
      </c>
      <c r="J185" s="325"/>
      <c r="K185" s="325"/>
      <c r="L185" s="325">
        <v>42</v>
      </c>
      <c r="M185" s="325"/>
      <c r="N185" s="325"/>
      <c r="O185" s="326"/>
      <c r="P185" s="326">
        <v>28</v>
      </c>
      <c r="Q185" s="326"/>
      <c r="R185" s="326"/>
      <c r="S185" s="327"/>
    </row>
    <row r="186" spans="1:19" ht="15" customHeight="1">
      <c r="A186" s="561">
        <f t="shared" si="2"/>
        <v>186</v>
      </c>
      <c r="B186" s="31">
        <v>102</v>
      </c>
      <c r="C186" s="249" t="s">
        <v>850</v>
      </c>
      <c r="D186" s="320" t="s">
        <v>180</v>
      </c>
      <c r="E186" s="321" t="s">
        <v>622</v>
      </c>
      <c r="F186" s="322" t="s">
        <v>598</v>
      </c>
      <c r="G186" s="323" t="s">
        <v>681</v>
      </c>
      <c r="H186" s="322" t="s">
        <v>109</v>
      </c>
      <c r="I186" s="324">
        <v>19.5</v>
      </c>
      <c r="J186" s="325"/>
      <c r="K186" s="325"/>
      <c r="L186" s="325"/>
      <c r="M186" s="325"/>
      <c r="N186" s="325">
        <v>52</v>
      </c>
      <c r="O186" s="326"/>
      <c r="P186" s="326">
        <v>15</v>
      </c>
      <c r="Q186" s="326"/>
      <c r="R186" s="326"/>
      <c r="S186" s="327"/>
    </row>
    <row r="187" spans="1:19" ht="15" customHeight="1">
      <c r="A187" s="561">
        <f t="shared" si="2"/>
        <v>187</v>
      </c>
      <c r="B187" s="31">
        <v>102</v>
      </c>
      <c r="C187" s="249" t="s">
        <v>850</v>
      </c>
      <c r="D187" s="320" t="s">
        <v>180</v>
      </c>
      <c r="E187" s="321" t="s">
        <v>622</v>
      </c>
      <c r="F187" s="322" t="s">
        <v>944</v>
      </c>
      <c r="G187" s="323" t="s">
        <v>945</v>
      </c>
      <c r="H187" s="322" t="s">
        <v>109</v>
      </c>
      <c r="I187" s="324">
        <v>5.2</v>
      </c>
      <c r="J187" s="325"/>
      <c r="K187" s="325"/>
      <c r="L187" s="325"/>
      <c r="M187" s="325"/>
      <c r="N187" s="325">
        <v>18</v>
      </c>
      <c r="O187" s="326"/>
      <c r="P187" s="326">
        <v>4</v>
      </c>
      <c r="Q187" s="326"/>
      <c r="R187" s="326"/>
      <c r="S187" s="327"/>
    </row>
    <row r="188" spans="1:19" ht="15" customHeight="1">
      <c r="A188" s="561">
        <f t="shared" si="2"/>
        <v>188</v>
      </c>
      <c r="B188" s="31">
        <v>102</v>
      </c>
      <c r="C188" s="249" t="s">
        <v>850</v>
      </c>
      <c r="D188" s="320" t="s">
        <v>180</v>
      </c>
      <c r="E188" s="321" t="s">
        <v>622</v>
      </c>
      <c r="F188" s="322" t="s">
        <v>648</v>
      </c>
      <c r="G188" s="323" t="s">
        <v>682</v>
      </c>
      <c r="H188" s="322" t="s">
        <v>19</v>
      </c>
      <c r="I188" s="324">
        <v>33</v>
      </c>
      <c r="J188" s="325"/>
      <c r="K188" s="325"/>
      <c r="L188" s="325">
        <v>56</v>
      </c>
      <c r="M188" s="325"/>
      <c r="N188" s="325"/>
      <c r="O188" s="326"/>
      <c r="P188" s="326">
        <v>33</v>
      </c>
      <c r="Q188" s="326"/>
      <c r="R188" s="326"/>
      <c r="S188" s="327"/>
    </row>
    <row r="189" spans="1:19" ht="15" customHeight="1">
      <c r="A189" s="561">
        <f t="shared" si="2"/>
        <v>189</v>
      </c>
      <c r="B189" s="31">
        <v>102</v>
      </c>
      <c r="C189" s="249" t="s">
        <v>850</v>
      </c>
      <c r="D189" s="320" t="s">
        <v>180</v>
      </c>
      <c r="E189" s="321" t="s">
        <v>622</v>
      </c>
      <c r="F189" s="322" t="s">
        <v>168</v>
      </c>
      <c r="G189" s="323" t="s">
        <v>844</v>
      </c>
      <c r="H189" s="322" t="s">
        <v>109</v>
      </c>
      <c r="I189" s="324">
        <v>0</v>
      </c>
      <c r="J189" s="325"/>
      <c r="K189" s="325"/>
      <c r="L189" s="325"/>
      <c r="M189" s="325"/>
      <c r="N189" s="325"/>
      <c r="O189" s="326"/>
      <c r="P189" s="326"/>
      <c r="Q189" s="326"/>
      <c r="R189" s="326"/>
      <c r="S189" s="327" t="s">
        <v>969</v>
      </c>
    </row>
    <row r="190" spans="1:19" ht="15" customHeight="1">
      <c r="A190" s="561">
        <f t="shared" si="2"/>
        <v>190</v>
      </c>
      <c r="B190" s="31">
        <v>102</v>
      </c>
      <c r="C190" s="249" t="s">
        <v>850</v>
      </c>
      <c r="D190" s="320" t="s">
        <v>180</v>
      </c>
      <c r="E190" s="321" t="s">
        <v>622</v>
      </c>
      <c r="F190" s="322" t="s">
        <v>168</v>
      </c>
      <c r="G190" s="323" t="s">
        <v>946</v>
      </c>
      <c r="H190" s="322" t="s">
        <v>109</v>
      </c>
      <c r="I190" s="324">
        <v>0</v>
      </c>
      <c r="J190" s="325"/>
      <c r="K190" s="325"/>
      <c r="L190" s="325"/>
      <c r="M190" s="325"/>
      <c r="N190" s="325"/>
      <c r="O190" s="326"/>
      <c r="P190" s="326"/>
      <c r="Q190" s="326"/>
      <c r="R190" s="326"/>
      <c r="S190" s="327" t="s">
        <v>970</v>
      </c>
    </row>
    <row r="191" spans="1:19" ht="15" customHeight="1">
      <c r="A191" s="561">
        <f t="shared" si="2"/>
        <v>191</v>
      </c>
      <c r="B191" s="31">
        <v>102</v>
      </c>
      <c r="C191" s="249" t="s">
        <v>850</v>
      </c>
      <c r="D191" s="320" t="s">
        <v>180</v>
      </c>
      <c r="E191" s="321" t="s">
        <v>622</v>
      </c>
      <c r="F191" s="322" t="s">
        <v>947</v>
      </c>
      <c r="G191" s="323" t="s">
        <v>169</v>
      </c>
      <c r="H191" s="322"/>
      <c r="I191" s="324">
        <v>19</v>
      </c>
      <c r="J191" s="325"/>
      <c r="K191" s="325"/>
      <c r="L191" s="325">
        <v>36</v>
      </c>
      <c r="M191" s="325"/>
      <c r="N191" s="325"/>
      <c r="O191" s="326"/>
      <c r="P191" s="326">
        <v>19</v>
      </c>
      <c r="Q191" s="326"/>
      <c r="R191" s="326"/>
      <c r="S191" s="327"/>
    </row>
    <row r="192" spans="1:19" ht="15" customHeight="1">
      <c r="A192" s="561">
        <f t="shared" si="2"/>
        <v>192</v>
      </c>
      <c r="B192" s="31">
        <v>103</v>
      </c>
      <c r="C192" s="249" t="s">
        <v>718</v>
      </c>
      <c r="D192" s="320" t="s">
        <v>180</v>
      </c>
      <c r="E192" s="321" t="s">
        <v>717</v>
      </c>
      <c r="F192" s="322" t="s">
        <v>719</v>
      </c>
      <c r="G192" s="323" t="s">
        <v>720</v>
      </c>
      <c r="H192" s="322" t="s">
        <v>174</v>
      </c>
      <c r="I192" s="324"/>
      <c r="J192" s="325">
        <f>(8.5*4)+(6.5*3)+27.5+27.5+8+(8.5*4)+(6.5*7)+(4*2.1)+(8*3.35)+(5*3.35)+(2.1*8)</f>
        <v>264.75</v>
      </c>
      <c r="K192" s="325"/>
      <c r="L192" s="325"/>
      <c r="M192" s="325">
        <f>4*0.3</f>
        <v>1.2</v>
      </c>
      <c r="N192" s="325"/>
      <c r="O192" s="326"/>
      <c r="P192" s="326"/>
      <c r="Q192" s="326">
        <v>101</v>
      </c>
      <c r="R192" s="326"/>
      <c r="S192" s="327"/>
    </row>
    <row r="193" spans="1:19" ht="15" customHeight="1">
      <c r="A193" s="561">
        <f t="shared" si="2"/>
        <v>193</v>
      </c>
      <c r="B193" s="31">
        <v>103</v>
      </c>
      <c r="C193" s="249" t="s">
        <v>718</v>
      </c>
      <c r="D193" s="320" t="s">
        <v>180</v>
      </c>
      <c r="E193" s="321" t="s">
        <v>717</v>
      </c>
      <c r="F193" s="322" t="s">
        <v>721</v>
      </c>
      <c r="G193" s="323" t="s">
        <v>722</v>
      </c>
      <c r="H193" s="322"/>
      <c r="I193" s="324">
        <v>0</v>
      </c>
      <c r="J193" s="325"/>
      <c r="K193" s="325"/>
      <c r="L193" s="325"/>
      <c r="M193" s="325"/>
      <c r="N193" s="325"/>
      <c r="O193" s="326"/>
      <c r="P193" s="326"/>
      <c r="Q193" s="326"/>
      <c r="R193" s="326"/>
      <c r="S193" s="327"/>
    </row>
    <row r="194" spans="1:19" ht="15" customHeight="1">
      <c r="A194" s="561">
        <f t="shared" si="2"/>
        <v>194</v>
      </c>
      <c r="B194" s="31">
        <v>103</v>
      </c>
      <c r="C194" s="249" t="s">
        <v>718</v>
      </c>
      <c r="D194" s="320" t="s">
        <v>180</v>
      </c>
      <c r="E194" s="321" t="s">
        <v>717</v>
      </c>
      <c r="F194" s="322" t="s">
        <v>723</v>
      </c>
      <c r="G194" s="323" t="s">
        <v>385</v>
      </c>
      <c r="H194" s="322" t="s">
        <v>299</v>
      </c>
      <c r="I194" s="324">
        <v>0</v>
      </c>
      <c r="J194" s="325"/>
      <c r="K194" s="325"/>
      <c r="L194" s="325"/>
      <c r="M194" s="325"/>
      <c r="N194" s="325"/>
      <c r="O194" s="326"/>
      <c r="P194" s="326"/>
      <c r="Q194" s="326"/>
      <c r="R194" s="326"/>
      <c r="S194" s="327"/>
    </row>
    <row r="195" spans="1:19" ht="15" customHeight="1">
      <c r="A195" s="561">
        <f t="shared" ref="A195:A258" si="3">1+A194</f>
        <v>195</v>
      </c>
      <c r="B195" s="31">
        <v>103</v>
      </c>
      <c r="C195" s="249" t="s">
        <v>718</v>
      </c>
      <c r="D195" s="320" t="s">
        <v>180</v>
      </c>
      <c r="E195" s="321" t="s">
        <v>717</v>
      </c>
      <c r="F195" s="322" t="s">
        <v>724</v>
      </c>
      <c r="G195" s="323" t="s">
        <v>725</v>
      </c>
      <c r="H195" s="322" t="s">
        <v>109</v>
      </c>
      <c r="I195" s="324">
        <v>0</v>
      </c>
      <c r="J195" s="325"/>
      <c r="K195" s="325"/>
      <c r="L195" s="325"/>
      <c r="M195" s="325"/>
      <c r="N195" s="325"/>
      <c r="O195" s="326"/>
      <c r="P195" s="326"/>
      <c r="Q195" s="326"/>
      <c r="R195" s="326"/>
      <c r="S195" s="327" t="s">
        <v>1330</v>
      </c>
    </row>
    <row r="196" spans="1:19" ht="15" customHeight="1">
      <c r="A196" s="561">
        <f t="shared" si="3"/>
        <v>196</v>
      </c>
      <c r="B196" s="31">
        <v>103</v>
      </c>
      <c r="C196" s="249" t="s">
        <v>718</v>
      </c>
      <c r="D196" s="320" t="s">
        <v>180</v>
      </c>
      <c r="E196" s="321" t="s">
        <v>717</v>
      </c>
      <c r="F196" s="322" t="s">
        <v>724</v>
      </c>
      <c r="G196" s="323" t="s">
        <v>726</v>
      </c>
      <c r="H196" s="322" t="s">
        <v>109</v>
      </c>
      <c r="I196" s="324">
        <v>0</v>
      </c>
      <c r="J196" s="325"/>
      <c r="K196" s="325"/>
      <c r="L196" s="325"/>
      <c r="M196" s="325"/>
      <c r="N196" s="325"/>
      <c r="O196" s="326"/>
      <c r="P196" s="326"/>
      <c r="Q196" s="326"/>
      <c r="R196" s="326"/>
      <c r="S196" s="327" t="s">
        <v>1330</v>
      </c>
    </row>
    <row r="197" spans="1:19" ht="15" customHeight="1">
      <c r="A197" s="561">
        <f t="shared" si="3"/>
        <v>197</v>
      </c>
      <c r="B197" s="31">
        <v>103</v>
      </c>
      <c r="C197" s="249" t="s">
        <v>718</v>
      </c>
      <c r="D197" s="320" t="s">
        <v>180</v>
      </c>
      <c r="E197" s="321" t="s">
        <v>328</v>
      </c>
      <c r="F197" s="322" t="s">
        <v>724</v>
      </c>
      <c r="G197" s="323" t="s">
        <v>727</v>
      </c>
      <c r="H197" s="322"/>
      <c r="I197" s="324">
        <v>0</v>
      </c>
      <c r="J197" s="325"/>
      <c r="K197" s="325"/>
      <c r="L197" s="325"/>
      <c r="M197" s="325"/>
      <c r="N197" s="325"/>
      <c r="O197" s="326"/>
      <c r="P197" s="326"/>
      <c r="Q197" s="326"/>
      <c r="R197" s="326"/>
      <c r="S197" s="327" t="s">
        <v>1330</v>
      </c>
    </row>
    <row r="198" spans="1:19" ht="15" customHeight="1">
      <c r="A198" s="561">
        <f t="shared" si="3"/>
        <v>198</v>
      </c>
      <c r="B198" s="31">
        <v>103</v>
      </c>
      <c r="C198" s="249" t="s">
        <v>718</v>
      </c>
      <c r="D198" s="320" t="s">
        <v>180</v>
      </c>
      <c r="E198" s="321" t="s">
        <v>328</v>
      </c>
      <c r="F198" s="322" t="s">
        <v>724</v>
      </c>
      <c r="G198" s="323" t="s">
        <v>728</v>
      </c>
      <c r="H198" s="322"/>
      <c r="I198" s="324">
        <v>0</v>
      </c>
      <c r="J198" s="325"/>
      <c r="K198" s="325"/>
      <c r="L198" s="325"/>
      <c r="M198" s="325"/>
      <c r="N198" s="325"/>
      <c r="O198" s="326"/>
      <c r="P198" s="326"/>
      <c r="Q198" s="326"/>
      <c r="R198" s="326"/>
      <c r="S198" s="327" t="s">
        <v>1330</v>
      </c>
    </row>
    <row r="199" spans="1:19" ht="15" customHeight="1">
      <c r="A199" s="561">
        <f t="shared" si="3"/>
        <v>199</v>
      </c>
      <c r="B199" s="31">
        <v>103</v>
      </c>
      <c r="C199" s="249" t="s">
        <v>718</v>
      </c>
      <c r="D199" s="320" t="s">
        <v>180</v>
      </c>
      <c r="E199" s="321" t="s">
        <v>358</v>
      </c>
      <c r="F199" s="322" t="s">
        <v>719</v>
      </c>
      <c r="G199" s="323" t="s">
        <v>360</v>
      </c>
      <c r="H199" s="322" t="s">
        <v>821</v>
      </c>
      <c r="I199" s="324">
        <v>27</v>
      </c>
      <c r="J199" s="325"/>
      <c r="K199" s="325"/>
      <c r="L199" s="325"/>
      <c r="M199" s="325"/>
      <c r="N199" s="325"/>
      <c r="O199" s="326"/>
      <c r="P199" s="326"/>
      <c r="Q199" s="326"/>
      <c r="R199" s="326"/>
      <c r="S199" s="327" t="s">
        <v>773</v>
      </c>
    </row>
    <row r="200" spans="1:19" ht="15" customHeight="1">
      <c r="A200" s="561">
        <f t="shared" si="3"/>
        <v>200</v>
      </c>
      <c r="B200" s="31">
        <v>103</v>
      </c>
      <c r="C200" s="249" t="s">
        <v>718</v>
      </c>
      <c r="D200" s="320" t="s">
        <v>180</v>
      </c>
      <c r="E200" s="321" t="s">
        <v>358</v>
      </c>
      <c r="F200" s="322" t="s">
        <v>721</v>
      </c>
      <c r="G200" s="323" t="s">
        <v>363</v>
      </c>
      <c r="H200" s="322" t="s">
        <v>174</v>
      </c>
      <c r="I200" s="324">
        <v>0</v>
      </c>
      <c r="J200" s="325"/>
      <c r="K200" s="325"/>
      <c r="L200" s="325"/>
      <c r="M200" s="325"/>
      <c r="N200" s="325"/>
      <c r="O200" s="326"/>
      <c r="P200" s="326"/>
      <c r="Q200" s="326"/>
      <c r="R200" s="326"/>
      <c r="S200" s="327" t="s">
        <v>774</v>
      </c>
    </row>
    <row r="201" spans="1:19" ht="15" customHeight="1">
      <c r="A201" s="561">
        <f t="shared" si="3"/>
        <v>201</v>
      </c>
      <c r="B201" s="31">
        <v>103</v>
      </c>
      <c r="C201" s="249" t="s">
        <v>718</v>
      </c>
      <c r="D201" s="320" t="s">
        <v>180</v>
      </c>
      <c r="E201" s="321" t="s">
        <v>358</v>
      </c>
      <c r="F201" s="322" t="s">
        <v>364</v>
      </c>
      <c r="G201" s="323" t="s">
        <v>362</v>
      </c>
      <c r="H201" s="322" t="s">
        <v>109</v>
      </c>
      <c r="I201" s="324">
        <v>754</v>
      </c>
      <c r="J201" s="325">
        <f>((2.8+1.6+2.7+5.7+1.9+4.8+3.7+1+2.5+4+11.3+6.5+1.9+18.5+1.1+6.8+3.3+3.3+7.3+1+7.3+1.8+1.9+4.8+1.5+28+0.6+3.1+1.9+5.5+4.5+6)*3)-N201</f>
        <v>368.79999999999995</v>
      </c>
      <c r="K201" s="325"/>
      <c r="L201" s="325"/>
      <c r="M201" s="325">
        <f>10+(1.25*3.1)</f>
        <v>13.875</v>
      </c>
      <c r="N201" s="325">
        <f>60+8+15+24</f>
        <v>107</v>
      </c>
      <c r="O201" s="326"/>
      <c r="P201" s="326"/>
      <c r="Q201" s="326">
        <v>580</v>
      </c>
      <c r="R201" s="326"/>
      <c r="S201" s="327" t="s">
        <v>522</v>
      </c>
    </row>
    <row r="202" spans="1:19" ht="15" customHeight="1">
      <c r="A202" s="561">
        <f t="shared" si="3"/>
        <v>202</v>
      </c>
      <c r="B202" s="31">
        <v>103</v>
      </c>
      <c r="C202" s="249" t="s">
        <v>718</v>
      </c>
      <c r="D202" s="320" t="s">
        <v>180</v>
      </c>
      <c r="E202" s="321" t="s">
        <v>358</v>
      </c>
      <c r="F202" s="322" t="s">
        <v>729</v>
      </c>
      <c r="G202" s="323" t="s">
        <v>366</v>
      </c>
      <c r="H202" s="322" t="s">
        <v>174</v>
      </c>
      <c r="I202" s="324">
        <v>25</v>
      </c>
      <c r="J202" s="325"/>
      <c r="K202" s="325"/>
      <c r="L202" s="325"/>
      <c r="M202" s="325"/>
      <c r="N202" s="325"/>
      <c r="O202" s="326"/>
      <c r="P202" s="326"/>
      <c r="Q202" s="326"/>
      <c r="R202" s="326"/>
      <c r="S202" s="327"/>
    </row>
    <row r="203" spans="1:19" ht="15" customHeight="1">
      <c r="A203" s="561">
        <f t="shared" si="3"/>
        <v>203</v>
      </c>
      <c r="B203" s="31">
        <v>103</v>
      </c>
      <c r="C203" s="249" t="s">
        <v>718</v>
      </c>
      <c r="D203" s="320" t="s">
        <v>180</v>
      </c>
      <c r="E203" s="321" t="s">
        <v>358</v>
      </c>
      <c r="F203" s="322" t="s">
        <v>730</v>
      </c>
      <c r="G203" s="323" t="s">
        <v>367</v>
      </c>
      <c r="H203" s="322" t="s">
        <v>19</v>
      </c>
      <c r="I203" s="324">
        <f>((2.5*12.3))*1.3</f>
        <v>39.975000000000001</v>
      </c>
      <c r="J203" s="325">
        <v>5</v>
      </c>
      <c r="K203" s="325"/>
      <c r="L203" s="325"/>
      <c r="M203" s="325"/>
      <c r="N203" s="325">
        <v>37</v>
      </c>
      <c r="O203" s="326"/>
      <c r="P203" s="326"/>
      <c r="Q203" s="326">
        <v>25</v>
      </c>
      <c r="R203" s="326"/>
      <c r="S203" s="327"/>
    </row>
    <row r="204" spans="1:19" ht="15" customHeight="1">
      <c r="A204" s="561">
        <f t="shared" si="3"/>
        <v>204</v>
      </c>
      <c r="B204" s="31">
        <v>103</v>
      </c>
      <c r="C204" s="249" t="s">
        <v>718</v>
      </c>
      <c r="D204" s="320" t="s">
        <v>180</v>
      </c>
      <c r="E204" s="321" t="s">
        <v>358</v>
      </c>
      <c r="F204" s="322" t="s">
        <v>374</v>
      </c>
      <c r="G204" s="323" t="s">
        <v>368</v>
      </c>
      <c r="H204" s="322" t="s">
        <v>174</v>
      </c>
      <c r="I204" s="324">
        <v>22</v>
      </c>
      <c r="J204" s="325"/>
      <c r="K204" s="325"/>
      <c r="L204" s="325"/>
      <c r="M204" s="325"/>
      <c r="N204" s="325"/>
      <c r="O204" s="326"/>
      <c r="P204" s="326"/>
      <c r="Q204" s="326"/>
      <c r="R204" s="326"/>
      <c r="S204" s="327"/>
    </row>
    <row r="205" spans="1:19" ht="15" customHeight="1">
      <c r="A205" s="561">
        <f t="shared" si="3"/>
        <v>205</v>
      </c>
      <c r="B205" s="31">
        <v>103</v>
      </c>
      <c r="C205" s="249" t="s">
        <v>718</v>
      </c>
      <c r="D205" s="320" t="s">
        <v>180</v>
      </c>
      <c r="E205" s="321" t="s">
        <v>358</v>
      </c>
      <c r="F205" s="322" t="s">
        <v>376</v>
      </c>
      <c r="G205" s="323" t="s">
        <v>370</v>
      </c>
      <c r="H205" s="322" t="s">
        <v>19</v>
      </c>
      <c r="I205" s="324">
        <f>((2.9+4.8)*2.8)*1.3</f>
        <v>28.027999999999995</v>
      </c>
      <c r="J205" s="325"/>
      <c r="K205" s="325"/>
      <c r="L205" s="325"/>
      <c r="M205" s="325"/>
      <c r="N205" s="325"/>
      <c r="O205" s="326"/>
      <c r="P205" s="326"/>
      <c r="Q205" s="326"/>
      <c r="R205" s="326"/>
      <c r="S205" s="327"/>
    </row>
    <row r="206" spans="1:19" ht="15" customHeight="1">
      <c r="A206" s="561">
        <f t="shared" si="3"/>
        <v>206</v>
      </c>
      <c r="B206" s="31">
        <v>103</v>
      </c>
      <c r="C206" s="249" t="s">
        <v>718</v>
      </c>
      <c r="D206" s="320" t="s">
        <v>180</v>
      </c>
      <c r="E206" s="321" t="s">
        <v>358</v>
      </c>
      <c r="F206" s="322" t="s">
        <v>374</v>
      </c>
      <c r="G206" s="323" t="s">
        <v>372</v>
      </c>
      <c r="H206" s="322" t="s">
        <v>174</v>
      </c>
      <c r="I206" s="324">
        <v>34</v>
      </c>
      <c r="J206" s="325"/>
      <c r="K206" s="325"/>
      <c r="L206" s="325"/>
      <c r="M206" s="325"/>
      <c r="N206" s="325"/>
      <c r="O206" s="326"/>
      <c r="P206" s="326"/>
      <c r="Q206" s="326"/>
      <c r="R206" s="326"/>
      <c r="S206" s="327"/>
    </row>
    <row r="207" spans="1:19" ht="15" customHeight="1">
      <c r="A207" s="561">
        <f t="shared" si="3"/>
        <v>207</v>
      </c>
      <c r="B207" s="31">
        <v>103</v>
      </c>
      <c r="C207" s="249" t="s">
        <v>718</v>
      </c>
      <c r="D207" s="320" t="s">
        <v>180</v>
      </c>
      <c r="E207" s="321" t="s">
        <v>358</v>
      </c>
      <c r="F207" s="322" t="s">
        <v>374</v>
      </c>
      <c r="G207" s="323" t="s">
        <v>373</v>
      </c>
      <c r="H207" s="322" t="s">
        <v>174</v>
      </c>
      <c r="I207" s="324">
        <v>34</v>
      </c>
      <c r="J207" s="325"/>
      <c r="K207" s="325"/>
      <c r="L207" s="325"/>
      <c r="M207" s="325"/>
      <c r="N207" s="325"/>
      <c r="O207" s="326"/>
      <c r="P207" s="326"/>
      <c r="Q207" s="326"/>
      <c r="R207" s="326"/>
      <c r="S207" s="327"/>
    </row>
    <row r="208" spans="1:19" ht="15" customHeight="1">
      <c r="A208" s="561">
        <f t="shared" si="3"/>
        <v>208</v>
      </c>
      <c r="B208" s="31">
        <v>103</v>
      </c>
      <c r="C208" s="249" t="s">
        <v>718</v>
      </c>
      <c r="D208" s="320" t="s">
        <v>180</v>
      </c>
      <c r="E208" s="321" t="s">
        <v>358</v>
      </c>
      <c r="F208" s="322" t="s">
        <v>374</v>
      </c>
      <c r="G208" s="323" t="s">
        <v>375</v>
      </c>
      <c r="H208" s="322" t="s">
        <v>174</v>
      </c>
      <c r="I208" s="324">
        <v>34</v>
      </c>
      <c r="J208" s="325"/>
      <c r="K208" s="325"/>
      <c r="L208" s="325"/>
      <c r="M208" s="325"/>
      <c r="N208" s="325"/>
      <c r="O208" s="326"/>
      <c r="P208" s="326"/>
      <c r="Q208" s="326"/>
      <c r="R208" s="326"/>
      <c r="S208" s="327"/>
    </row>
    <row r="209" spans="1:19" ht="15" customHeight="1">
      <c r="A209" s="561">
        <f t="shared" si="3"/>
        <v>209</v>
      </c>
      <c r="B209" s="31">
        <v>103</v>
      </c>
      <c r="C209" s="249" t="s">
        <v>718</v>
      </c>
      <c r="D209" s="320" t="s">
        <v>180</v>
      </c>
      <c r="E209" s="321" t="s">
        <v>358</v>
      </c>
      <c r="F209" s="322" t="s">
        <v>364</v>
      </c>
      <c r="G209" s="323" t="s">
        <v>377</v>
      </c>
      <c r="H209" s="322" t="s">
        <v>109</v>
      </c>
      <c r="I209" s="324">
        <f>(140+(5.1*5.4))*1.3</f>
        <v>217.80199999999999</v>
      </c>
      <c r="J209" s="325"/>
      <c r="K209" s="325"/>
      <c r="L209" s="325"/>
      <c r="M209" s="325"/>
      <c r="N209" s="325">
        <f>(12.2+3.3+4.8+1.36+3.5+6+3.4+4.2+6.35+5.4+5.4)*2.7</f>
        <v>150.95700000000002</v>
      </c>
      <c r="O209" s="326"/>
      <c r="P209" s="326"/>
      <c r="Q209" s="326">
        <v>140</v>
      </c>
      <c r="R209" s="326"/>
      <c r="S209" s="327"/>
    </row>
    <row r="210" spans="1:19" ht="15" customHeight="1">
      <c r="A210" s="561">
        <f t="shared" si="3"/>
        <v>210</v>
      </c>
      <c r="B210" s="31">
        <v>103</v>
      </c>
      <c r="C210" s="249" t="s">
        <v>718</v>
      </c>
      <c r="D210" s="320" t="s">
        <v>180</v>
      </c>
      <c r="E210" s="321" t="s">
        <v>358</v>
      </c>
      <c r="F210" s="322" t="s">
        <v>731</v>
      </c>
      <c r="G210" s="323" t="s">
        <v>379</v>
      </c>
      <c r="H210" s="322"/>
      <c r="I210" s="324">
        <v>12</v>
      </c>
      <c r="J210" s="325"/>
      <c r="K210" s="325"/>
      <c r="L210" s="325"/>
      <c r="M210" s="325"/>
      <c r="N210" s="325"/>
      <c r="O210" s="326"/>
      <c r="P210" s="326"/>
      <c r="Q210" s="326"/>
      <c r="R210" s="326"/>
      <c r="S210" s="327" t="s">
        <v>1151</v>
      </c>
    </row>
    <row r="211" spans="1:19" ht="15" customHeight="1">
      <c r="A211" s="561">
        <f t="shared" si="3"/>
        <v>211</v>
      </c>
      <c r="B211" s="31">
        <v>103</v>
      </c>
      <c r="C211" s="249" t="s">
        <v>718</v>
      </c>
      <c r="D211" s="320" t="s">
        <v>180</v>
      </c>
      <c r="E211" s="321" t="s">
        <v>358</v>
      </c>
      <c r="F211" s="322" t="s">
        <v>732</v>
      </c>
      <c r="G211" s="323" t="s">
        <v>733</v>
      </c>
      <c r="H211" s="322"/>
      <c r="I211" s="324">
        <v>16</v>
      </c>
      <c r="J211" s="325"/>
      <c r="K211" s="325">
        <v>27</v>
      </c>
      <c r="L211" s="325"/>
      <c r="M211" s="325"/>
      <c r="N211" s="325"/>
      <c r="O211" s="326"/>
      <c r="P211" s="326"/>
      <c r="Q211" s="326"/>
      <c r="R211" s="326"/>
      <c r="S211" s="327" t="s">
        <v>1152</v>
      </c>
    </row>
    <row r="212" spans="1:19" ht="15" customHeight="1">
      <c r="A212" s="561">
        <f t="shared" si="3"/>
        <v>212</v>
      </c>
      <c r="B212" s="31">
        <v>103</v>
      </c>
      <c r="C212" s="249" t="s">
        <v>718</v>
      </c>
      <c r="D212" s="320" t="s">
        <v>180</v>
      </c>
      <c r="E212" s="321" t="s">
        <v>358</v>
      </c>
      <c r="F212" s="322" t="s">
        <v>723</v>
      </c>
      <c r="G212" s="323" t="s">
        <v>385</v>
      </c>
      <c r="H212" s="322" t="s">
        <v>299</v>
      </c>
      <c r="I212" s="324">
        <v>7.8000000000000007</v>
      </c>
      <c r="J212" s="325"/>
      <c r="K212" s="325"/>
      <c r="L212" s="325"/>
      <c r="M212" s="325"/>
      <c r="N212" s="325"/>
      <c r="O212" s="326"/>
      <c r="P212" s="326"/>
      <c r="Q212" s="326"/>
      <c r="R212" s="326"/>
      <c r="S212" s="327"/>
    </row>
    <row r="213" spans="1:19" ht="15" customHeight="1">
      <c r="A213" s="561">
        <f t="shared" si="3"/>
        <v>213</v>
      </c>
      <c r="B213" s="31">
        <v>103</v>
      </c>
      <c r="C213" s="249" t="s">
        <v>718</v>
      </c>
      <c r="D213" s="320" t="s">
        <v>180</v>
      </c>
      <c r="E213" s="321" t="s">
        <v>358</v>
      </c>
      <c r="F213" s="322" t="s">
        <v>734</v>
      </c>
      <c r="G213" s="323" t="s">
        <v>298</v>
      </c>
      <c r="H213" s="322" t="s">
        <v>299</v>
      </c>
      <c r="I213" s="324">
        <v>7.8000000000000007</v>
      </c>
      <c r="J213" s="325"/>
      <c r="K213" s="325"/>
      <c r="L213" s="325"/>
      <c r="M213" s="325"/>
      <c r="N213" s="325"/>
      <c r="O213" s="326"/>
      <c r="P213" s="326"/>
      <c r="Q213" s="326"/>
      <c r="R213" s="326"/>
      <c r="S213" s="327"/>
    </row>
    <row r="214" spans="1:19" ht="15" customHeight="1">
      <c r="A214" s="561">
        <f t="shared" si="3"/>
        <v>214</v>
      </c>
      <c r="B214" s="31">
        <v>103</v>
      </c>
      <c r="C214" s="249" t="s">
        <v>718</v>
      </c>
      <c r="D214" s="320" t="s">
        <v>180</v>
      </c>
      <c r="E214" s="321" t="s">
        <v>358</v>
      </c>
      <c r="F214" s="322" t="s">
        <v>175</v>
      </c>
      <c r="G214" s="323" t="s">
        <v>391</v>
      </c>
      <c r="H214" s="322" t="s">
        <v>109</v>
      </c>
      <c r="I214" s="324">
        <f>((2*1.5)+(1.8*2.8))*1.3</f>
        <v>10.452</v>
      </c>
      <c r="J214" s="325"/>
      <c r="K214" s="325"/>
      <c r="L214" s="325"/>
      <c r="M214" s="325"/>
      <c r="N214" s="325">
        <f>(1.8+1.3+2+1.5+3.8+2.8)*2.4</f>
        <v>31.679999999999996</v>
      </c>
      <c r="O214" s="326"/>
      <c r="P214" s="326"/>
      <c r="Q214" s="326">
        <v>8</v>
      </c>
      <c r="R214" s="326"/>
      <c r="S214" s="327"/>
    </row>
    <row r="215" spans="1:19" ht="15" customHeight="1">
      <c r="A215" s="561">
        <f t="shared" si="3"/>
        <v>215</v>
      </c>
      <c r="B215" s="31">
        <v>103</v>
      </c>
      <c r="C215" s="249" t="s">
        <v>718</v>
      </c>
      <c r="D215" s="320" t="s">
        <v>180</v>
      </c>
      <c r="E215" s="321" t="s">
        <v>358</v>
      </c>
      <c r="F215" s="322" t="s">
        <v>175</v>
      </c>
      <c r="G215" s="323" t="s">
        <v>390</v>
      </c>
      <c r="H215" s="322" t="s">
        <v>19</v>
      </c>
      <c r="I215" s="324">
        <f>((1.15*8))*1.3</f>
        <v>11.959999999999999</v>
      </c>
      <c r="J215" s="325"/>
      <c r="K215" s="325"/>
      <c r="L215" s="325"/>
      <c r="M215" s="325"/>
      <c r="N215" s="325">
        <f>(8+1.15+8+1.15)*4.15</f>
        <v>75.944999999999993</v>
      </c>
      <c r="O215" s="326"/>
      <c r="P215" s="326"/>
      <c r="Q215" s="326">
        <f>I215</f>
        <v>11.959999999999999</v>
      </c>
      <c r="R215" s="326"/>
      <c r="S215" s="327"/>
    </row>
    <row r="216" spans="1:19" ht="15" customHeight="1">
      <c r="A216" s="561">
        <f t="shared" si="3"/>
        <v>216</v>
      </c>
      <c r="B216" s="31">
        <v>103</v>
      </c>
      <c r="C216" s="249" t="s">
        <v>718</v>
      </c>
      <c r="D216" s="320" t="s">
        <v>180</v>
      </c>
      <c r="E216" s="321" t="s">
        <v>358</v>
      </c>
      <c r="F216" s="322" t="s">
        <v>544</v>
      </c>
      <c r="G216" s="323" t="s">
        <v>393</v>
      </c>
      <c r="H216" s="322" t="s">
        <v>166</v>
      </c>
      <c r="I216" s="324">
        <v>2.8600000000000003</v>
      </c>
      <c r="J216" s="325"/>
      <c r="K216" s="325"/>
      <c r="L216" s="325"/>
      <c r="M216" s="325"/>
      <c r="N216" s="325"/>
      <c r="O216" s="326"/>
      <c r="P216" s="326"/>
      <c r="Q216" s="326"/>
      <c r="R216" s="326"/>
      <c r="S216" s="327"/>
    </row>
    <row r="217" spans="1:19" ht="15" customHeight="1">
      <c r="A217" s="561">
        <f t="shared" si="3"/>
        <v>217</v>
      </c>
      <c r="B217" s="31">
        <v>103</v>
      </c>
      <c r="C217" s="249" t="s">
        <v>718</v>
      </c>
      <c r="D217" s="320" t="s">
        <v>180</v>
      </c>
      <c r="E217" s="321" t="s">
        <v>358</v>
      </c>
      <c r="F217" s="322" t="s">
        <v>175</v>
      </c>
      <c r="G217" s="323" t="s">
        <v>392</v>
      </c>
      <c r="H217" s="322" t="s">
        <v>166</v>
      </c>
      <c r="I217" s="324">
        <v>1.3</v>
      </c>
      <c r="J217" s="325"/>
      <c r="K217" s="325"/>
      <c r="L217" s="325"/>
      <c r="M217" s="325"/>
      <c r="N217" s="325"/>
      <c r="O217" s="326"/>
      <c r="P217" s="326"/>
      <c r="Q217" s="326"/>
      <c r="R217" s="326"/>
      <c r="S217" s="327" t="s">
        <v>230</v>
      </c>
    </row>
    <row r="218" spans="1:19" ht="15" customHeight="1">
      <c r="A218" s="561">
        <f t="shared" si="3"/>
        <v>218</v>
      </c>
      <c r="B218" s="31">
        <v>103</v>
      </c>
      <c r="C218" s="249" t="s">
        <v>718</v>
      </c>
      <c r="D218" s="320" t="s">
        <v>180</v>
      </c>
      <c r="E218" s="321" t="s">
        <v>358</v>
      </c>
      <c r="F218" s="322" t="s">
        <v>175</v>
      </c>
      <c r="G218" s="323" t="s">
        <v>394</v>
      </c>
      <c r="H218" s="322"/>
      <c r="I218" s="324">
        <v>0</v>
      </c>
      <c r="J218" s="325"/>
      <c r="K218" s="325"/>
      <c r="L218" s="325"/>
      <c r="M218" s="325"/>
      <c r="N218" s="325"/>
      <c r="O218" s="326"/>
      <c r="P218" s="326"/>
      <c r="Q218" s="326"/>
      <c r="R218" s="326"/>
      <c r="S218" s="327" t="s">
        <v>1330</v>
      </c>
    </row>
    <row r="219" spans="1:19" ht="15" customHeight="1">
      <c r="A219" s="561">
        <f t="shared" si="3"/>
        <v>219</v>
      </c>
      <c r="B219" s="31">
        <v>103</v>
      </c>
      <c r="C219" s="249" t="s">
        <v>718</v>
      </c>
      <c r="D219" s="320" t="s">
        <v>180</v>
      </c>
      <c r="E219" s="321" t="s">
        <v>358</v>
      </c>
      <c r="F219" s="322" t="s">
        <v>175</v>
      </c>
      <c r="G219" s="323" t="s">
        <v>395</v>
      </c>
      <c r="H219" s="322" t="s">
        <v>44</v>
      </c>
      <c r="I219" s="324">
        <f>(7.1*2.8)*1.3</f>
        <v>25.844000000000001</v>
      </c>
      <c r="J219" s="325"/>
      <c r="K219" s="325"/>
      <c r="L219" s="325"/>
      <c r="M219" s="325"/>
      <c r="N219" s="325">
        <f>(7.1+2.8+7.1+2.8)*2.25</f>
        <v>44.550000000000004</v>
      </c>
      <c r="O219" s="326"/>
      <c r="P219" s="326"/>
      <c r="Q219" s="326">
        <v>19.899999999999999</v>
      </c>
      <c r="R219" s="326"/>
      <c r="S219" s="327"/>
    </row>
    <row r="220" spans="1:19" ht="15" customHeight="1">
      <c r="A220" s="561">
        <f t="shared" si="3"/>
        <v>220</v>
      </c>
      <c r="B220" s="31">
        <v>103</v>
      </c>
      <c r="C220" s="249" t="s">
        <v>718</v>
      </c>
      <c r="D220" s="320" t="s">
        <v>180</v>
      </c>
      <c r="E220" s="321" t="s">
        <v>358</v>
      </c>
      <c r="F220" s="322" t="s">
        <v>544</v>
      </c>
      <c r="G220" s="323" t="s">
        <v>398</v>
      </c>
      <c r="H220" s="322" t="s">
        <v>166</v>
      </c>
      <c r="I220" s="324">
        <v>7.8000000000000007</v>
      </c>
      <c r="J220" s="325"/>
      <c r="K220" s="325"/>
      <c r="L220" s="325"/>
      <c r="M220" s="325"/>
      <c r="N220" s="325"/>
      <c r="O220" s="326"/>
      <c r="P220" s="326"/>
      <c r="Q220" s="326"/>
      <c r="R220" s="326"/>
      <c r="S220" s="327"/>
    </row>
    <row r="221" spans="1:19" ht="15" customHeight="1">
      <c r="A221" s="561">
        <f t="shared" si="3"/>
        <v>221</v>
      </c>
      <c r="B221" s="31">
        <v>103</v>
      </c>
      <c r="C221" s="249" t="s">
        <v>718</v>
      </c>
      <c r="D221" s="320" t="s">
        <v>180</v>
      </c>
      <c r="E221" s="321" t="s">
        <v>358</v>
      </c>
      <c r="F221" s="322" t="s">
        <v>175</v>
      </c>
      <c r="G221" s="323" t="s">
        <v>736</v>
      </c>
      <c r="H221" s="322" t="s">
        <v>44</v>
      </c>
      <c r="I221" s="324">
        <v>3.9000000000000004</v>
      </c>
      <c r="J221" s="325"/>
      <c r="K221" s="325"/>
      <c r="L221" s="325"/>
      <c r="M221" s="325"/>
      <c r="N221" s="325">
        <f>(3.5+2+3.5+2+3.5)*4</f>
        <v>58</v>
      </c>
      <c r="O221" s="326"/>
      <c r="P221" s="326"/>
      <c r="Q221" s="326">
        <v>7</v>
      </c>
      <c r="R221" s="326"/>
      <c r="S221" s="327"/>
    </row>
    <row r="222" spans="1:19" ht="15" customHeight="1">
      <c r="A222" s="561">
        <f t="shared" si="3"/>
        <v>222</v>
      </c>
      <c r="B222" s="31">
        <v>103</v>
      </c>
      <c r="C222" s="249" t="s">
        <v>718</v>
      </c>
      <c r="D222" s="320" t="s">
        <v>180</v>
      </c>
      <c r="E222" s="321" t="s">
        <v>358</v>
      </c>
      <c r="F222" s="322" t="s">
        <v>737</v>
      </c>
      <c r="G222" s="323" t="s">
        <v>738</v>
      </c>
      <c r="H222" s="322" t="s">
        <v>166</v>
      </c>
      <c r="I222" s="324">
        <v>4.55</v>
      </c>
      <c r="J222" s="325"/>
      <c r="K222" s="325"/>
      <c r="L222" s="325"/>
      <c r="M222" s="325"/>
      <c r="N222" s="325"/>
      <c r="O222" s="326"/>
      <c r="P222" s="326"/>
      <c r="Q222" s="326"/>
      <c r="R222" s="326"/>
      <c r="S222" s="327"/>
    </row>
    <row r="223" spans="1:19" ht="15" customHeight="1">
      <c r="A223" s="561">
        <f t="shared" si="3"/>
        <v>223</v>
      </c>
      <c r="B223" s="31">
        <v>103</v>
      </c>
      <c r="C223" s="249" t="s">
        <v>718</v>
      </c>
      <c r="D223" s="320" t="s">
        <v>180</v>
      </c>
      <c r="E223" s="321" t="s">
        <v>358</v>
      </c>
      <c r="F223" s="322" t="s">
        <v>737</v>
      </c>
      <c r="G223" s="323" t="s">
        <v>739</v>
      </c>
      <c r="H223" s="322" t="s">
        <v>166</v>
      </c>
      <c r="I223" s="324">
        <v>6.5</v>
      </c>
      <c r="J223" s="325"/>
      <c r="K223" s="325"/>
      <c r="L223" s="325"/>
      <c r="M223" s="325"/>
      <c r="N223" s="325"/>
      <c r="O223" s="326"/>
      <c r="P223" s="326"/>
      <c r="Q223" s="326"/>
      <c r="R223" s="326"/>
      <c r="S223" s="327"/>
    </row>
    <row r="224" spans="1:19" ht="15" customHeight="1">
      <c r="A224" s="561">
        <f t="shared" si="3"/>
        <v>224</v>
      </c>
      <c r="B224" s="31">
        <v>103</v>
      </c>
      <c r="C224" s="249" t="s">
        <v>718</v>
      </c>
      <c r="D224" s="320" t="s">
        <v>180</v>
      </c>
      <c r="E224" s="321" t="s">
        <v>358</v>
      </c>
      <c r="F224" s="322" t="s">
        <v>175</v>
      </c>
      <c r="G224" s="323" t="s">
        <v>740</v>
      </c>
      <c r="H224" s="322" t="s">
        <v>109</v>
      </c>
      <c r="I224" s="324">
        <f>((3.25*1.9)-(0.4*0.3))*1.3</f>
        <v>7.8715000000000002</v>
      </c>
      <c r="J224" s="325"/>
      <c r="K224" s="325"/>
      <c r="L224" s="325">
        <f>(3.25+1.9+3.25+0.3+0.3+1.9)*2.7</f>
        <v>29.430000000000007</v>
      </c>
      <c r="M224" s="325"/>
      <c r="N224" s="325"/>
      <c r="O224" s="326"/>
      <c r="P224" s="326"/>
      <c r="Q224" s="326">
        <v>6.1</v>
      </c>
      <c r="R224" s="326"/>
      <c r="S224" s="327" t="s">
        <v>522</v>
      </c>
    </row>
    <row r="225" spans="1:19" ht="15" customHeight="1">
      <c r="A225" s="561">
        <f t="shared" si="3"/>
        <v>225</v>
      </c>
      <c r="B225" s="31">
        <v>103</v>
      </c>
      <c r="C225" s="249" t="s">
        <v>718</v>
      </c>
      <c r="D225" s="320" t="s">
        <v>180</v>
      </c>
      <c r="E225" s="321" t="s">
        <v>358</v>
      </c>
      <c r="F225" s="322" t="s">
        <v>737</v>
      </c>
      <c r="G225" s="323" t="s">
        <v>397</v>
      </c>
      <c r="H225" s="322" t="s">
        <v>166</v>
      </c>
      <c r="I225" s="324">
        <v>8.254999999999999</v>
      </c>
      <c r="J225" s="325"/>
      <c r="K225" s="325"/>
      <c r="L225" s="325"/>
      <c r="M225" s="325"/>
      <c r="N225" s="325"/>
      <c r="O225" s="326"/>
      <c r="P225" s="326"/>
      <c r="Q225" s="326"/>
      <c r="R225" s="326"/>
      <c r="S225" s="327"/>
    </row>
    <row r="226" spans="1:19" ht="15" customHeight="1">
      <c r="A226" s="561">
        <f t="shared" si="3"/>
        <v>226</v>
      </c>
      <c r="B226" s="31">
        <v>103</v>
      </c>
      <c r="C226" s="249" t="s">
        <v>718</v>
      </c>
      <c r="D226" s="320" t="s">
        <v>180</v>
      </c>
      <c r="E226" s="321" t="s">
        <v>358</v>
      </c>
      <c r="F226" s="322" t="s">
        <v>423</v>
      </c>
      <c r="G226" s="323" t="s">
        <v>424</v>
      </c>
      <c r="H226" s="322" t="s">
        <v>109</v>
      </c>
      <c r="I226" s="324">
        <v>45.5</v>
      </c>
      <c r="J226" s="325"/>
      <c r="K226" s="325"/>
      <c r="L226" s="325"/>
      <c r="M226" s="325"/>
      <c r="N226" s="325">
        <v>90</v>
      </c>
      <c r="O226" s="326"/>
      <c r="P226" s="326"/>
      <c r="Q226" s="326">
        <v>35</v>
      </c>
      <c r="R226" s="326"/>
      <c r="S226" s="327"/>
    </row>
    <row r="227" spans="1:19" ht="15" customHeight="1">
      <c r="A227" s="561">
        <f t="shared" si="3"/>
        <v>227</v>
      </c>
      <c r="B227" s="31">
        <v>103</v>
      </c>
      <c r="C227" s="249" t="s">
        <v>718</v>
      </c>
      <c r="D227" s="320" t="s">
        <v>180</v>
      </c>
      <c r="E227" s="321" t="s">
        <v>358</v>
      </c>
      <c r="F227" s="322" t="s">
        <v>177</v>
      </c>
      <c r="G227" s="323" t="s">
        <v>426</v>
      </c>
      <c r="H227" s="322"/>
      <c r="I227" s="324">
        <v>0</v>
      </c>
      <c r="J227" s="325"/>
      <c r="K227" s="325"/>
      <c r="L227" s="325"/>
      <c r="M227" s="325"/>
      <c r="N227" s="325"/>
      <c r="O227" s="326"/>
      <c r="P227" s="326"/>
      <c r="Q227" s="326"/>
      <c r="R227" s="326"/>
      <c r="S227" s="327" t="s">
        <v>1330</v>
      </c>
    </row>
    <row r="228" spans="1:19" ht="15" customHeight="1">
      <c r="A228" s="561">
        <f t="shared" si="3"/>
        <v>228</v>
      </c>
      <c r="B228" s="31">
        <v>103</v>
      </c>
      <c r="C228" s="249" t="s">
        <v>718</v>
      </c>
      <c r="D228" s="320" t="s">
        <v>180</v>
      </c>
      <c r="E228" s="321" t="s">
        <v>358</v>
      </c>
      <c r="F228" s="322" t="s">
        <v>440</v>
      </c>
      <c r="G228" s="323" t="s">
        <v>741</v>
      </c>
      <c r="H228" s="322" t="s">
        <v>44</v>
      </c>
      <c r="I228" s="324">
        <v>13</v>
      </c>
      <c r="J228" s="325"/>
      <c r="K228" s="325"/>
      <c r="L228" s="325"/>
      <c r="M228" s="325"/>
      <c r="N228" s="325">
        <v>36</v>
      </c>
      <c r="O228" s="326"/>
      <c r="P228" s="326"/>
      <c r="Q228" s="326">
        <v>10</v>
      </c>
      <c r="R228" s="326"/>
      <c r="S228" s="327" t="s">
        <v>522</v>
      </c>
    </row>
    <row r="229" spans="1:19" ht="15" customHeight="1">
      <c r="A229" s="561">
        <f t="shared" si="3"/>
        <v>229</v>
      </c>
      <c r="B229" s="31">
        <v>103</v>
      </c>
      <c r="C229" s="249" t="s">
        <v>718</v>
      </c>
      <c r="D229" s="320" t="s">
        <v>180</v>
      </c>
      <c r="E229" s="321" t="s">
        <v>358</v>
      </c>
      <c r="F229" s="322" t="s">
        <v>41</v>
      </c>
      <c r="G229" s="323" t="s">
        <v>442</v>
      </c>
      <c r="H229" s="322" t="s">
        <v>109</v>
      </c>
      <c r="I229" s="324">
        <f>((4.3*2.5)+(3.5*2))*1.3</f>
        <v>23.074999999999999</v>
      </c>
      <c r="J229" s="325">
        <v>1</v>
      </c>
      <c r="K229" s="325"/>
      <c r="L229" s="325"/>
      <c r="M229" s="325"/>
      <c r="N229" s="325">
        <f>(4.3+2.5+1.75+2+3.5+4.8)*4.2</f>
        <v>79.170000000000016</v>
      </c>
      <c r="O229" s="326"/>
      <c r="P229" s="326"/>
      <c r="Q229" s="326">
        <f>I229</f>
        <v>23.074999999999999</v>
      </c>
      <c r="R229" s="326"/>
      <c r="S229" s="327"/>
    </row>
    <row r="230" spans="1:19" ht="15" customHeight="1">
      <c r="A230" s="561">
        <f t="shared" si="3"/>
        <v>230</v>
      </c>
      <c r="B230" s="31">
        <v>103</v>
      </c>
      <c r="C230" s="249" t="s">
        <v>718</v>
      </c>
      <c r="D230" s="320" t="s">
        <v>180</v>
      </c>
      <c r="E230" s="321" t="s">
        <v>358</v>
      </c>
      <c r="F230" s="322" t="s">
        <v>41</v>
      </c>
      <c r="G230" s="323" t="s">
        <v>444</v>
      </c>
      <c r="H230" s="322" t="s">
        <v>109</v>
      </c>
      <c r="I230" s="324">
        <f>(2*3.5)*1.3</f>
        <v>9.1</v>
      </c>
      <c r="J230" s="325"/>
      <c r="K230" s="325"/>
      <c r="L230" s="325"/>
      <c r="M230" s="325"/>
      <c r="N230" s="325">
        <f>(3.5+2+3.5+2)*3.6</f>
        <v>39.6</v>
      </c>
      <c r="O230" s="326"/>
      <c r="P230" s="326"/>
      <c r="Q230" s="326">
        <f>I230</f>
        <v>9.1</v>
      </c>
      <c r="R230" s="326"/>
      <c r="S230" s="327"/>
    </row>
    <row r="231" spans="1:19" ht="15" customHeight="1">
      <c r="A231" s="561">
        <f t="shared" si="3"/>
        <v>231</v>
      </c>
      <c r="B231" s="31">
        <v>103</v>
      </c>
      <c r="C231" s="249" t="s">
        <v>718</v>
      </c>
      <c r="D231" s="320" t="s">
        <v>180</v>
      </c>
      <c r="E231" s="321" t="s">
        <v>358</v>
      </c>
      <c r="F231" s="322" t="s">
        <v>40</v>
      </c>
      <c r="G231" s="323" t="s">
        <v>446</v>
      </c>
      <c r="H231" s="322" t="s">
        <v>109</v>
      </c>
      <c r="I231" s="324">
        <f>(4*3.9)*1.3</f>
        <v>20.28</v>
      </c>
      <c r="J231" s="325"/>
      <c r="K231" s="325"/>
      <c r="L231" s="325">
        <f>(4+3.9+4+3.9)*3.1</f>
        <v>48.980000000000004</v>
      </c>
      <c r="M231" s="325"/>
      <c r="N231" s="325"/>
      <c r="O231" s="326"/>
      <c r="P231" s="326"/>
      <c r="Q231" s="326">
        <f>I231</f>
        <v>20.28</v>
      </c>
      <c r="R231" s="326"/>
      <c r="S231" s="327" t="s">
        <v>522</v>
      </c>
    </row>
    <row r="232" spans="1:19" ht="15" customHeight="1">
      <c r="A232" s="561">
        <f t="shared" si="3"/>
        <v>232</v>
      </c>
      <c r="B232" s="31">
        <v>103</v>
      </c>
      <c r="C232" s="249" t="s">
        <v>718</v>
      </c>
      <c r="D232" s="320" t="s">
        <v>180</v>
      </c>
      <c r="E232" s="321" t="s">
        <v>358</v>
      </c>
      <c r="F232" s="322" t="s">
        <v>447</v>
      </c>
      <c r="G232" s="323" t="s">
        <v>448</v>
      </c>
      <c r="H232" s="322"/>
      <c r="I232" s="324">
        <v>0</v>
      </c>
      <c r="J232" s="325"/>
      <c r="K232" s="325"/>
      <c r="L232" s="325"/>
      <c r="M232" s="325"/>
      <c r="N232" s="325"/>
      <c r="O232" s="326"/>
      <c r="P232" s="326"/>
      <c r="Q232" s="326"/>
      <c r="R232" s="326"/>
      <c r="S232" s="327" t="s">
        <v>1330</v>
      </c>
    </row>
    <row r="233" spans="1:19" ht="15" customHeight="1">
      <c r="A233" s="561">
        <f t="shared" si="3"/>
        <v>233</v>
      </c>
      <c r="B233" s="31">
        <v>103</v>
      </c>
      <c r="C233" s="249" t="s">
        <v>718</v>
      </c>
      <c r="D233" s="320" t="s">
        <v>180</v>
      </c>
      <c r="E233" s="321" t="s">
        <v>358</v>
      </c>
      <c r="F233" s="322" t="s">
        <v>447</v>
      </c>
      <c r="G233" s="323" t="s">
        <v>449</v>
      </c>
      <c r="H233" s="322"/>
      <c r="I233" s="324">
        <v>0</v>
      </c>
      <c r="J233" s="325"/>
      <c r="K233" s="325"/>
      <c r="L233" s="325"/>
      <c r="M233" s="325"/>
      <c r="N233" s="325"/>
      <c r="O233" s="326"/>
      <c r="P233" s="326"/>
      <c r="Q233" s="326"/>
      <c r="R233" s="326"/>
      <c r="S233" s="327" t="s">
        <v>1330</v>
      </c>
    </row>
    <row r="234" spans="1:19" ht="15" customHeight="1">
      <c r="A234" s="561">
        <f t="shared" si="3"/>
        <v>234</v>
      </c>
      <c r="B234" s="31">
        <v>103</v>
      </c>
      <c r="C234" s="249" t="s">
        <v>718</v>
      </c>
      <c r="D234" s="320" t="s">
        <v>180</v>
      </c>
      <c r="E234" s="321" t="s">
        <v>358</v>
      </c>
      <c r="F234" s="322" t="s">
        <v>447</v>
      </c>
      <c r="G234" s="323" t="s">
        <v>450</v>
      </c>
      <c r="H234" s="322"/>
      <c r="I234" s="324">
        <v>0</v>
      </c>
      <c r="J234" s="325"/>
      <c r="K234" s="325"/>
      <c r="L234" s="325"/>
      <c r="M234" s="325"/>
      <c r="N234" s="325"/>
      <c r="O234" s="326"/>
      <c r="P234" s="326"/>
      <c r="Q234" s="326"/>
      <c r="R234" s="326"/>
      <c r="S234" s="327" t="s">
        <v>1330</v>
      </c>
    </row>
    <row r="235" spans="1:19" ht="15" customHeight="1">
      <c r="A235" s="561">
        <f t="shared" si="3"/>
        <v>235</v>
      </c>
      <c r="B235" s="31">
        <v>103</v>
      </c>
      <c r="C235" s="249" t="s">
        <v>718</v>
      </c>
      <c r="D235" s="320" t="s">
        <v>180</v>
      </c>
      <c r="E235" s="321" t="s">
        <v>358</v>
      </c>
      <c r="F235" s="322" t="s">
        <v>447</v>
      </c>
      <c r="G235" s="323" t="s">
        <v>451</v>
      </c>
      <c r="H235" s="322"/>
      <c r="I235" s="324">
        <v>0</v>
      </c>
      <c r="J235" s="325"/>
      <c r="K235" s="325"/>
      <c r="L235" s="325"/>
      <c r="M235" s="325"/>
      <c r="N235" s="325"/>
      <c r="O235" s="326"/>
      <c r="P235" s="326"/>
      <c r="Q235" s="326"/>
      <c r="R235" s="326"/>
      <c r="S235" s="327" t="s">
        <v>1330</v>
      </c>
    </row>
    <row r="236" spans="1:19" ht="15" customHeight="1">
      <c r="A236" s="561">
        <f t="shared" si="3"/>
        <v>236</v>
      </c>
      <c r="B236" s="31">
        <v>103</v>
      </c>
      <c r="C236" s="249" t="s">
        <v>718</v>
      </c>
      <c r="D236" s="320" t="s">
        <v>180</v>
      </c>
      <c r="E236" s="321" t="s">
        <v>358</v>
      </c>
      <c r="F236" s="322" t="s">
        <v>447</v>
      </c>
      <c r="G236" s="323" t="s">
        <v>452</v>
      </c>
      <c r="H236" s="322"/>
      <c r="I236" s="324">
        <v>0</v>
      </c>
      <c r="J236" s="325"/>
      <c r="K236" s="325"/>
      <c r="L236" s="325"/>
      <c r="M236" s="325"/>
      <c r="N236" s="325"/>
      <c r="O236" s="326"/>
      <c r="P236" s="326"/>
      <c r="Q236" s="326"/>
      <c r="R236" s="326"/>
      <c r="S236" s="327" t="s">
        <v>1330</v>
      </c>
    </row>
    <row r="237" spans="1:19" ht="15" customHeight="1">
      <c r="A237" s="561">
        <f t="shared" si="3"/>
        <v>237</v>
      </c>
      <c r="B237" s="31">
        <v>103</v>
      </c>
      <c r="C237" s="249" t="s">
        <v>718</v>
      </c>
      <c r="D237" s="320" t="s">
        <v>180</v>
      </c>
      <c r="E237" s="321" t="s">
        <v>358</v>
      </c>
      <c r="F237" s="322" t="s">
        <v>447</v>
      </c>
      <c r="G237" s="323" t="s">
        <v>453</v>
      </c>
      <c r="H237" s="322"/>
      <c r="I237" s="324">
        <v>0</v>
      </c>
      <c r="J237" s="325"/>
      <c r="K237" s="325"/>
      <c r="L237" s="325"/>
      <c r="M237" s="325"/>
      <c r="N237" s="325"/>
      <c r="O237" s="326"/>
      <c r="P237" s="326"/>
      <c r="Q237" s="326"/>
      <c r="R237" s="326"/>
      <c r="S237" s="327" t="s">
        <v>1330</v>
      </c>
    </row>
    <row r="238" spans="1:19" ht="15" customHeight="1">
      <c r="A238" s="561">
        <f t="shared" si="3"/>
        <v>238</v>
      </c>
      <c r="B238" s="31">
        <v>103</v>
      </c>
      <c r="C238" s="249" t="s">
        <v>718</v>
      </c>
      <c r="D238" s="320" t="s">
        <v>180</v>
      </c>
      <c r="E238" s="321" t="s">
        <v>358</v>
      </c>
      <c r="F238" s="322" t="s">
        <v>447</v>
      </c>
      <c r="G238" s="323" t="s">
        <v>454</v>
      </c>
      <c r="H238" s="322"/>
      <c r="I238" s="324">
        <v>0</v>
      </c>
      <c r="J238" s="325"/>
      <c r="K238" s="325"/>
      <c r="L238" s="325"/>
      <c r="M238" s="325"/>
      <c r="N238" s="325"/>
      <c r="O238" s="326"/>
      <c r="P238" s="326"/>
      <c r="Q238" s="326"/>
      <c r="R238" s="326"/>
      <c r="S238" s="327" t="s">
        <v>1330</v>
      </c>
    </row>
    <row r="239" spans="1:19" ht="15" customHeight="1">
      <c r="A239" s="561">
        <f t="shared" si="3"/>
        <v>239</v>
      </c>
      <c r="B239" s="31">
        <v>103</v>
      </c>
      <c r="C239" s="249" t="s">
        <v>718</v>
      </c>
      <c r="D239" s="320" t="s">
        <v>180</v>
      </c>
      <c r="E239" s="321" t="s">
        <v>358</v>
      </c>
      <c r="F239" s="322" t="s">
        <v>447</v>
      </c>
      <c r="G239" s="323" t="s">
        <v>455</v>
      </c>
      <c r="H239" s="322"/>
      <c r="I239" s="324">
        <v>0</v>
      </c>
      <c r="J239" s="325"/>
      <c r="K239" s="325"/>
      <c r="L239" s="325"/>
      <c r="M239" s="325"/>
      <c r="N239" s="325"/>
      <c r="O239" s="326"/>
      <c r="P239" s="326"/>
      <c r="Q239" s="326"/>
      <c r="R239" s="326"/>
      <c r="S239" s="327" t="s">
        <v>1330</v>
      </c>
    </row>
    <row r="240" spans="1:19" ht="15" customHeight="1">
      <c r="A240" s="561">
        <f t="shared" si="3"/>
        <v>240</v>
      </c>
      <c r="B240" s="31">
        <v>103</v>
      </c>
      <c r="C240" s="249" t="s">
        <v>718</v>
      </c>
      <c r="D240" s="320" t="s">
        <v>180</v>
      </c>
      <c r="E240" s="321" t="s">
        <v>358</v>
      </c>
      <c r="F240" s="322" t="s">
        <v>447</v>
      </c>
      <c r="G240" s="323" t="s">
        <v>457</v>
      </c>
      <c r="H240" s="322"/>
      <c r="I240" s="324">
        <v>0</v>
      </c>
      <c r="J240" s="325"/>
      <c r="K240" s="325"/>
      <c r="L240" s="325"/>
      <c r="M240" s="325"/>
      <c r="N240" s="325"/>
      <c r="O240" s="326"/>
      <c r="P240" s="326"/>
      <c r="Q240" s="326"/>
      <c r="R240" s="326"/>
      <c r="S240" s="327" t="s">
        <v>1330</v>
      </c>
    </row>
    <row r="241" spans="1:19" ht="15" customHeight="1">
      <c r="A241" s="561">
        <f t="shared" si="3"/>
        <v>241</v>
      </c>
      <c r="B241" s="31">
        <v>103</v>
      </c>
      <c r="C241" s="249" t="s">
        <v>718</v>
      </c>
      <c r="D241" s="320" t="s">
        <v>180</v>
      </c>
      <c r="E241" s="321" t="s">
        <v>358</v>
      </c>
      <c r="F241" s="322" t="s">
        <v>447</v>
      </c>
      <c r="G241" s="323" t="s">
        <v>459</v>
      </c>
      <c r="H241" s="322"/>
      <c r="I241" s="324">
        <v>0</v>
      </c>
      <c r="J241" s="325"/>
      <c r="K241" s="325"/>
      <c r="L241" s="325"/>
      <c r="M241" s="325"/>
      <c r="N241" s="325"/>
      <c r="O241" s="326"/>
      <c r="P241" s="326"/>
      <c r="Q241" s="326"/>
      <c r="R241" s="326"/>
      <c r="S241" s="327" t="s">
        <v>1330</v>
      </c>
    </row>
    <row r="242" spans="1:19" ht="15" customHeight="1">
      <c r="A242" s="561">
        <f t="shared" si="3"/>
        <v>242</v>
      </c>
      <c r="B242" s="31">
        <v>103</v>
      </c>
      <c r="C242" s="249" t="s">
        <v>718</v>
      </c>
      <c r="D242" s="320" t="s">
        <v>180</v>
      </c>
      <c r="E242" s="321" t="s">
        <v>358</v>
      </c>
      <c r="F242" s="322" t="s">
        <v>447</v>
      </c>
      <c r="G242" s="323" t="s">
        <v>461</v>
      </c>
      <c r="H242" s="322" t="s">
        <v>319</v>
      </c>
      <c r="I242" s="324">
        <v>6</v>
      </c>
      <c r="J242" s="325">
        <v>1.5</v>
      </c>
      <c r="K242" s="325"/>
      <c r="L242" s="325"/>
      <c r="M242" s="325"/>
      <c r="N242" s="325">
        <v>24</v>
      </c>
      <c r="O242" s="326"/>
      <c r="P242" s="326"/>
      <c r="Q242" s="326"/>
      <c r="R242" s="326">
        <v>6</v>
      </c>
      <c r="S242" s="327" t="s">
        <v>1331</v>
      </c>
    </row>
    <row r="243" spans="1:19" ht="15" customHeight="1">
      <c r="A243" s="561">
        <f t="shared" si="3"/>
        <v>243</v>
      </c>
      <c r="B243" s="31">
        <v>103</v>
      </c>
      <c r="C243" s="249" t="s">
        <v>718</v>
      </c>
      <c r="D243" s="320" t="s">
        <v>180</v>
      </c>
      <c r="E243" s="321" t="s">
        <v>358</v>
      </c>
      <c r="F243" s="322" t="s">
        <v>447</v>
      </c>
      <c r="G243" s="323" t="s">
        <v>743</v>
      </c>
      <c r="H243" s="322" t="s">
        <v>19</v>
      </c>
      <c r="I243" s="324">
        <v>2</v>
      </c>
      <c r="J243" s="325"/>
      <c r="K243" s="325"/>
      <c r="L243" s="325">
        <v>12</v>
      </c>
      <c r="M243" s="325"/>
      <c r="N243" s="325"/>
      <c r="O243" s="326"/>
      <c r="P243" s="326"/>
      <c r="Q243" s="326"/>
      <c r="R243" s="326"/>
      <c r="S243" s="327" t="s">
        <v>1331</v>
      </c>
    </row>
    <row r="244" spans="1:19" ht="15" customHeight="1">
      <c r="A244" s="561">
        <f t="shared" si="3"/>
        <v>244</v>
      </c>
      <c r="B244" s="31">
        <v>103</v>
      </c>
      <c r="C244" s="249" t="s">
        <v>718</v>
      </c>
      <c r="D244" s="320" t="s">
        <v>180</v>
      </c>
      <c r="E244" s="321" t="s">
        <v>358</v>
      </c>
      <c r="F244" s="322" t="s">
        <v>447</v>
      </c>
      <c r="G244" s="323" t="s">
        <v>744</v>
      </c>
      <c r="H244" s="322" t="s">
        <v>109</v>
      </c>
      <c r="I244" s="324">
        <v>1</v>
      </c>
      <c r="J244" s="325">
        <v>10</v>
      </c>
      <c r="K244" s="325"/>
      <c r="L244" s="325"/>
      <c r="M244" s="325"/>
      <c r="N244" s="325"/>
      <c r="O244" s="326"/>
      <c r="P244" s="326"/>
      <c r="Q244" s="326"/>
      <c r="R244" s="326">
        <v>1</v>
      </c>
      <c r="S244" s="327" t="s">
        <v>1331</v>
      </c>
    </row>
    <row r="245" spans="1:19" ht="15" customHeight="1">
      <c r="A245" s="561">
        <f t="shared" si="3"/>
        <v>245</v>
      </c>
      <c r="B245" s="31">
        <v>103</v>
      </c>
      <c r="C245" s="249" t="s">
        <v>718</v>
      </c>
      <c r="D245" s="320" t="s">
        <v>180</v>
      </c>
      <c r="E245" s="321" t="s">
        <v>358</v>
      </c>
      <c r="F245" s="322" t="s">
        <v>447</v>
      </c>
      <c r="G245" s="323" t="s">
        <v>745</v>
      </c>
      <c r="H245" s="322" t="s">
        <v>109</v>
      </c>
      <c r="I245" s="324">
        <v>1</v>
      </c>
      <c r="J245" s="325">
        <v>10</v>
      </c>
      <c r="K245" s="325"/>
      <c r="L245" s="325"/>
      <c r="M245" s="325"/>
      <c r="N245" s="325"/>
      <c r="O245" s="326"/>
      <c r="P245" s="326"/>
      <c r="Q245" s="326"/>
      <c r="R245" s="326">
        <v>1</v>
      </c>
      <c r="S245" s="327" t="s">
        <v>1331</v>
      </c>
    </row>
    <row r="246" spans="1:19" ht="15" customHeight="1">
      <c r="A246" s="561">
        <f t="shared" si="3"/>
        <v>246</v>
      </c>
      <c r="B246" s="31">
        <v>103</v>
      </c>
      <c r="C246" s="249" t="s">
        <v>718</v>
      </c>
      <c r="D246" s="320" t="s">
        <v>180</v>
      </c>
      <c r="E246" s="321" t="s">
        <v>358</v>
      </c>
      <c r="F246" s="322" t="s">
        <v>447</v>
      </c>
      <c r="G246" s="323" t="s">
        <v>746</v>
      </c>
      <c r="H246" s="322"/>
      <c r="I246" s="324">
        <v>0</v>
      </c>
      <c r="J246" s="325"/>
      <c r="K246" s="325"/>
      <c r="L246" s="325"/>
      <c r="M246" s="325"/>
      <c r="N246" s="325"/>
      <c r="O246" s="326"/>
      <c r="P246" s="326"/>
      <c r="Q246" s="326"/>
      <c r="R246" s="326"/>
      <c r="S246" s="327" t="s">
        <v>1330</v>
      </c>
    </row>
    <row r="247" spans="1:19" ht="15" customHeight="1">
      <c r="A247" s="561">
        <f t="shared" si="3"/>
        <v>247</v>
      </c>
      <c r="B247" s="31">
        <v>103</v>
      </c>
      <c r="C247" s="249" t="s">
        <v>718</v>
      </c>
      <c r="D247" s="320" t="s">
        <v>180</v>
      </c>
      <c r="E247" s="321" t="s">
        <v>358</v>
      </c>
      <c r="F247" s="322" t="s">
        <v>447</v>
      </c>
      <c r="G247" s="323" t="s">
        <v>747</v>
      </c>
      <c r="H247" s="322" t="s">
        <v>109</v>
      </c>
      <c r="I247" s="324">
        <f>(1.4*1.2)*1.3</f>
        <v>2.1840000000000002</v>
      </c>
      <c r="J247" s="325">
        <f>(1.2+1.4+1.2+1.4)*2.15</f>
        <v>11.179999999999998</v>
      </c>
      <c r="K247" s="325"/>
      <c r="L247" s="325"/>
      <c r="M247" s="325"/>
      <c r="N247" s="325"/>
      <c r="O247" s="326"/>
      <c r="P247" s="326"/>
      <c r="Q247" s="326"/>
      <c r="R247" s="326">
        <f>I247</f>
        <v>2.1840000000000002</v>
      </c>
      <c r="S247" s="327" t="s">
        <v>526</v>
      </c>
    </row>
    <row r="248" spans="1:19" ht="15" customHeight="1">
      <c r="A248" s="561">
        <f t="shared" si="3"/>
        <v>248</v>
      </c>
      <c r="B248" s="31">
        <v>103</v>
      </c>
      <c r="C248" s="249" t="s">
        <v>718</v>
      </c>
      <c r="D248" s="320" t="s">
        <v>180</v>
      </c>
      <c r="E248" s="321" t="s">
        <v>358</v>
      </c>
      <c r="F248" s="322" t="s">
        <v>447</v>
      </c>
      <c r="G248" s="323" t="s">
        <v>748</v>
      </c>
      <c r="H248" s="322" t="s">
        <v>109</v>
      </c>
      <c r="I248" s="324">
        <f>(1.2*1.2)*1.3</f>
        <v>1.8719999999999999</v>
      </c>
      <c r="J248" s="325">
        <f>(1.2+1.2+1.2+1.2)*2.15</f>
        <v>10.319999999999999</v>
      </c>
      <c r="K248" s="325"/>
      <c r="L248" s="325"/>
      <c r="M248" s="325"/>
      <c r="N248" s="325"/>
      <c r="O248" s="326"/>
      <c r="P248" s="326"/>
      <c r="Q248" s="326"/>
      <c r="R248" s="326">
        <f>I248</f>
        <v>1.8719999999999999</v>
      </c>
      <c r="S248" s="327" t="s">
        <v>526</v>
      </c>
    </row>
    <row r="249" spans="1:19" ht="15" customHeight="1">
      <c r="A249" s="561">
        <f t="shared" si="3"/>
        <v>249</v>
      </c>
      <c r="B249" s="31">
        <v>103</v>
      </c>
      <c r="C249" s="249" t="s">
        <v>718</v>
      </c>
      <c r="D249" s="320" t="s">
        <v>180</v>
      </c>
      <c r="E249" s="321" t="s">
        <v>358</v>
      </c>
      <c r="F249" s="322" t="s">
        <v>447</v>
      </c>
      <c r="G249" s="323" t="s">
        <v>749</v>
      </c>
      <c r="H249" s="322" t="s">
        <v>109</v>
      </c>
      <c r="I249" s="324">
        <f>(1.4*1.2)*1.3</f>
        <v>2.1840000000000002</v>
      </c>
      <c r="J249" s="325">
        <f>(1.2+1.4+1.2+1.4)*2.15</f>
        <v>11.179999999999998</v>
      </c>
      <c r="K249" s="325"/>
      <c r="L249" s="325"/>
      <c r="M249" s="325"/>
      <c r="N249" s="325"/>
      <c r="O249" s="326"/>
      <c r="P249" s="326"/>
      <c r="Q249" s="326"/>
      <c r="R249" s="326">
        <f>I249</f>
        <v>2.1840000000000002</v>
      </c>
      <c r="S249" s="327" t="s">
        <v>526</v>
      </c>
    </row>
    <row r="250" spans="1:19" ht="15" customHeight="1">
      <c r="A250" s="561">
        <f t="shared" si="3"/>
        <v>250</v>
      </c>
      <c r="B250" s="31">
        <v>103</v>
      </c>
      <c r="C250" s="249" t="s">
        <v>718</v>
      </c>
      <c r="D250" s="320" t="s">
        <v>180</v>
      </c>
      <c r="E250" s="321" t="s">
        <v>358</v>
      </c>
      <c r="F250" s="322" t="s">
        <v>447</v>
      </c>
      <c r="G250" s="323" t="s">
        <v>750</v>
      </c>
      <c r="H250" s="322" t="s">
        <v>109</v>
      </c>
      <c r="I250" s="324">
        <f>(1.2*1.2)*1.3</f>
        <v>1.8719999999999999</v>
      </c>
      <c r="J250" s="325">
        <f>(1.2+1.2+1.2+1.2)*2.15</f>
        <v>10.319999999999999</v>
      </c>
      <c r="K250" s="325"/>
      <c r="L250" s="325"/>
      <c r="M250" s="325"/>
      <c r="N250" s="325"/>
      <c r="O250" s="326"/>
      <c r="P250" s="326"/>
      <c r="Q250" s="326"/>
      <c r="R250" s="326">
        <f>I250</f>
        <v>1.8719999999999999</v>
      </c>
      <c r="S250" s="327" t="s">
        <v>526</v>
      </c>
    </row>
    <row r="251" spans="1:19" ht="15" customHeight="1">
      <c r="A251" s="561">
        <f t="shared" si="3"/>
        <v>251</v>
      </c>
      <c r="B251" s="31">
        <v>103</v>
      </c>
      <c r="C251" s="249" t="s">
        <v>718</v>
      </c>
      <c r="D251" s="320" t="s">
        <v>180</v>
      </c>
      <c r="E251" s="321" t="s">
        <v>358</v>
      </c>
      <c r="F251" s="322" t="s">
        <v>447</v>
      </c>
      <c r="G251" s="323" t="s">
        <v>751</v>
      </c>
      <c r="H251" s="322" t="s">
        <v>44</v>
      </c>
      <c r="I251" s="324">
        <f>(1.7*0.95)*1.3</f>
        <v>2.0994999999999999</v>
      </c>
      <c r="J251" s="325">
        <f>(0.95+1.6+0.95+1.6)*2.3</f>
        <v>11.729999999999999</v>
      </c>
      <c r="K251" s="325"/>
      <c r="L251" s="325"/>
      <c r="M251" s="325"/>
      <c r="N251" s="325"/>
      <c r="O251" s="326"/>
      <c r="P251" s="326"/>
      <c r="Q251" s="326"/>
      <c r="R251" s="326">
        <v>1.6</v>
      </c>
      <c r="S251" s="327" t="s">
        <v>526</v>
      </c>
    </row>
    <row r="252" spans="1:19" ht="15" customHeight="1">
      <c r="A252" s="561">
        <f t="shared" si="3"/>
        <v>252</v>
      </c>
      <c r="B252" s="31">
        <v>103</v>
      </c>
      <c r="C252" s="249" t="s">
        <v>718</v>
      </c>
      <c r="D252" s="320" t="s">
        <v>180</v>
      </c>
      <c r="E252" s="321" t="s">
        <v>358</v>
      </c>
      <c r="F252" s="322" t="s">
        <v>447</v>
      </c>
      <c r="G252" s="323" t="s">
        <v>752</v>
      </c>
      <c r="H252" s="322" t="s">
        <v>44</v>
      </c>
      <c r="I252" s="324">
        <f>(1.2*0.95)*1.3</f>
        <v>1.482</v>
      </c>
      <c r="J252" s="325">
        <f>(1.2+0.95+1.2+0.95)*2.3</f>
        <v>9.8899999999999988</v>
      </c>
      <c r="K252" s="325"/>
      <c r="L252" s="325"/>
      <c r="M252" s="325"/>
      <c r="N252" s="325"/>
      <c r="O252" s="326"/>
      <c r="P252" s="326"/>
      <c r="Q252" s="326"/>
      <c r="R252" s="326">
        <v>1.1000000000000001</v>
      </c>
      <c r="S252" s="327" t="s">
        <v>526</v>
      </c>
    </row>
    <row r="253" spans="1:19" ht="15" customHeight="1">
      <c r="A253" s="561">
        <f t="shared" si="3"/>
        <v>253</v>
      </c>
      <c r="B253" s="31">
        <v>103</v>
      </c>
      <c r="C253" s="249" t="s">
        <v>718</v>
      </c>
      <c r="D253" s="320" t="s">
        <v>180</v>
      </c>
      <c r="E253" s="321" t="s">
        <v>358</v>
      </c>
      <c r="F253" s="322" t="s">
        <v>447</v>
      </c>
      <c r="G253" s="323" t="s">
        <v>753</v>
      </c>
      <c r="H253" s="322" t="s">
        <v>44</v>
      </c>
      <c r="I253" s="324">
        <f>(1.7*0.95)*1.3</f>
        <v>2.0994999999999999</v>
      </c>
      <c r="J253" s="325">
        <f>(0.95+1.6+0.95+1.6)*2.3</f>
        <v>11.729999999999999</v>
      </c>
      <c r="K253" s="325"/>
      <c r="L253" s="325"/>
      <c r="M253" s="325"/>
      <c r="N253" s="325"/>
      <c r="O253" s="326"/>
      <c r="P253" s="326"/>
      <c r="Q253" s="326"/>
      <c r="R253" s="326">
        <v>1.6</v>
      </c>
      <c r="S253" s="327" t="s">
        <v>526</v>
      </c>
    </row>
    <row r="254" spans="1:19" ht="15" customHeight="1">
      <c r="A254" s="561">
        <f t="shared" si="3"/>
        <v>254</v>
      </c>
      <c r="B254" s="31">
        <v>103</v>
      </c>
      <c r="C254" s="249" t="s">
        <v>718</v>
      </c>
      <c r="D254" s="320" t="s">
        <v>180</v>
      </c>
      <c r="E254" s="321" t="s">
        <v>358</v>
      </c>
      <c r="F254" s="322" t="s">
        <v>447</v>
      </c>
      <c r="G254" s="323" t="s">
        <v>754</v>
      </c>
      <c r="H254" s="322" t="s">
        <v>44</v>
      </c>
      <c r="I254" s="324">
        <f>(1.2*0.95)*1.3</f>
        <v>1.482</v>
      </c>
      <c r="J254" s="325">
        <f>(1.2+0.95+1.2+0.95)*2.3</f>
        <v>9.8899999999999988</v>
      </c>
      <c r="K254" s="325"/>
      <c r="L254" s="325"/>
      <c r="M254" s="325"/>
      <c r="N254" s="325"/>
      <c r="O254" s="326"/>
      <c r="P254" s="326"/>
      <c r="Q254" s="326"/>
      <c r="R254" s="326">
        <v>1.1000000000000001</v>
      </c>
      <c r="S254" s="327" t="s">
        <v>526</v>
      </c>
    </row>
    <row r="255" spans="1:19" ht="15" customHeight="1">
      <c r="A255" s="561">
        <f t="shared" si="3"/>
        <v>255</v>
      </c>
      <c r="B255" s="31">
        <v>103</v>
      </c>
      <c r="C255" s="249" t="s">
        <v>718</v>
      </c>
      <c r="D255" s="320" t="s">
        <v>180</v>
      </c>
      <c r="E255" s="321" t="s">
        <v>358</v>
      </c>
      <c r="F255" s="322" t="s">
        <v>332</v>
      </c>
      <c r="G255" s="323" t="s">
        <v>755</v>
      </c>
      <c r="H255" s="322" t="s">
        <v>44</v>
      </c>
      <c r="I255" s="324">
        <f>((5.8*3.9)+(3.5*2.6))*1.3</f>
        <v>41.235999999999997</v>
      </c>
      <c r="J255" s="325"/>
      <c r="K255" s="325"/>
      <c r="L255" s="325">
        <f>(5.8+3.9+2.65+3.5+2.6+7.6)*2.7</f>
        <v>70.334999999999994</v>
      </c>
      <c r="M255" s="325"/>
      <c r="N255" s="325"/>
      <c r="O255" s="326"/>
      <c r="P255" s="326"/>
      <c r="Q255" s="326">
        <f>I255</f>
        <v>41.235999999999997</v>
      </c>
      <c r="R255" s="326"/>
      <c r="S255" s="327"/>
    </row>
    <row r="256" spans="1:19" ht="15" customHeight="1">
      <c r="A256" s="561">
        <f t="shared" si="3"/>
        <v>256</v>
      </c>
      <c r="B256" s="31">
        <v>103</v>
      </c>
      <c r="C256" s="249" t="s">
        <v>718</v>
      </c>
      <c r="D256" s="320" t="s">
        <v>180</v>
      </c>
      <c r="E256" s="321" t="s">
        <v>358</v>
      </c>
      <c r="F256" s="322" t="s">
        <v>334</v>
      </c>
      <c r="G256" s="323" t="s">
        <v>756</v>
      </c>
      <c r="H256" s="322" t="s">
        <v>12</v>
      </c>
      <c r="I256" s="324">
        <v>44</v>
      </c>
      <c r="J256" s="325"/>
      <c r="K256" s="325"/>
      <c r="L256" s="325">
        <v>62</v>
      </c>
      <c r="M256" s="325"/>
      <c r="N256" s="325"/>
      <c r="O256" s="326"/>
      <c r="P256" s="326"/>
      <c r="Q256" s="326"/>
      <c r="R256" s="326">
        <v>44</v>
      </c>
      <c r="S256" s="327"/>
    </row>
    <row r="257" spans="1:19" ht="15" customHeight="1">
      <c r="A257" s="561">
        <f t="shared" si="3"/>
        <v>257</v>
      </c>
      <c r="B257" s="31">
        <v>103</v>
      </c>
      <c r="C257" s="249" t="s">
        <v>718</v>
      </c>
      <c r="D257" s="320" t="s">
        <v>180</v>
      </c>
      <c r="E257" s="321" t="s">
        <v>358</v>
      </c>
      <c r="F257" s="322" t="s">
        <v>334</v>
      </c>
      <c r="G257" s="323" t="s">
        <v>757</v>
      </c>
      <c r="H257" s="322" t="s">
        <v>1326</v>
      </c>
      <c r="I257" s="324">
        <v>24</v>
      </c>
      <c r="J257" s="325"/>
      <c r="K257" s="325"/>
      <c r="L257" s="325">
        <v>38</v>
      </c>
      <c r="M257" s="325"/>
      <c r="N257" s="325"/>
      <c r="O257" s="326"/>
      <c r="P257" s="326">
        <v>24</v>
      </c>
      <c r="Q257" s="326"/>
      <c r="R257" s="326"/>
      <c r="S257" s="327"/>
    </row>
    <row r="258" spans="1:19" ht="15" customHeight="1">
      <c r="A258" s="561">
        <f t="shared" si="3"/>
        <v>258</v>
      </c>
      <c r="B258" s="31">
        <v>103</v>
      </c>
      <c r="C258" s="249" t="s">
        <v>718</v>
      </c>
      <c r="D258" s="320" t="s">
        <v>180</v>
      </c>
      <c r="E258" s="321" t="s">
        <v>358</v>
      </c>
      <c r="F258" s="322" t="s">
        <v>168</v>
      </c>
      <c r="G258" s="323" t="s">
        <v>758</v>
      </c>
      <c r="H258" s="322"/>
      <c r="I258" s="324">
        <v>0</v>
      </c>
      <c r="J258" s="325"/>
      <c r="K258" s="325"/>
      <c r="L258" s="325"/>
      <c r="M258" s="325"/>
      <c r="N258" s="325"/>
      <c r="O258" s="326"/>
      <c r="P258" s="326"/>
      <c r="Q258" s="326"/>
      <c r="R258" s="326"/>
      <c r="S258" s="327" t="s">
        <v>775</v>
      </c>
    </row>
    <row r="259" spans="1:19" ht="15" customHeight="1">
      <c r="A259" s="561">
        <f t="shared" ref="A259:A322" si="4">1+A258</f>
        <v>259</v>
      </c>
      <c r="B259" s="31">
        <v>103</v>
      </c>
      <c r="C259" s="249" t="s">
        <v>718</v>
      </c>
      <c r="D259" s="320" t="s">
        <v>180</v>
      </c>
      <c r="E259" s="321" t="s">
        <v>358</v>
      </c>
      <c r="F259" s="322" t="s">
        <v>759</v>
      </c>
      <c r="G259" s="323" t="s">
        <v>760</v>
      </c>
      <c r="H259" s="322" t="s">
        <v>44</v>
      </c>
      <c r="I259" s="324">
        <v>7.7804999999999991</v>
      </c>
      <c r="J259" s="325"/>
      <c r="K259" s="325"/>
      <c r="L259" s="325"/>
      <c r="M259" s="325"/>
      <c r="N259" s="325">
        <v>24.24</v>
      </c>
      <c r="O259" s="326"/>
      <c r="P259" s="326"/>
      <c r="Q259" s="326"/>
      <c r="R259" s="326">
        <v>5.9849999999999994</v>
      </c>
      <c r="S259" s="327" t="s">
        <v>776</v>
      </c>
    </row>
    <row r="260" spans="1:19" ht="15" customHeight="1">
      <c r="A260" s="561">
        <f t="shared" si="4"/>
        <v>260</v>
      </c>
      <c r="B260" s="31">
        <v>103</v>
      </c>
      <c r="C260" s="249" t="s">
        <v>718</v>
      </c>
      <c r="D260" s="320" t="s">
        <v>180</v>
      </c>
      <c r="E260" s="321" t="s">
        <v>358</v>
      </c>
      <c r="F260" s="322" t="s">
        <v>307</v>
      </c>
      <c r="G260" s="323" t="s">
        <v>761</v>
      </c>
      <c r="H260" s="322" t="s">
        <v>109</v>
      </c>
      <c r="I260" s="324">
        <v>13</v>
      </c>
      <c r="J260" s="325"/>
      <c r="K260" s="325"/>
      <c r="L260" s="325">
        <v>37</v>
      </c>
      <c r="M260" s="325"/>
      <c r="N260" s="325"/>
      <c r="O260" s="326"/>
      <c r="P260" s="326"/>
      <c r="Q260" s="326">
        <v>10</v>
      </c>
      <c r="R260" s="326"/>
      <c r="S260" s="327" t="s">
        <v>522</v>
      </c>
    </row>
    <row r="261" spans="1:19" ht="15" customHeight="1">
      <c r="A261" s="561">
        <f t="shared" si="4"/>
        <v>261</v>
      </c>
      <c r="B261" s="31">
        <v>103</v>
      </c>
      <c r="C261" s="249" t="s">
        <v>718</v>
      </c>
      <c r="D261" s="320" t="s">
        <v>180</v>
      </c>
      <c r="E261" s="321" t="s">
        <v>358</v>
      </c>
      <c r="F261" s="322" t="s">
        <v>762</v>
      </c>
      <c r="G261" s="323" t="s">
        <v>763</v>
      </c>
      <c r="H261" s="322" t="s">
        <v>176</v>
      </c>
      <c r="I261" s="324">
        <v>10.4</v>
      </c>
      <c r="J261" s="325"/>
      <c r="K261" s="325"/>
      <c r="L261" s="325">
        <v>33</v>
      </c>
      <c r="M261" s="325"/>
      <c r="N261" s="325"/>
      <c r="O261" s="326"/>
      <c r="P261" s="326"/>
      <c r="Q261" s="326">
        <v>8</v>
      </c>
      <c r="R261" s="326"/>
      <c r="S261" s="327" t="s">
        <v>522</v>
      </c>
    </row>
    <row r="262" spans="1:19" ht="15" customHeight="1">
      <c r="A262" s="561">
        <f t="shared" si="4"/>
        <v>262</v>
      </c>
      <c r="B262" s="31">
        <v>103</v>
      </c>
      <c r="C262" s="249" t="s">
        <v>718</v>
      </c>
      <c r="D262" s="320" t="s">
        <v>180</v>
      </c>
      <c r="E262" s="321" t="s">
        <v>358</v>
      </c>
      <c r="F262" s="322" t="s">
        <v>479</v>
      </c>
      <c r="G262" s="323" t="s">
        <v>764</v>
      </c>
      <c r="H262" s="322"/>
      <c r="I262" s="324">
        <v>0</v>
      </c>
      <c r="J262" s="325"/>
      <c r="K262" s="325"/>
      <c r="L262" s="325"/>
      <c r="M262" s="325"/>
      <c r="N262" s="325"/>
      <c r="O262" s="326"/>
      <c r="P262" s="326"/>
      <c r="Q262" s="326"/>
      <c r="R262" s="326"/>
      <c r="S262" s="327" t="s">
        <v>1330</v>
      </c>
    </row>
    <row r="263" spans="1:19" ht="15" customHeight="1">
      <c r="A263" s="561">
        <f t="shared" si="4"/>
        <v>263</v>
      </c>
      <c r="B263" s="31">
        <v>103</v>
      </c>
      <c r="C263" s="249" t="s">
        <v>718</v>
      </c>
      <c r="D263" s="320" t="s">
        <v>180</v>
      </c>
      <c r="E263" s="321" t="s">
        <v>358</v>
      </c>
      <c r="F263" s="322" t="s">
        <v>765</v>
      </c>
      <c r="G263" s="323" t="s">
        <v>766</v>
      </c>
      <c r="H263" s="322"/>
      <c r="I263" s="324">
        <v>0</v>
      </c>
      <c r="J263" s="325"/>
      <c r="K263" s="325"/>
      <c r="L263" s="325"/>
      <c r="M263" s="325"/>
      <c r="N263" s="325"/>
      <c r="O263" s="326"/>
      <c r="P263" s="326"/>
      <c r="Q263" s="326"/>
      <c r="R263" s="326"/>
      <c r="S263" s="327" t="s">
        <v>1330</v>
      </c>
    </row>
    <row r="264" spans="1:19" ht="15" customHeight="1">
      <c r="A264" s="561">
        <f t="shared" si="4"/>
        <v>264</v>
      </c>
      <c r="B264" s="31">
        <v>103</v>
      </c>
      <c r="C264" s="249" t="s">
        <v>718</v>
      </c>
      <c r="D264" s="320" t="s">
        <v>180</v>
      </c>
      <c r="E264" s="321" t="s">
        <v>358</v>
      </c>
      <c r="F264" s="322" t="s">
        <v>479</v>
      </c>
      <c r="G264" s="323" t="s">
        <v>482</v>
      </c>
      <c r="H264" s="322"/>
      <c r="I264" s="324">
        <v>0</v>
      </c>
      <c r="J264" s="325"/>
      <c r="K264" s="325"/>
      <c r="L264" s="325"/>
      <c r="M264" s="325"/>
      <c r="N264" s="325"/>
      <c r="O264" s="326"/>
      <c r="P264" s="326"/>
      <c r="Q264" s="326"/>
      <c r="R264" s="326"/>
      <c r="S264" s="327" t="s">
        <v>1330</v>
      </c>
    </row>
    <row r="265" spans="1:19" ht="15" customHeight="1">
      <c r="A265" s="561">
        <f t="shared" si="4"/>
        <v>265</v>
      </c>
      <c r="B265" s="31">
        <v>103</v>
      </c>
      <c r="C265" s="249" t="s">
        <v>718</v>
      </c>
      <c r="D265" s="320" t="s">
        <v>180</v>
      </c>
      <c r="E265" s="321" t="s">
        <v>358</v>
      </c>
      <c r="F265" s="322" t="s">
        <v>765</v>
      </c>
      <c r="G265" s="323" t="s">
        <v>484</v>
      </c>
      <c r="H265" s="322"/>
      <c r="I265" s="324">
        <v>0</v>
      </c>
      <c r="J265" s="325"/>
      <c r="K265" s="325"/>
      <c r="L265" s="325"/>
      <c r="M265" s="325"/>
      <c r="N265" s="325"/>
      <c r="O265" s="326"/>
      <c r="P265" s="326"/>
      <c r="Q265" s="326"/>
      <c r="R265" s="326"/>
      <c r="S265" s="327" t="s">
        <v>1330</v>
      </c>
    </row>
    <row r="266" spans="1:19" ht="15" customHeight="1">
      <c r="A266" s="561">
        <f t="shared" si="4"/>
        <v>266</v>
      </c>
      <c r="B266" s="31">
        <v>103</v>
      </c>
      <c r="C266" s="249" t="s">
        <v>718</v>
      </c>
      <c r="D266" s="320" t="s">
        <v>180</v>
      </c>
      <c r="E266" s="321" t="s">
        <v>358</v>
      </c>
      <c r="F266" s="322" t="s">
        <v>479</v>
      </c>
      <c r="G266" s="323" t="s">
        <v>487</v>
      </c>
      <c r="H266" s="322"/>
      <c r="I266" s="324">
        <v>0</v>
      </c>
      <c r="J266" s="325"/>
      <c r="K266" s="325"/>
      <c r="L266" s="325"/>
      <c r="M266" s="325"/>
      <c r="N266" s="325"/>
      <c r="O266" s="326"/>
      <c r="P266" s="326"/>
      <c r="Q266" s="326"/>
      <c r="R266" s="326"/>
      <c r="S266" s="327" t="s">
        <v>1330</v>
      </c>
    </row>
    <row r="267" spans="1:19" ht="15" customHeight="1">
      <c r="A267" s="561">
        <f t="shared" si="4"/>
        <v>267</v>
      </c>
      <c r="B267" s="31">
        <v>103</v>
      </c>
      <c r="C267" s="249" t="s">
        <v>718</v>
      </c>
      <c r="D267" s="320" t="s">
        <v>180</v>
      </c>
      <c r="E267" s="321" t="s">
        <v>358</v>
      </c>
      <c r="F267" s="322" t="s">
        <v>765</v>
      </c>
      <c r="G267" s="323" t="s">
        <v>478</v>
      </c>
      <c r="H267" s="322"/>
      <c r="I267" s="324">
        <v>0</v>
      </c>
      <c r="J267" s="325"/>
      <c r="K267" s="325"/>
      <c r="L267" s="325"/>
      <c r="M267" s="325"/>
      <c r="N267" s="325"/>
      <c r="O267" s="326"/>
      <c r="P267" s="326"/>
      <c r="Q267" s="326"/>
      <c r="R267" s="326"/>
      <c r="S267" s="327" t="s">
        <v>1330</v>
      </c>
    </row>
    <row r="268" spans="1:19" ht="15" customHeight="1">
      <c r="A268" s="561">
        <f t="shared" si="4"/>
        <v>268</v>
      </c>
      <c r="B268" s="31">
        <v>103</v>
      </c>
      <c r="C268" s="249" t="s">
        <v>718</v>
      </c>
      <c r="D268" s="320" t="s">
        <v>180</v>
      </c>
      <c r="E268" s="321" t="s">
        <v>358</v>
      </c>
      <c r="F268" s="322" t="s">
        <v>479</v>
      </c>
      <c r="G268" s="323" t="s">
        <v>481</v>
      </c>
      <c r="H268" s="322" t="s">
        <v>319</v>
      </c>
      <c r="I268" s="324">
        <v>85</v>
      </c>
      <c r="J268" s="325"/>
      <c r="K268" s="325"/>
      <c r="L268" s="325">
        <v>35</v>
      </c>
      <c r="M268" s="325"/>
      <c r="N268" s="325">
        <v>35</v>
      </c>
      <c r="O268" s="326"/>
      <c r="P268" s="326"/>
      <c r="Q268" s="326"/>
      <c r="R268" s="326">
        <v>85</v>
      </c>
      <c r="S268" s="327" t="s">
        <v>1153</v>
      </c>
    </row>
    <row r="269" spans="1:19" ht="15" customHeight="1">
      <c r="A269" s="561">
        <f t="shared" si="4"/>
        <v>269</v>
      </c>
      <c r="B269" s="31">
        <v>103</v>
      </c>
      <c r="C269" s="249" t="s">
        <v>718</v>
      </c>
      <c r="D269" s="320" t="s">
        <v>180</v>
      </c>
      <c r="E269" s="321" t="s">
        <v>358</v>
      </c>
      <c r="F269" s="322" t="s">
        <v>479</v>
      </c>
      <c r="G269" s="323" t="s">
        <v>483</v>
      </c>
      <c r="H269" s="322"/>
      <c r="I269" s="324">
        <v>0</v>
      </c>
      <c r="J269" s="325"/>
      <c r="K269" s="325"/>
      <c r="L269" s="325"/>
      <c r="M269" s="325"/>
      <c r="N269" s="325"/>
      <c r="O269" s="326"/>
      <c r="P269" s="326"/>
      <c r="Q269" s="326"/>
      <c r="R269" s="326"/>
      <c r="S269" s="327" t="s">
        <v>1330</v>
      </c>
    </row>
    <row r="270" spans="1:19" ht="15" customHeight="1">
      <c r="A270" s="561">
        <f t="shared" si="4"/>
        <v>270</v>
      </c>
      <c r="B270" s="31">
        <v>103</v>
      </c>
      <c r="C270" s="249" t="s">
        <v>718</v>
      </c>
      <c r="D270" s="320" t="s">
        <v>180</v>
      </c>
      <c r="E270" s="321" t="s">
        <v>358</v>
      </c>
      <c r="F270" s="322" t="s">
        <v>765</v>
      </c>
      <c r="G270" s="323" t="s">
        <v>485</v>
      </c>
      <c r="H270" s="322"/>
      <c r="I270" s="324">
        <v>0</v>
      </c>
      <c r="J270" s="325"/>
      <c r="K270" s="325"/>
      <c r="L270" s="325"/>
      <c r="M270" s="325"/>
      <c r="N270" s="325"/>
      <c r="O270" s="326"/>
      <c r="P270" s="326"/>
      <c r="Q270" s="326"/>
      <c r="R270" s="326"/>
      <c r="S270" s="327" t="s">
        <v>1330</v>
      </c>
    </row>
    <row r="271" spans="1:19" ht="15" customHeight="1">
      <c r="A271" s="561">
        <f t="shared" si="4"/>
        <v>271</v>
      </c>
      <c r="B271" s="31">
        <v>103</v>
      </c>
      <c r="C271" s="249" t="s">
        <v>718</v>
      </c>
      <c r="D271" s="320" t="s">
        <v>180</v>
      </c>
      <c r="E271" s="321" t="s">
        <v>358</v>
      </c>
      <c r="F271" s="322" t="s">
        <v>724</v>
      </c>
      <c r="G271" s="323" t="s">
        <v>456</v>
      </c>
      <c r="H271" s="322"/>
      <c r="I271" s="324">
        <v>0</v>
      </c>
      <c r="J271" s="325"/>
      <c r="K271" s="325"/>
      <c r="L271" s="325"/>
      <c r="M271" s="325"/>
      <c r="N271" s="325"/>
      <c r="O271" s="326"/>
      <c r="P271" s="326"/>
      <c r="Q271" s="326"/>
      <c r="R271" s="326"/>
      <c r="S271" s="327" t="s">
        <v>1330</v>
      </c>
    </row>
    <row r="272" spans="1:19" ht="15" customHeight="1">
      <c r="A272" s="561">
        <f t="shared" si="4"/>
        <v>272</v>
      </c>
      <c r="B272" s="31">
        <v>103</v>
      </c>
      <c r="C272" s="249" t="s">
        <v>718</v>
      </c>
      <c r="D272" s="320" t="s">
        <v>180</v>
      </c>
      <c r="E272" s="321" t="s">
        <v>358</v>
      </c>
      <c r="F272" s="322" t="s">
        <v>724</v>
      </c>
      <c r="G272" s="323" t="s">
        <v>460</v>
      </c>
      <c r="H272" s="322"/>
      <c r="I272" s="324">
        <v>0</v>
      </c>
      <c r="J272" s="325"/>
      <c r="K272" s="325"/>
      <c r="L272" s="325"/>
      <c r="M272" s="325"/>
      <c r="N272" s="325"/>
      <c r="O272" s="326"/>
      <c r="P272" s="326"/>
      <c r="Q272" s="326"/>
      <c r="R272" s="326"/>
      <c r="S272" s="327" t="s">
        <v>1330</v>
      </c>
    </row>
    <row r="273" spans="1:19" ht="15" customHeight="1">
      <c r="A273" s="561">
        <f t="shared" si="4"/>
        <v>273</v>
      </c>
      <c r="B273" s="31">
        <v>103</v>
      </c>
      <c r="C273" s="249" t="s">
        <v>718</v>
      </c>
      <c r="D273" s="320" t="s">
        <v>180</v>
      </c>
      <c r="E273" s="321" t="s">
        <v>358</v>
      </c>
      <c r="F273" s="322" t="s">
        <v>724</v>
      </c>
      <c r="G273" s="323" t="s">
        <v>488</v>
      </c>
      <c r="H273" s="322" t="s">
        <v>109</v>
      </c>
      <c r="I273" s="324">
        <f>(2.5*5.5)*1.3</f>
        <v>17.875</v>
      </c>
      <c r="J273" s="325"/>
      <c r="K273" s="325"/>
      <c r="L273" s="325">
        <f>12.2+12.2+5.15+(5.15*2.9)</f>
        <v>44.484999999999999</v>
      </c>
      <c r="M273" s="325"/>
      <c r="N273" s="325"/>
      <c r="O273" s="326"/>
      <c r="P273" s="326">
        <f>I273</f>
        <v>17.875</v>
      </c>
      <c r="Q273" s="326"/>
      <c r="R273" s="326"/>
      <c r="S273" s="327"/>
    </row>
    <row r="274" spans="1:19" ht="15" customHeight="1">
      <c r="A274" s="561">
        <f t="shared" si="4"/>
        <v>274</v>
      </c>
      <c r="B274" s="31">
        <v>103</v>
      </c>
      <c r="C274" s="249" t="s">
        <v>718</v>
      </c>
      <c r="D274" s="320" t="s">
        <v>180</v>
      </c>
      <c r="E274" s="321" t="s">
        <v>358</v>
      </c>
      <c r="F274" s="322" t="s">
        <v>724</v>
      </c>
      <c r="G274" s="323" t="s">
        <v>767</v>
      </c>
      <c r="H274" s="322" t="s">
        <v>109</v>
      </c>
      <c r="I274" s="324">
        <f>(1.5*3)*1.3</f>
        <v>5.8500000000000005</v>
      </c>
      <c r="J274" s="325"/>
      <c r="K274" s="325"/>
      <c r="L274" s="325"/>
      <c r="M274" s="325"/>
      <c r="N274" s="325">
        <f>(1.5+3+1.5+3)*2.9</f>
        <v>26.099999999999998</v>
      </c>
      <c r="O274" s="326"/>
      <c r="P274" s="326"/>
      <c r="Q274" s="326">
        <f>I274</f>
        <v>5.8500000000000005</v>
      </c>
      <c r="R274" s="326"/>
      <c r="S274" s="327"/>
    </row>
    <row r="275" spans="1:19" ht="15" customHeight="1">
      <c r="A275" s="561">
        <f t="shared" si="4"/>
        <v>275</v>
      </c>
      <c r="B275" s="31">
        <v>103</v>
      </c>
      <c r="C275" s="249" t="s">
        <v>718</v>
      </c>
      <c r="D275" s="320" t="s">
        <v>180</v>
      </c>
      <c r="E275" s="321" t="s">
        <v>358</v>
      </c>
      <c r="F275" s="322" t="s">
        <v>724</v>
      </c>
      <c r="G275" s="323" t="s">
        <v>768</v>
      </c>
      <c r="H275" s="322" t="s">
        <v>109</v>
      </c>
      <c r="I275" s="324">
        <f>(2.5*1.9)*1.3</f>
        <v>6.1749999999999998</v>
      </c>
      <c r="J275" s="325"/>
      <c r="K275" s="325"/>
      <c r="L275" s="325"/>
      <c r="M275" s="325"/>
      <c r="N275" s="325">
        <f>(2.5+1.9+2.5+1.9)*2.9</f>
        <v>25.52</v>
      </c>
      <c r="O275" s="326"/>
      <c r="P275" s="326"/>
      <c r="Q275" s="326">
        <f>I275</f>
        <v>6.1749999999999998</v>
      </c>
      <c r="R275" s="326"/>
      <c r="S275" s="327"/>
    </row>
    <row r="276" spans="1:19" ht="15" customHeight="1">
      <c r="A276" s="561">
        <f t="shared" si="4"/>
        <v>276</v>
      </c>
      <c r="B276" s="31">
        <v>103</v>
      </c>
      <c r="C276" s="249" t="s">
        <v>718</v>
      </c>
      <c r="D276" s="320" t="s">
        <v>180</v>
      </c>
      <c r="E276" s="321" t="s">
        <v>358</v>
      </c>
      <c r="F276" s="322" t="s">
        <v>175</v>
      </c>
      <c r="G276" s="323" t="s">
        <v>769</v>
      </c>
      <c r="H276" s="322" t="s">
        <v>12</v>
      </c>
      <c r="I276" s="324">
        <v>23</v>
      </c>
      <c r="J276" s="325"/>
      <c r="K276" s="325"/>
      <c r="L276" s="325">
        <v>109</v>
      </c>
      <c r="M276" s="325"/>
      <c r="N276" s="325"/>
      <c r="O276" s="326"/>
      <c r="P276" s="326">
        <v>22</v>
      </c>
      <c r="Q276" s="326"/>
      <c r="R276" s="326">
        <v>1</v>
      </c>
      <c r="S276" s="327"/>
    </row>
    <row r="277" spans="1:19" ht="15" customHeight="1">
      <c r="A277" s="561">
        <f t="shared" si="4"/>
        <v>277</v>
      </c>
      <c r="B277" s="31">
        <v>103</v>
      </c>
      <c r="C277" s="249" t="s">
        <v>718</v>
      </c>
      <c r="D277" s="320" t="s">
        <v>180</v>
      </c>
      <c r="E277" s="321" t="s">
        <v>358</v>
      </c>
      <c r="F277" s="322" t="s">
        <v>724</v>
      </c>
      <c r="G277" s="323" t="s">
        <v>770</v>
      </c>
      <c r="H277" s="322"/>
      <c r="I277" s="324">
        <v>0</v>
      </c>
      <c r="J277" s="325"/>
      <c r="K277" s="325"/>
      <c r="L277" s="325"/>
      <c r="M277" s="325"/>
      <c r="N277" s="325"/>
      <c r="O277" s="326"/>
      <c r="P277" s="326"/>
      <c r="Q277" s="326"/>
      <c r="R277" s="326"/>
      <c r="S277" s="327" t="s">
        <v>1330</v>
      </c>
    </row>
    <row r="278" spans="1:19" ht="15" customHeight="1">
      <c r="A278" s="561">
        <f t="shared" si="4"/>
        <v>278</v>
      </c>
      <c r="B278" s="31">
        <v>103</v>
      </c>
      <c r="C278" s="249" t="s">
        <v>718</v>
      </c>
      <c r="D278" s="320" t="s">
        <v>180</v>
      </c>
      <c r="E278" s="321" t="s">
        <v>358</v>
      </c>
      <c r="F278" s="322" t="s">
        <v>489</v>
      </c>
      <c r="G278" s="323" t="s">
        <v>480</v>
      </c>
      <c r="H278" s="322" t="s">
        <v>44</v>
      </c>
      <c r="I278" s="324">
        <f>((4.9*1.7))*1.3</f>
        <v>10.829000000000001</v>
      </c>
      <c r="J278" s="325"/>
      <c r="K278" s="325"/>
      <c r="L278" s="325">
        <f>(4.9+1.7+4.9+1.7)*3.7</f>
        <v>48.839999999999996</v>
      </c>
      <c r="M278" s="325"/>
      <c r="N278" s="325"/>
      <c r="O278" s="326"/>
      <c r="P278" s="326">
        <f>I278</f>
        <v>10.829000000000001</v>
      </c>
      <c r="Q278" s="326"/>
      <c r="R278" s="326"/>
      <c r="S278" s="327"/>
    </row>
    <row r="279" spans="1:19" ht="15" customHeight="1">
      <c r="A279" s="561">
        <f t="shared" si="4"/>
        <v>279</v>
      </c>
      <c r="B279" s="31">
        <v>103</v>
      </c>
      <c r="C279" s="249" t="s">
        <v>718</v>
      </c>
      <c r="D279" s="320" t="s">
        <v>180</v>
      </c>
      <c r="E279" s="321" t="s">
        <v>358</v>
      </c>
      <c r="F279" s="322" t="s">
        <v>489</v>
      </c>
      <c r="G279" s="323" t="s">
        <v>771</v>
      </c>
      <c r="H279" s="322" t="s">
        <v>19</v>
      </c>
      <c r="I279" s="324">
        <v>9.1</v>
      </c>
      <c r="J279" s="325"/>
      <c r="K279" s="325"/>
      <c r="L279" s="325">
        <v>42</v>
      </c>
      <c r="M279" s="325"/>
      <c r="N279" s="325"/>
      <c r="O279" s="326"/>
      <c r="P279" s="326">
        <v>7</v>
      </c>
      <c r="Q279" s="326"/>
      <c r="R279" s="326"/>
      <c r="S279" s="327"/>
    </row>
    <row r="280" spans="1:19" ht="15" customHeight="1">
      <c r="A280" s="561">
        <f t="shared" si="4"/>
        <v>280</v>
      </c>
      <c r="B280" s="31">
        <v>103</v>
      </c>
      <c r="C280" s="249" t="s">
        <v>718</v>
      </c>
      <c r="D280" s="320" t="s">
        <v>180</v>
      </c>
      <c r="E280" s="321" t="s">
        <v>358</v>
      </c>
      <c r="F280" s="322" t="s">
        <v>489</v>
      </c>
      <c r="G280" s="323" t="s">
        <v>772</v>
      </c>
      <c r="H280" s="322" t="s">
        <v>44</v>
      </c>
      <c r="I280" s="324">
        <f>(0.9*3.5)*1.3</f>
        <v>4.0949999999999998</v>
      </c>
      <c r="J280" s="325"/>
      <c r="K280" s="325"/>
      <c r="L280" s="325">
        <f>(1.1+3.5+0.7+3.5)*3.1</f>
        <v>27.280000000000005</v>
      </c>
      <c r="M280" s="325"/>
      <c r="N280" s="325"/>
      <c r="O280" s="326"/>
      <c r="P280" s="326">
        <f>I280</f>
        <v>4.0949999999999998</v>
      </c>
      <c r="Q280" s="326"/>
      <c r="R280" s="326"/>
      <c r="S280" s="327"/>
    </row>
    <row r="281" spans="1:19" ht="15" customHeight="1">
      <c r="A281" s="561">
        <f t="shared" si="4"/>
        <v>281</v>
      </c>
      <c r="B281" s="31">
        <v>103</v>
      </c>
      <c r="C281" s="249" t="s">
        <v>718</v>
      </c>
      <c r="D281" s="320" t="s">
        <v>180</v>
      </c>
      <c r="E281" s="321" t="s">
        <v>358</v>
      </c>
      <c r="F281" s="322" t="s">
        <v>489</v>
      </c>
      <c r="G281" s="323" t="s">
        <v>493</v>
      </c>
      <c r="H281" s="322" t="s">
        <v>109</v>
      </c>
      <c r="I281" s="324">
        <v>18.720000000000002</v>
      </c>
      <c r="J281" s="325">
        <v>3</v>
      </c>
      <c r="K281" s="325"/>
      <c r="L281" s="325"/>
      <c r="M281" s="325"/>
      <c r="N281" s="325">
        <f>(3+0.6+1.25+2.35+5.1+1.35+1.9)*2.4</f>
        <v>37.319999999999993</v>
      </c>
      <c r="O281" s="326"/>
      <c r="P281" s="326"/>
      <c r="Q281" s="326">
        <v>14.4</v>
      </c>
      <c r="R281" s="326"/>
      <c r="S281" s="327" t="s">
        <v>531</v>
      </c>
    </row>
    <row r="282" spans="1:19" ht="15" customHeight="1">
      <c r="A282" s="561">
        <f t="shared" si="4"/>
        <v>282</v>
      </c>
      <c r="B282" s="31">
        <v>103</v>
      </c>
      <c r="C282" s="249" t="s">
        <v>718</v>
      </c>
      <c r="D282" s="320" t="s">
        <v>180</v>
      </c>
      <c r="E282" s="321" t="s">
        <v>358</v>
      </c>
      <c r="F282" s="322" t="s">
        <v>489</v>
      </c>
      <c r="G282" s="323" t="s">
        <v>402</v>
      </c>
      <c r="H282" s="322" t="s">
        <v>19</v>
      </c>
      <c r="I282" s="324">
        <f>(5.3*0.8)*1.3</f>
        <v>5.5120000000000005</v>
      </c>
      <c r="J282" s="325"/>
      <c r="K282" s="325"/>
      <c r="L282" s="325"/>
      <c r="M282" s="325"/>
      <c r="N282" s="325">
        <f>(5.3+0.8+5.3+0.8)*2.7</f>
        <v>32.94</v>
      </c>
      <c r="O282" s="326"/>
      <c r="P282" s="326"/>
      <c r="Q282" s="326">
        <v>4.2</v>
      </c>
      <c r="R282" s="326"/>
      <c r="S282" s="327"/>
    </row>
    <row r="283" spans="1:19" ht="15" customHeight="1">
      <c r="A283" s="561">
        <f t="shared" si="4"/>
        <v>283</v>
      </c>
      <c r="B283" s="31">
        <v>103</v>
      </c>
      <c r="C283" s="249" t="s">
        <v>718</v>
      </c>
      <c r="D283" s="320" t="s">
        <v>180</v>
      </c>
      <c r="E283" s="321" t="s">
        <v>358</v>
      </c>
      <c r="F283" s="322" t="s">
        <v>489</v>
      </c>
      <c r="G283" s="323" t="s">
        <v>495</v>
      </c>
      <c r="H283" s="322" t="s">
        <v>109</v>
      </c>
      <c r="I283" s="324">
        <f>(3.3*1.6)*1.3</f>
        <v>6.8640000000000008</v>
      </c>
      <c r="J283" s="325"/>
      <c r="K283" s="325"/>
      <c r="L283" s="325">
        <f>(1.6+3.3+1.6+3.3)*2.7</f>
        <v>26.460000000000004</v>
      </c>
      <c r="M283" s="325"/>
      <c r="N283" s="325"/>
      <c r="O283" s="326"/>
      <c r="P283" s="326"/>
      <c r="Q283" s="326">
        <v>5.3</v>
      </c>
      <c r="R283" s="326"/>
      <c r="S283" s="327" t="s">
        <v>522</v>
      </c>
    </row>
    <row r="284" spans="1:19" ht="15" customHeight="1">
      <c r="A284" s="561">
        <f t="shared" si="4"/>
        <v>284</v>
      </c>
      <c r="B284" s="31">
        <v>103</v>
      </c>
      <c r="C284" s="249" t="s">
        <v>718</v>
      </c>
      <c r="D284" s="320" t="s">
        <v>180</v>
      </c>
      <c r="E284" s="321" t="s">
        <v>358</v>
      </c>
      <c r="F284" s="322" t="s">
        <v>489</v>
      </c>
      <c r="G284" s="323" t="s">
        <v>496</v>
      </c>
      <c r="H284" s="322" t="s">
        <v>109</v>
      </c>
      <c r="I284" s="324">
        <v>100.10000000000001</v>
      </c>
      <c r="J284" s="325"/>
      <c r="K284" s="325"/>
      <c r="L284" s="325"/>
      <c r="M284" s="325"/>
      <c r="N284" s="325">
        <v>99</v>
      </c>
      <c r="O284" s="326"/>
      <c r="P284" s="326"/>
      <c r="Q284" s="326">
        <v>77</v>
      </c>
      <c r="R284" s="326"/>
      <c r="S284" s="327"/>
    </row>
    <row r="285" spans="1:19" ht="15" customHeight="1">
      <c r="A285" s="561">
        <f t="shared" si="4"/>
        <v>285</v>
      </c>
      <c r="B285" s="31">
        <v>103</v>
      </c>
      <c r="C285" s="249" t="s">
        <v>718</v>
      </c>
      <c r="D285" s="320" t="s">
        <v>180</v>
      </c>
      <c r="E285" s="321" t="s">
        <v>328</v>
      </c>
      <c r="F285" s="322" t="s">
        <v>777</v>
      </c>
      <c r="G285" s="323" t="s">
        <v>385</v>
      </c>
      <c r="H285" s="322"/>
      <c r="I285" s="324">
        <v>0</v>
      </c>
      <c r="J285" s="325"/>
      <c r="K285" s="325"/>
      <c r="L285" s="325"/>
      <c r="M285" s="325"/>
      <c r="N285" s="325"/>
      <c r="O285" s="326"/>
      <c r="P285" s="326"/>
      <c r="Q285" s="326"/>
      <c r="R285" s="326"/>
      <c r="S285" s="327"/>
    </row>
    <row r="286" spans="1:19" ht="15" customHeight="1">
      <c r="A286" s="561">
        <f t="shared" si="4"/>
        <v>286</v>
      </c>
      <c r="B286" s="31">
        <v>103</v>
      </c>
      <c r="C286" s="249" t="s">
        <v>718</v>
      </c>
      <c r="D286" s="320" t="s">
        <v>180</v>
      </c>
      <c r="E286" s="321" t="s">
        <v>328</v>
      </c>
      <c r="F286" s="322" t="s">
        <v>778</v>
      </c>
      <c r="G286" s="323" t="s">
        <v>543</v>
      </c>
      <c r="H286" s="322" t="s">
        <v>166</v>
      </c>
      <c r="I286" s="324">
        <v>3.9000000000000004</v>
      </c>
      <c r="J286" s="325"/>
      <c r="K286" s="325"/>
      <c r="L286" s="325"/>
      <c r="M286" s="325"/>
      <c r="N286" s="325"/>
      <c r="O286" s="326"/>
      <c r="P286" s="326"/>
      <c r="Q286" s="326"/>
      <c r="R286" s="326"/>
      <c r="S286" s="327"/>
    </row>
    <row r="287" spans="1:19" ht="15" customHeight="1">
      <c r="A287" s="561">
        <f t="shared" si="4"/>
        <v>287</v>
      </c>
      <c r="B287" s="31">
        <v>103</v>
      </c>
      <c r="C287" s="249" t="s">
        <v>718</v>
      </c>
      <c r="D287" s="320" t="s">
        <v>180</v>
      </c>
      <c r="E287" s="321" t="s">
        <v>328</v>
      </c>
      <c r="F287" s="322" t="s">
        <v>175</v>
      </c>
      <c r="G287" s="323" t="s">
        <v>545</v>
      </c>
      <c r="H287" s="322" t="s">
        <v>44</v>
      </c>
      <c r="I287" s="324">
        <v>26</v>
      </c>
      <c r="J287" s="325"/>
      <c r="K287" s="325"/>
      <c r="L287" s="325"/>
      <c r="M287" s="325"/>
      <c r="N287" s="325">
        <v>45</v>
      </c>
      <c r="O287" s="326"/>
      <c r="P287" s="326"/>
      <c r="Q287" s="326">
        <v>20</v>
      </c>
      <c r="R287" s="326"/>
      <c r="S287" s="327"/>
    </row>
    <row r="288" spans="1:19" ht="15" customHeight="1">
      <c r="A288" s="561">
        <f t="shared" si="4"/>
        <v>288</v>
      </c>
      <c r="B288" s="31">
        <v>103</v>
      </c>
      <c r="C288" s="249" t="s">
        <v>718</v>
      </c>
      <c r="D288" s="320" t="s">
        <v>180</v>
      </c>
      <c r="E288" s="321" t="s">
        <v>328</v>
      </c>
      <c r="F288" s="322" t="s">
        <v>778</v>
      </c>
      <c r="G288" s="323" t="s">
        <v>542</v>
      </c>
      <c r="H288" s="322" t="s">
        <v>166</v>
      </c>
      <c r="I288" s="324">
        <v>6.5</v>
      </c>
      <c r="J288" s="325"/>
      <c r="K288" s="325"/>
      <c r="L288" s="325"/>
      <c r="M288" s="325"/>
      <c r="N288" s="325"/>
      <c r="O288" s="326"/>
      <c r="P288" s="326"/>
      <c r="Q288" s="326"/>
      <c r="R288" s="326"/>
      <c r="S288" s="327"/>
    </row>
    <row r="289" spans="1:19" ht="15" customHeight="1">
      <c r="A289" s="561">
        <f t="shared" si="4"/>
        <v>289</v>
      </c>
      <c r="B289" s="31">
        <v>103</v>
      </c>
      <c r="C289" s="249" t="s">
        <v>718</v>
      </c>
      <c r="D289" s="320" t="s">
        <v>180</v>
      </c>
      <c r="E289" s="321" t="s">
        <v>328</v>
      </c>
      <c r="F289" s="322" t="s">
        <v>175</v>
      </c>
      <c r="G289" s="323" t="s">
        <v>550</v>
      </c>
      <c r="H289" s="322" t="s">
        <v>44</v>
      </c>
      <c r="I289" s="324">
        <v>126.10000000000001</v>
      </c>
      <c r="J289" s="325"/>
      <c r="K289" s="325"/>
      <c r="L289" s="325"/>
      <c r="M289" s="325"/>
      <c r="N289" s="325">
        <v>170</v>
      </c>
      <c r="O289" s="326"/>
      <c r="P289" s="326"/>
      <c r="Q289" s="326">
        <v>97</v>
      </c>
      <c r="R289" s="326"/>
      <c r="S289" s="327"/>
    </row>
    <row r="290" spans="1:19" ht="15" customHeight="1">
      <c r="A290" s="561">
        <f t="shared" si="4"/>
        <v>290</v>
      </c>
      <c r="B290" s="31">
        <v>103</v>
      </c>
      <c r="C290" s="249" t="s">
        <v>718</v>
      </c>
      <c r="D290" s="320" t="s">
        <v>180</v>
      </c>
      <c r="E290" s="321" t="s">
        <v>328</v>
      </c>
      <c r="F290" s="322" t="s">
        <v>778</v>
      </c>
      <c r="G290" s="323" t="s">
        <v>554</v>
      </c>
      <c r="H290" s="322" t="s">
        <v>166</v>
      </c>
      <c r="I290" s="324">
        <v>7.8000000000000007</v>
      </c>
      <c r="J290" s="325"/>
      <c r="K290" s="325"/>
      <c r="L290" s="325"/>
      <c r="M290" s="325"/>
      <c r="N290" s="325"/>
      <c r="O290" s="326"/>
      <c r="P290" s="326"/>
      <c r="Q290" s="326"/>
      <c r="R290" s="326"/>
      <c r="S290" s="327"/>
    </row>
    <row r="291" spans="1:19" ht="15" customHeight="1">
      <c r="A291" s="561">
        <f t="shared" si="4"/>
        <v>291</v>
      </c>
      <c r="B291" s="31">
        <v>103</v>
      </c>
      <c r="C291" s="249" t="s">
        <v>718</v>
      </c>
      <c r="D291" s="320" t="s">
        <v>180</v>
      </c>
      <c r="E291" s="321" t="s">
        <v>328</v>
      </c>
      <c r="F291" s="322" t="s">
        <v>175</v>
      </c>
      <c r="G291" s="323" t="s">
        <v>779</v>
      </c>
      <c r="H291" s="322" t="s">
        <v>44</v>
      </c>
      <c r="I291" s="324">
        <f>(2.8*10.6)*1.3</f>
        <v>38.583999999999996</v>
      </c>
      <c r="J291" s="325"/>
      <c r="K291" s="325"/>
      <c r="L291" s="325">
        <f>14.3*2.2</f>
        <v>31.460000000000004</v>
      </c>
      <c r="M291" s="325"/>
      <c r="N291" s="325"/>
      <c r="O291" s="326"/>
      <c r="P291" s="326">
        <f>I291</f>
        <v>38.583999999999996</v>
      </c>
      <c r="Q291" s="326"/>
      <c r="R291" s="326"/>
      <c r="S291" s="327"/>
    </row>
    <row r="292" spans="1:19" ht="15" customHeight="1">
      <c r="A292" s="561">
        <f t="shared" si="4"/>
        <v>292</v>
      </c>
      <c r="B292" s="31">
        <v>103</v>
      </c>
      <c r="C292" s="249" t="s">
        <v>718</v>
      </c>
      <c r="D292" s="320" t="s">
        <v>180</v>
      </c>
      <c r="E292" s="321" t="s">
        <v>328</v>
      </c>
      <c r="F292" s="322" t="s">
        <v>428</v>
      </c>
      <c r="G292" s="323" t="s">
        <v>780</v>
      </c>
      <c r="H292" s="322" t="s">
        <v>44</v>
      </c>
      <c r="I292" s="324">
        <v>7.8000000000000007</v>
      </c>
      <c r="J292" s="325"/>
      <c r="K292" s="325"/>
      <c r="L292" s="325">
        <v>22</v>
      </c>
      <c r="M292" s="325"/>
      <c r="N292" s="325"/>
      <c r="O292" s="326"/>
      <c r="P292" s="326">
        <v>6</v>
      </c>
      <c r="Q292" s="326"/>
      <c r="R292" s="326"/>
      <c r="S292" s="327"/>
    </row>
    <row r="293" spans="1:19" ht="15" customHeight="1">
      <c r="A293" s="561">
        <f t="shared" si="4"/>
        <v>293</v>
      </c>
      <c r="B293" s="31">
        <v>103</v>
      </c>
      <c r="C293" s="249" t="s">
        <v>718</v>
      </c>
      <c r="D293" s="320" t="s">
        <v>180</v>
      </c>
      <c r="E293" s="321" t="s">
        <v>328</v>
      </c>
      <c r="F293" s="322" t="s">
        <v>430</v>
      </c>
      <c r="G293" s="323" t="s">
        <v>781</v>
      </c>
      <c r="H293" s="322" t="s">
        <v>44</v>
      </c>
      <c r="I293" s="324">
        <v>3.9000000000000004</v>
      </c>
      <c r="J293" s="325"/>
      <c r="K293" s="325"/>
      <c r="L293" s="325">
        <v>15</v>
      </c>
      <c r="M293" s="325"/>
      <c r="N293" s="325"/>
      <c r="O293" s="326"/>
      <c r="P293" s="326">
        <v>3</v>
      </c>
      <c r="Q293" s="326"/>
      <c r="R293" s="326"/>
      <c r="S293" s="327"/>
    </row>
    <row r="294" spans="1:19" ht="15" customHeight="1">
      <c r="A294" s="561">
        <f t="shared" si="4"/>
        <v>294</v>
      </c>
      <c r="B294" s="31">
        <v>103</v>
      </c>
      <c r="C294" s="249" t="s">
        <v>718</v>
      </c>
      <c r="D294" s="320" t="s">
        <v>180</v>
      </c>
      <c r="E294" s="321" t="s">
        <v>328</v>
      </c>
      <c r="F294" s="322" t="s">
        <v>428</v>
      </c>
      <c r="G294" s="323" t="s">
        <v>782</v>
      </c>
      <c r="H294" s="322" t="s">
        <v>44</v>
      </c>
      <c r="I294" s="324">
        <v>10.4</v>
      </c>
      <c r="J294" s="325"/>
      <c r="K294" s="325"/>
      <c r="L294" s="325">
        <v>25</v>
      </c>
      <c r="M294" s="325"/>
      <c r="N294" s="325"/>
      <c r="O294" s="326"/>
      <c r="P294" s="326">
        <v>8</v>
      </c>
      <c r="Q294" s="326"/>
      <c r="R294" s="326"/>
      <c r="S294" s="327"/>
    </row>
    <row r="295" spans="1:19" ht="15" customHeight="1">
      <c r="A295" s="561">
        <f t="shared" si="4"/>
        <v>295</v>
      </c>
      <c r="B295" s="31">
        <v>103</v>
      </c>
      <c r="C295" s="249" t="s">
        <v>718</v>
      </c>
      <c r="D295" s="320" t="s">
        <v>180</v>
      </c>
      <c r="E295" s="321" t="s">
        <v>328</v>
      </c>
      <c r="F295" s="322" t="s">
        <v>430</v>
      </c>
      <c r="G295" s="323" t="s">
        <v>783</v>
      </c>
      <c r="H295" s="322" t="s">
        <v>44</v>
      </c>
      <c r="I295" s="324">
        <v>5.2</v>
      </c>
      <c r="J295" s="325"/>
      <c r="K295" s="325"/>
      <c r="L295" s="325">
        <v>20</v>
      </c>
      <c r="M295" s="325"/>
      <c r="N295" s="325"/>
      <c r="O295" s="326"/>
      <c r="P295" s="326">
        <v>4</v>
      </c>
      <c r="Q295" s="326"/>
      <c r="R295" s="326"/>
      <c r="S295" s="327"/>
    </row>
    <row r="296" spans="1:19" ht="15" customHeight="1">
      <c r="A296" s="561">
        <f t="shared" si="4"/>
        <v>296</v>
      </c>
      <c r="B296" s="31">
        <v>103</v>
      </c>
      <c r="C296" s="249" t="s">
        <v>718</v>
      </c>
      <c r="D296" s="320" t="s">
        <v>180</v>
      </c>
      <c r="E296" s="321" t="s">
        <v>328</v>
      </c>
      <c r="F296" s="322" t="s">
        <v>334</v>
      </c>
      <c r="G296" s="323" t="s">
        <v>784</v>
      </c>
      <c r="H296" s="322" t="s">
        <v>19</v>
      </c>
      <c r="I296" s="324">
        <v>13</v>
      </c>
      <c r="J296" s="325"/>
      <c r="K296" s="325"/>
      <c r="L296" s="325">
        <v>26</v>
      </c>
      <c r="M296" s="325"/>
      <c r="N296" s="325"/>
      <c r="O296" s="326"/>
      <c r="P296" s="326"/>
      <c r="Q296" s="326">
        <v>10</v>
      </c>
      <c r="R296" s="326"/>
      <c r="S296" s="327"/>
    </row>
    <row r="297" spans="1:19" ht="15" customHeight="1">
      <c r="A297" s="561">
        <f t="shared" si="4"/>
        <v>297</v>
      </c>
      <c r="B297" s="31">
        <v>103</v>
      </c>
      <c r="C297" s="249" t="s">
        <v>718</v>
      </c>
      <c r="D297" s="320" t="s">
        <v>180</v>
      </c>
      <c r="E297" s="321" t="s">
        <v>328</v>
      </c>
      <c r="F297" s="322" t="s">
        <v>334</v>
      </c>
      <c r="G297" s="323" t="s">
        <v>785</v>
      </c>
      <c r="H297" s="322" t="s">
        <v>19</v>
      </c>
      <c r="I297" s="324">
        <f>(4.1*14.5)*1.3</f>
        <v>77.284999999999997</v>
      </c>
      <c r="J297" s="325"/>
      <c r="K297" s="325"/>
      <c r="L297" s="325">
        <f>((14.5+4.1+14.5+4.1)*1.85)+((4.7+2.6+4.15+4.3)*4.6)</f>
        <v>141.26999999999998</v>
      </c>
      <c r="M297" s="325"/>
      <c r="N297" s="325"/>
      <c r="O297" s="326"/>
      <c r="P297" s="326">
        <f>I297-15.7</f>
        <v>61.584999999999994</v>
      </c>
      <c r="Q297" s="326"/>
      <c r="R297" s="326"/>
      <c r="S297" s="327"/>
    </row>
    <row r="298" spans="1:19" ht="15" customHeight="1">
      <c r="A298" s="561">
        <f t="shared" si="4"/>
        <v>298</v>
      </c>
      <c r="B298" s="31">
        <v>103</v>
      </c>
      <c r="C298" s="249" t="s">
        <v>718</v>
      </c>
      <c r="D298" s="320" t="s">
        <v>180</v>
      </c>
      <c r="E298" s="321" t="s">
        <v>328</v>
      </c>
      <c r="F298" s="322" t="s">
        <v>332</v>
      </c>
      <c r="G298" s="323" t="s">
        <v>786</v>
      </c>
      <c r="H298" s="322" t="s">
        <v>44</v>
      </c>
      <c r="I298" s="324">
        <f>(3*7.4)*1.3</f>
        <v>28.860000000000003</v>
      </c>
      <c r="J298" s="325"/>
      <c r="K298" s="325"/>
      <c r="L298" s="325">
        <f>(7.4+3+7.4+3)*1.75</f>
        <v>36.4</v>
      </c>
      <c r="M298" s="325"/>
      <c r="N298" s="325"/>
      <c r="O298" s="326"/>
      <c r="P298" s="326">
        <f>I298</f>
        <v>28.860000000000003</v>
      </c>
      <c r="Q298" s="326"/>
      <c r="R298" s="326"/>
      <c r="S298" s="327"/>
    </row>
    <row r="299" spans="1:19" ht="15" customHeight="1">
      <c r="A299" s="561">
        <f t="shared" si="4"/>
        <v>299</v>
      </c>
      <c r="B299" s="31">
        <v>103</v>
      </c>
      <c r="C299" s="249" t="s">
        <v>718</v>
      </c>
      <c r="D299" s="320" t="s">
        <v>180</v>
      </c>
      <c r="E299" s="321" t="s">
        <v>328</v>
      </c>
      <c r="F299" s="322" t="s">
        <v>168</v>
      </c>
      <c r="G299" s="323" t="s">
        <v>787</v>
      </c>
      <c r="H299" s="322" t="s">
        <v>109</v>
      </c>
      <c r="I299" s="324">
        <v>105.3</v>
      </c>
      <c r="J299" s="325"/>
      <c r="K299" s="325"/>
      <c r="L299" s="325"/>
      <c r="M299" s="325"/>
      <c r="N299" s="325">
        <f>((6+4.4+6+4)*2.5)+((8.5+4.4+8.5)*2.25)</f>
        <v>99.15</v>
      </c>
      <c r="O299" s="326"/>
      <c r="P299" s="326"/>
      <c r="Q299" s="326">
        <v>41</v>
      </c>
      <c r="R299" s="326"/>
      <c r="S299" s="327"/>
    </row>
    <row r="300" spans="1:19" ht="15" customHeight="1">
      <c r="A300" s="561">
        <f t="shared" si="4"/>
        <v>300</v>
      </c>
      <c r="B300" s="31">
        <v>103</v>
      </c>
      <c r="C300" s="249" t="s">
        <v>718</v>
      </c>
      <c r="D300" s="320" t="s">
        <v>180</v>
      </c>
      <c r="E300" s="321" t="s">
        <v>328</v>
      </c>
      <c r="F300" s="322" t="s">
        <v>168</v>
      </c>
      <c r="G300" s="323" t="s">
        <v>788</v>
      </c>
      <c r="H300" s="322" t="s">
        <v>109</v>
      </c>
      <c r="I300" s="324">
        <v>96.2</v>
      </c>
      <c r="J300" s="325"/>
      <c r="K300" s="325"/>
      <c r="L300" s="325"/>
      <c r="M300" s="325"/>
      <c r="N300" s="325">
        <v>117</v>
      </c>
      <c r="O300" s="326"/>
      <c r="P300" s="326"/>
      <c r="Q300" s="326">
        <v>56</v>
      </c>
      <c r="R300" s="326"/>
      <c r="S300" s="327"/>
    </row>
    <row r="301" spans="1:19" ht="15" customHeight="1">
      <c r="A301" s="561">
        <f t="shared" si="4"/>
        <v>301</v>
      </c>
      <c r="B301" s="31">
        <v>103</v>
      </c>
      <c r="C301" s="249" t="s">
        <v>718</v>
      </c>
      <c r="D301" s="320" t="s">
        <v>180</v>
      </c>
      <c r="E301" s="321" t="s">
        <v>328</v>
      </c>
      <c r="F301" s="322" t="s">
        <v>168</v>
      </c>
      <c r="G301" s="323" t="s">
        <v>602</v>
      </c>
      <c r="H301" s="322" t="s">
        <v>109</v>
      </c>
      <c r="I301" s="324">
        <f>(7.4*8.4)*1.3</f>
        <v>80.808000000000007</v>
      </c>
      <c r="J301" s="325"/>
      <c r="K301" s="325"/>
      <c r="L301" s="325"/>
      <c r="M301" s="325"/>
      <c r="N301" s="325">
        <f>(8.4+7.4+8.4)*2.2</f>
        <v>53.240000000000009</v>
      </c>
      <c r="O301" s="326"/>
      <c r="P301" s="326"/>
      <c r="Q301" s="326">
        <f>0.3*N301</f>
        <v>15.972000000000001</v>
      </c>
      <c r="R301" s="326"/>
      <c r="S301" s="327"/>
    </row>
    <row r="302" spans="1:19" ht="15" customHeight="1">
      <c r="A302" s="561">
        <f t="shared" si="4"/>
        <v>302</v>
      </c>
      <c r="B302" s="31">
        <v>103</v>
      </c>
      <c r="C302" s="249" t="s">
        <v>718</v>
      </c>
      <c r="D302" s="320" t="s">
        <v>180</v>
      </c>
      <c r="E302" s="321" t="s">
        <v>328</v>
      </c>
      <c r="F302" s="322" t="s">
        <v>123</v>
      </c>
      <c r="G302" s="323" t="s">
        <v>789</v>
      </c>
      <c r="H302" s="322" t="s">
        <v>109</v>
      </c>
      <c r="I302" s="324">
        <v>10.4</v>
      </c>
      <c r="J302" s="325"/>
      <c r="K302" s="325"/>
      <c r="L302" s="325"/>
      <c r="M302" s="325"/>
      <c r="N302" s="325">
        <v>25</v>
      </c>
      <c r="O302" s="326"/>
      <c r="P302" s="326"/>
      <c r="Q302" s="326">
        <v>8</v>
      </c>
      <c r="R302" s="326"/>
      <c r="S302" s="327"/>
    </row>
    <row r="303" spans="1:19" ht="15" customHeight="1">
      <c r="A303" s="561">
        <f t="shared" si="4"/>
        <v>303</v>
      </c>
      <c r="B303" s="31">
        <v>103</v>
      </c>
      <c r="C303" s="249" t="s">
        <v>718</v>
      </c>
      <c r="D303" s="320" t="s">
        <v>180</v>
      </c>
      <c r="E303" s="321" t="s">
        <v>54</v>
      </c>
      <c r="F303" s="322" t="s">
        <v>374</v>
      </c>
      <c r="G303" s="323" t="s">
        <v>790</v>
      </c>
      <c r="H303" s="322"/>
      <c r="I303" s="324"/>
      <c r="J303" s="325"/>
      <c r="K303" s="325"/>
      <c r="L303" s="325"/>
      <c r="M303" s="325"/>
      <c r="N303" s="325"/>
      <c r="O303" s="326"/>
      <c r="P303" s="326"/>
      <c r="Q303" s="326"/>
      <c r="R303" s="326"/>
      <c r="S303" s="327" t="s">
        <v>1154</v>
      </c>
    </row>
    <row r="304" spans="1:19" ht="15" customHeight="1">
      <c r="A304" s="561">
        <f t="shared" si="4"/>
        <v>304</v>
      </c>
      <c r="B304" s="31">
        <v>103</v>
      </c>
      <c r="C304" s="249" t="s">
        <v>718</v>
      </c>
      <c r="D304" s="320" t="s">
        <v>180</v>
      </c>
      <c r="E304" s="321" t="s">
        <v>54</v>
      </c>
      <c r="F304" s="322" t="s">
        <v>376</v>
      </c>
      <c r="G304" s="323" t="s">
        <v>791</v>
      </c>
      <c r="H304" s="322"/>
      <c r="I304" s="324">
        <v>0</v>
      </c>
      <c r="J304" s="325"/>
      <c r="K304" s="325"/>
      <c r="L304" s="325"/>
      <c r="M304" s="325"/>
      <c r="N304" s="325"/>
      <c r="O304" s="326"/>
      <c r="P304" s="326"/>
      <c r="Q304" s="326"/>
      <c r="R304" s="326"/>
      <c r="S304" s="327" t="s">
        <v>963</v>
      </c>
    </row>
    <row r="305" spans="1:19" ht="15" customHeight="1">
      <c r="A305" s="561">
        <f t="shared" si="4"/>
        <v>305</v>
      </c>
      <c r="B305" s="31">
        <v>103</v>
      </c>
      <c r="C305" s="249" t="s">
        <v>718</v>
      </c>
      <c r="D305" s="320" t="s">
        <v>180</v>
      </c>
      <c r="E305" s="321" t="s">
        <v>54</v>
      </c>
      <c r="F305" s="322" t="s">
        <v>54</v>
      </c>
      <c r="G305" s="323" t="s">
        <v>792</v>
      </c>
      <c r="H305" s="322" t="s">
        <v>109</v>
      </c>
      <c r="I305" s="324">
        <f>(((18.5+42.8+33.2+47.3+31.5)*8)+(21.5*5.35))*1.3</f>
        <v>1951.8525000000002</v>
      </c>
      <c r="J305" s="325">
        <f>((2.8*3.3)*20)</f>
        <v>184.79999999999995</v>
      </c>
      <c r="K305" s="325"/>
      <c r="L305" s="325"/>
      <c r="M305" s="325">
        <f>12+26</f>
        <v>38</v>
      </c>
      <c r="N305" s="325">
        <f>((194.8*3.3)*2)+((3.2+2.2+3.2+2.2)*3.3)+24+((21.5*3.25)*2)</f>
        <v>1485.0700000000002</v>
      </c>
      <c r="O305" s="326"/>
      <c r="P305" s="326"/>
      <c r="Q305" s="326">
        <f>((18.5+42.8+33.2+47.3+31.5)*14.8)+(21.5*5.35)</f>
        <v>2679.8650000000002</v>
      </c>
      <c r="R305" s="326"/>
      <c r="S305" s="327" t="s">
        <v>522</v>
      </c>
    </row>
    <row r="306" spans="1:19" ht="15" customHeight="1">
      <c r="A306" s="561">
        <f t="shared" si="4"/>
        <v>306</v>
      </c>
      <c r="B306" s="31">
        <v>103</v>
      </c>
      <c r="C306" s="249" t="s">
        <v>718</v>
      </c>
      <c r="D306" s="320" t="s">
        <v>180</v>
      </c>
      <c r="E306" s="321" t="s">
        <v>54</v>
      </c>
      <c r="F306" s="322" t="s">
        <v>374</v>
      </c>
      <c r="G306" s="323" t="s">
        <v>793</v>
      </c>
      <c r="H306" s="322"/>
      <c r="I306" s="324"/>
      <c r="J306" s="325"/>
      <c r="K306" s="325"/>
      <c r="L306" s="325"/>
      <c r="M306" s="325"/>
      <c r="N306" s="325"/>
      <c r="O306" s="326"/>
      <c r="P306" s="326"/>
      <c r="Q306" s="326"/>
      <c r="R306" s="326"/>
      <c r="S306" s="327" t="s">
        <v>1034</v>
      </c>
    </row>
    <row r="307" spans="1:19" ht="15" customHeight="1">
      <c r="A307" s="561">
        <f t="shared" si="4"/>
        <v>307</v>
      </c>
      <c r="B307" s="31">
        <v>103</v>
      </c>
      <c r="C307" s="249" t="s">
        <v>718</v>
      </c>
      <c r="D307" s="320" t="s">
        <v>180</v>
      </c>
      <c r="E307" s="321" t="s">
        <v>54</v>
      </c>
      <c r="F307" s="322" t="s">
        <v>374</v>
      </c>
      <c r="G307" s="323" t="s">
        <v>794</v>
      </c>
      <c r="H307" s="322"/>
      <c r="I307" s="324"/>
      <c r="J307" s="325"/>
      <c r="K307" s="325"/>
      <c r="L307" s="325"/>
      <c r="M307" s="325"/>
      <c r="N307" s="325"/>
      <c r="O307" s="326"/>
      <c r="P307" s="326"/>
      <c r="Q307" s="326"/>
      <c r="R307" s="326"/>
      <c r="S307" s="327" t="s">
        <v>1155</v>
      </c>
    </row>
    <row r="308" spans="1:19" ht="15" customHeight="1">
      <c r="A308" s="561">
        <f t="shared" si="4"/>
        <v>308</v>
      </c>
      <c r="B308" s="31">
        <v>103</v>
      </c>
      <c r="C308" s="249" t="s">
        <v>718</v>
      </c>
      <c r="D308" s="320" t="s">
        <v>180</v>
      </c>
      <c r="E308" s="321" t="s">
        <v>54</v>
      </c>
      <c r="F308" s="322" t="s">
        <v>374</v>
      </c>
      <c r="G308" s="323" t="s">
        <v>795</v>
      </c>
      <c r="H308" s="322"/>
      <c r="I308" s="324"/>
      <c r="J308" s="325"/>
      <c r="K308" s="325"/>
      <c r="L308" s="325"/>
      <c r="M308" s="325"/>
      <c r="N308" s="325"/>
      <c r="O308" s="326"/>
      <c r="P308" s="326"/>
      <c r="Q308" s="326"/>
      <c r="R308" s="326"/>
      <c r="S308" s="327" t="s">
        <v>1156</v>
      </c>
    </row>
    <row r="309" spans="1:19" ht="15" customHeight="1">
      <c r="A309" s="561">
        <f t="shared" si="4"/>
        <v>309</v>
      </c>
      <c r="B309" s="31">
        <v>103</v>
      </c>
      <c r="C309" s="249" t="s">
        <v>718</v>
      </c>
      <c r="D309" s="320" t="s">
        <v>180</v>
      </c>
      <c r="E309" s="321" t="s">
        <v>54</v>
      </c>
      <c r="F309" s="322" t="s">
        <v>734</v>
      </c>
      <c r="G309" s="323" t="s">
        <v>298</v>
      </c>
      <c r="H309" s="322"/>
      <c r="I309" s="324">
        <v>0</v>
      </c>
      <c r="J309" s="325"/>
      <c r="K309" s="325"/>
      <c r="L309" s="325"/>
      <c r="M309" s="325"/>
      <c r="N309" s="325"/>
      <c r="O309" s="326"/>
      <c r="P309" s="326"/>
      <c r="Q309" s="326"/>
      <c r="R309" s="326"/>
      <c r="S309" s="327"/>
    </row>
    <row r="310" spans="1:19" ht="15" customHeight="1">
      <c r="A310" s="561">
        <f t="shared" si="4"/>
        <v>310</v>
      </c>
      <c r="B310" s="31">
        <v>103</v>
      </c>
      <c r="C310" s="249" t="s">
        <v>718</v>
      </c>
      <c r="D310" s="320" t="s">
        <v>180</v>
      </c>
      <c r="E310" s="321" t="s">
        <v>54</v>
      </c>
      <c r="F310" s="322" t="s">
        <v>175</v>
      </c>
      <c r="G310" s="323" t="s">
        <v>797</v>
      </c>
      <c r="H310" s="322" t="s">
        <v>44</v>
      </c>
      <c r="I310" s="324">
        <f>(27.6+22)*1.3</f>
        <v>64.48</v>
      </c>
      <c r="J310" s="325"/>
      <c r="K310" s="325"/>
      <c r="L310" s="325">
        <f>(1.8+1.7+1.65+5.3+2.9+1+3+1+2.6+1+2.2+3.2+0.3+4.6)*3.3</f>
        <v>106.425</v>
      </c>
      <c r="M310" s="325"/>
      <c r="N310" s="325"/>
      <c r="O310" s="326"/>
      <c r="P310" s="326"/>
      <c r="Q310" s="326">
        <f>28</f>
        <v>28</v>
      </c>
      <c r="R310" s="326"/>
      <c r="S310" s="327" t="s">
        <v>822</v>
      </c>
    </row>
    <row r="311" spans="1:19" ht="15" customHeight="1">
      <c r="A311" s="561">
        <f t="shared" si="4"/>
        <v>311</v>
      </c>
      <c r="B311" s="31">
        <v>103</v>
      </c>
      <c r="C311" s="249" t="s">
        <v>718</v>
      </c>
      <c r="D311" s="320" t="s">
        <v>180</v>
      </c>
      <c r="E311" s="321" t="s">
        <v>54</v>
      </c>
      <c r="F311" s="322" t="s">
        <v>175</v>
      </c>
      <c r="G311" s="323" t="s">
        <v>799</v>
      </c>
      <c r="H311" s="322" t="s">
        <v>44</v>
      </c>
      <c r="I311" s="324">
        <f>(1.4*3.4)*1.3</f>
        <v>6.1879999999999997</v>
      </c>
      <c r="J311" s="325"/>
      <c r="K311" s="325"/>
      <c r="L311" s="325">
        <f>(2.4+3.4+2.4+3.4)*3.35</f>
        <v>38.86</v>
      </c>
      <c r="M311" s="325"/>
      <c r="N311" s="325"/>
      <c r="O311" s="326"/>
      <c r="P311" s="326"/>
      <c r="Q311" s="326">
        <f>(2.4*3.4)</f>
        <v>8.16</v>
      </c>
      <c r="R311" s="326"/>
      <c r="S311" s="327"/>
    </row>
    <row r="312" spans="1:19" ht="15" customHeight="1">
      <c r="A312" s="561">
        <f t="shared" si="4"/>
        <v>312</v>
      </c>
      <c r="B312" s="31">
        <v>103</v>
      </c>
      <c r="C312" s="249" t="s">
        <v>718</v>
      </c>
      <c r="D312" s="320" t="s">
        <v>180</v>
      </c>
      <c r="E312" s="321" t="s">
        <v>54</v>
      </c>
      <c r="F312" s="322" t="s">
        <v>547</v>
      </c>
      <c r="G312" s="323" t="s">
        <v>629</v>
      </c>
      <c r="H312" s="322" t="s">
        <v>166</v>
      </c>
      <c r="I312" s="324">
        <v>4.42</v>
      </c>
      <c r="J312" s="325"/>
      <c r="K312" s="325"/>
      <c r="L312" s="325"/>
      <c r="M312" s="325"/>
      <c r="N312" s="325"/>
      <c r="O312" s="326"/>
      <c r="P312" s="326"/>
      <c r="Q312" s="326"/>
      <c r="R312" s="326"/>
      <c r="S312" s="327"/>
    </row>
    <row r="313" spans="1:19" ht="15" customHeight="1">
      <c r="A313" s="561">
        <f t="shared" si="4"/>
        <v>313</v>
      </c>
      <c r="B313" s="31">
        <v>103</v>
      </c>
      <c r="C313" s="249" t="s">
        <v>718</v>
      </c>
      <c r="D313" s="320" t="s">
        <v>180</v>
      </c>
      <c r="E313" s="321" t="s">
        <v>54</v>
      </c>
      <c r="F313" s="322" t="s">
        <v>800</v>
      </c>
      <c r="G313" s="323" t="s">
        <v>801</v>
      </c>
      <c r="H313" s="322" t="s">
        <v>821</v>
      </c>
      <c r="I313" s="324">
        <v>0</v>
      </c>
      <c r="J313" s="325"/>
      <c r="K313" s="325"/>
      <c r="L313" s="325"/>
      <c r="M313" s="325"/>
      <c r="N313" s="325"/>
      <c r="O313" s="326"/>
      <c r="P313" s="326"/>
      <c r="Q313" s="326"/>
      <c r="R313" s="326"/>
      <c r="S313" s="327"/>
    </row>
    <row r="314" spans="1:19" ht="15" customHeight="1">
      <c r="A314" s="561">
        <f t="shared" si="4"/>
        <v>314</v>
      </c>
      <c r="B314" s="31">
        <v>103</v>
      </c>
      <c r="C314" s="249" t="s">
        <v>718</v>
      </c>
      <c r="D314" s="320" t="s">
        <v>180</v>
      </c>
      <c r="E314" s="321" t="s">
        <v>54</v>
      </c>
      <c r="F314" s="322" t="s">
        <v>175</v>
      </c>
      <c r="G314" s="323" t="s">
        <v>802</v>
      </c>
      <c r="H314" s="322" t="s">
        <v>174</v>
      </c>
      <c r="I314" s="324">
        <v>0</v>
      </c>
      <c r="J314" s="325"/>
      <c r="K314" s="325"/>
      <c r="L314" s="325"/>
      <c r="M314" s="325"/>
      <c r="N314" s="325"/>
      <c r="O314" s="326"/>
      <c r="P314" s="326"/>
      <c r="Q314" s="326"/>
      <c r="R314" s="326"/>
      <c r="S314" s="327" t="s">
        <v>1350</v>
      </c>
    </row>
    <row r="315" spans="1:19" ht="15" customHeight="1">
      <c r="A315" s="561">
        <f t="shared" si="4"/>
        <v>315</v>
      </c>
      <c r="B315" s="31">
        <v>103</v>
      </c>
      <c r="C315" s="249" t="s">
        <v>718</v>
      </c>
      <c r="D315" s="320" t="s">
        <v>180</v>
      </c>
      <c r="E315" s="321" t="s">
        <v>54</v>
      </c>
      <c r="F315" s="322" t="s">
        <v>175</v>
      </c>
      <c r="G315" s="323" t="s">
        <v>803</v>
      </c>
      <c r="H315" s="322" t="s">
        <v>44</v>
      </c>
      <c r="I315" s="324">
        <f>(2.8*1.4)*1.3</f>
        <v>5.0959999999999992</v>
      </c>
      <c r="J315" s="325"/>
      <c r="K315" s="325"/>
      <c r="L315" s="325">
        <f>(2.8+1.4+2.8+1.4)*4.25</f>
        <v>35.699999999999996</v>
      </c>
      <c r="M315" s="325"/>
      <c r="N315" s="325"/>
      <c r="O315" s="326"/>
      <c r="P315" s="326">
        <f>I315</f>
        <v>5.0959999999999992</v>
      </c>
      <c r="Q315" s="326"/>
      <c r="R315" s="326"/>
      <c r="S315" s="327"/>
    </row>
    <row r="316" spans="1:19" ht="15" customHeight="1">
      <c r="A316" s="561">
        <f t="shared" si="4"/>
        <v>316</v>
      </c>
      <c r="B316" s="31">
        <v>103</v>
      </c>
      <c r="C316" s="249" t="s">
        <v>718</v>
      </c>
      <c r="D316" s="320" t="s">
        <v>180</v>
      </c>
      <c r="E316" s="321" t="s">
        <v>54</v>
      </c>
      <c r="F316" s="322" t="s">
        <v>547</v>
      </c>
      <c r="G316" s="323" t="s">
        <v>804</v>
      </c>
      <c r="H316" s="322" t="s">
        <v>166</v>
      </c>
      <c r="I316" s="324">
        <f>(3)*1.3</f>
        <v>3.9000000000000004</v>
      </c>
      <c r="J316" s="325"/>
      <c r="K316" s="325"/>
      <c r="L316" s="325"/>
      <c r="M316" s="325"/>
      <c r="N316" s="325"/>
      <c r="O316" s="326"/>
      <c r="P316" s="326"/>
      <c r="Q316" s="326"/>
      <c r="R316" s="326"/>
      <c r="S316" s="327"/>
    </row>
    <row r="317" spans="1:19" ht="15" customHeight="1">
      <c r="A317" s="561">
        <f t="shared" si="4"/>
        <v>317</v>
      </c>
      <c r="B317" s="31">
        <v>103</v>
      </c>
      <c r="C317" s="249" t="s">
        <v>718</v>
      </c>
      <c r="D317" s="320" t="s">
        <v>180</v>
      </c>
      <c r="E317" s="321" t="s">
        <v>54</v>
      </c>
      <c r="F317" s="322" t="s">
        <v>423</v>
      </c>
      <c r="G317" s="323" t="s">
        <v>805</v>
      </c>
      <c r="H317" s="322" t="s">
        <v>176</v>
      </c>
      <c r="I317" s="324">
        <f>(4.65*3.6)*1.3</f>
        <v>21.762000000000004</v>
      </c>
      <c r="J317" s="325"/>
      <c r="K317" s="325"/>
      <c r="L317" s="325"/>
      <c r="M317" s="325"/>
      <c r="N317" s="325">
        <f>(4.65+3.6+4.65+3.6)*3.35</f>
        <v>55.274999999999999</v>
      </c>
      <c r="O317" s="326"/>
      <c r="P317" s="326"/>
      <c r="Q317" s="326">
        <f>I317</f>
        <v>21.762000000000004</v>
      </c>
      <c r="R317" s="326"/>
      <c r="S317" s="327"/>
    </row>
    <row r="318" spans="1:19" ht="15" customHeight="1">
      <c r="A318" s="561">
        <f t="shared" si="4"/>
        <v>318</v>
      </c>
      <c r="B318" s="31">
        <v>103</v>
      </c>
      <c r="C318" s="249" t="s">
        <v>718</v>
      </c>
      <c r="D318" s="320" t="s">
        <v>180</v>
      </c>
      <c r="E318" s="321" t="s">
        <v>54</v>
      </c>
      <c r="F318" s="322" t="s">
        <v>36</v>
      </c>
      <c r="G318" s="323" t="s">
        <v>806</v>
      </c>
      <c r="H318" s="322" t="s">
        <v>176</v>
      </c>
      <c r="I318" s="324">
        <f>((2.2*8.5)+(3.5*4))*1.3</f>
        <v>42.510000000000005</v>
      </c>
      <c r="J318" s="325"/>
      <c r="K318" s="325"/>
      <c r="L318" s="325">
        <f>(2.2+8.5+2.8+3.4+5+11.9)*3.35</f>
        <v>113.22999999999999</v>
      </c>
      <c r="M318" s="325"/>
      <c r="N318" s="325"/>
      <c r="O318" s="326"/>
      <c r="P318" s="326"/>
      <c r="Q318" s="326">
        <f>I318</f>
        <v>42.510000000000005</v>
      </c>
      <c r="R318" s="326"/>
      <c r="S318" s="327"/>
    </row>
    <row r="319" spans="1:19" ht="15" customHeight="1">
      <c r="A319" s="561">
        <f t="shared" si="4"/>
        <v>319</v>
      </c>
      <c r="B319" s="31">
        <v>103</v>
      </c>
      <c r="C319" s="249" t="s">
        <v>718</v>
      </c>
      <c r="D319" s="320" t="s">
        <v>180</v>
      </c>
      <c r="E319" s="321" t="s">
        <v>54</v>
      </c>
      <c r="F319" s="322" t="s">
        <v>36</v>
      </c>
      <c r="G319" s="323" t="s">
        <v>807</v>
      </c>
      <c r="H319" s="322" t="s">
        <v>176</v>
      </c>
      <c r="I319" s="324">
        <f>((2.95*4.4)+(1.75*1.9))*1.3</f>
        <v>21.196500000000004</v>
      </c>
      <c r="J319" s="325"/>
      <c r="K319" s="325"/>
      <c r="L319" s="325">
        <f>(2.95+6.15+1.9+1.75+1.15+4.4)*4.2</f>
        <v>76.860000000000028</v>
      </c>
      <c r="M319" s="325"/>
      <c r="N319" s="325"/>
      <c r="O319" s="326"/>
      <c r="P319" s="326">
        <f>I319</f>
        <v>21.196500000000004</v>
      </c>
      <c r="Q319" s="326"/>
      <c r="R319" s="326"/>
      <c r="S319" s="327"/>
    </row>
    <row r="320" spans="1:19" ht="15" customHeight="1">
      <c r="A320" s="561">
        <f t="shared" si="4"/>
        <v>320</v>
      </c>
      <c r="B320" s="31">
        <v>103</v>
      </c>
      <c r="C320" s="249" t="s">
        <v>718</v>
      </c>
      <c r="D320" s="320" t="s">
        <v>180</v>
      </c>
      <c r="E320" s="321" t="s">
        <v>54</v>
      </c>
      <c r="F320" s="322" t="s">
        <v>436</v>
      </c>
      <c r="G320" s="323" t="s">
        <v>808</v>
      </c>
      <c r="H320" s="322" t="s">
        <v>44</v>
      </c>
      <c r="I320" s="324">
        <f>(2.5*3.3)*1.3</f>
        <v>10.725</v>
      </c>
      <c r="J320" s="325"/>
      <c r="K320" s="325"/>
      <c r="L320" s="325">
        <f>(2.5+3.3+2.5+3.3)*3.3</f>
        <v>38.28</v>
      </c>
      <c r="M320" s="325"/>
      <c r="N320" s="325"/>
      <c r="O320" s="326"/>
      <c r="P320" s="326"/>
      <c r="Q320" s="326">
        <f>I320</f>
        <v>10.725</v>
      </c>
      <c r="R320" s="326"/>
      <c r="S320" s="327"/>
    </row>
    <row r="321" spans="1:19" ht="15" customHeight="1">
      <c r="A321" s="561">
        <f t="shared" si="4"/>
        <v>321</v>
      </c>
      <c r="B321" s="31">
        <v>103</v>
      </c>
      <c r="C321" s="249" t="s">
        <v>718</v>
      </c>
      <c r="D321" s="320" t="s">
        <v>180</v>
      </c>
      <c r="E321" s="321" t="s">
        <v>54</v>
      </c>
      <c r="F321" s="322" t="s">
        <v>438</v>
      </c>
      <c r="G321" s="323" t="s">
        <v>809</v>
      </c>
      <c r="H321" s="322" t="s">
        <v>44</v>
      </c>
      <c r="I321" s="324">
        <f>(2.5*3.35)*1.3</f>
        <v>10.887500000000001</v>
      </c>
      <c r="J321" s="325"/>
      <c r="K321" s="325"/>
      <c r="L321" s="325">
        <f>(2.5+3.35+2.5+3.35)*3.3</f>
        <v>38.609999999999992</v>
      </c>
      <c r="M321" s="325"/>
      <c r="N321" s="325"/>
      <c r="O321" s="326"/>
      <c r="P321" s="326"/>
      <c r="Q321" s="326">
        <f>I321</f>
        <v>10.887500000000001</v>
      </c>
      <c r="R321" s="326"/>
      <c r="S321" s="327"/>
    </row>
    <row r="322" spans="1:19" ht="15" customHeight="1">
      <c r="A322" s="561">
        <f t="shared" si="4"/>
        <v>322</v>
      </c>
      <c r="B322" s="31">
        <v>103</v>
      </c>
      <c r="C322" s="249" t="s">
        <v>718</v>
      </c>
      <c r="D322" s="320" t="s">
        <v>180</v>
      </c>
      <c r="E322" s="321" t="s">
        <v>54</v>
      </c>
      <c r="F322" s="322" t="s">
        <v>810</v>
      </c>
      <c r="G322" s="323" t="s">
        <v>811</v>
      </c>
      <c r="H322" s="322"/>
      <c r="I322" s="324">
        <v>0</v>
      </c>
      <c r="J322" s="325"/>
      <c r="K322" s="325"/>
      <c r="L322" s="325"/>
      <c r="M322" s="325"/>
      <c r="N322" s="325"/>
      <c r="O322" s="326"/>
      <c r="P322" s="326"/>
      <c r="Q322" s="326"/>
      <c r="R322" s="326"/>
      <c r="S322" s="327" t="s">
        <v>823</v>
      </c>
    </row>
    <row r="323" spans="1:19" ht="15" customHeight="1">
      <c r="A323" s="561">
        <f t="shared" ref="A323:A386" si="5">1+A322</f>
        <v>323</v>
      </c>
      <c r="B323" s="31">
        <v>103</v>
      </c>
      <c r="C323" s="249" t="s">
        <v>718</v>
      </c>
      <c r="D323" s="320" t="s">
        <v>180</v>
      </c>
      <c r="E323" s="321" t="s">
        <v>54</v>
      </c>
      <c r="F323" s="322" t="s">
        <v>440</v>
      </c>
      <c r="G323" s="323" t="s">
        <v>812</v>
      </c>
      <c r="H323" s="322" t="s">
        <v>176</v>
      </c>
      <c r="I323" s="324">
        <f>(3*3.35)*1.3</f>
        <v>13.065000000000001</v>
      </c>
      <c r="J323" s="325"/>
      <c r="K323" s="325"/>
      <c r="L323" s="325"/>
      <c r="M323" s="325"/>
      <c r="N323" s="325">
        <f>(3+3.35+3+3.35)*3.35</f>
        <v>42.545000000000002</v>
      </c>
      <c r="O323" s="326"/>
      <c r="P323" s="326"/>
      <c r="Q323" s="326">
        <f>I323</f>
        <v>13.065000000000001</v>
      </c>
      <c r="R323" s="326"/>
      <c r="S323" s="327"/>
    </row>
    <row r="324" spans="1:19" ht="15" customHeight="1">
      <c r="A324" s="561">
        <f t="shared" si="5"/>
        <v>324</v>
      </c>
      <c r="B324" s="31">
        <v>103</v>
      </c>
      <c r="C324" s="249" t="s">
        <v>718</v>
      </c>
      <c r="D324" s="320" t="s">
        <v>180</v>
      </c>
      <c r="E324" s="321" t="s">
        <v>54</v>
      </c>
      <c r="F324" s="322" t="s">
        <v>598</v>
      </c>
      <c r="G324" s="323" t="s">
        <v>813</v>
      </c>
      <c r="H324" s="322"/>
      <c r="I324" s="324">
        <v>0</v>
      </c>
      <c r="J324" s="325"/>
      <c r="K324" s="325"/>
      <c r="L324" s="325"/>
      <c r="M324" s="325"/>
      <c r="N324" s="325"/>
      <c r="O324" s="326"/>
      <c r="P324" s="326"/>
      <c r="Q324" s="326"/>
      <c r="R324" s="326"/>
      <c r="S324" s="327" t="s">
        <v>824</v>
      </c>
    </row>
    <row r="325" spans="1:19" ht="15" customHeight="1">
      <c r="A325" s="561">
        <f t="shared" si="5"/>
        <v>325</v>
      </c>
      <c r="B325" s="31">
        <v>103</v>
      </c>
      <c r="C325" s="249" t="s">
        <v>718</v>
      </c>
      <c r="D325" s="320" t="s">
        <v>180</v>
      </c>
      <c r="E325" s="321" t="s">
        <v>54</v>
      </c>
      <c r="F325" s="322" t="s">
        <v>462</v>
      </c>
      <c r="G325" s="323" t="s">
        <v>814</v>
      </c>
      <c r="H325" s="322" t="s">
        <v>44</v>
      </c>
      <c r="I325" s="324">
        <f>(4.75*2.9)*1.3</f>
        <v>17.907500000000002</v>
      </c>
      <c r="J325" s="325"/>
      <c r="K325" s="325"/>
      <c r="L325" s="325">
        <f>(4.75+2.9+4.75+2.9)*2.9</f>
        <v>44.37</v>
      </c>
      <c r="M325" s="325"/>
      <c r="N325" s="325"/>
      <c r="O325" s="326"/>
      <c r="P325" s="326"/>
      <c r="Q325" s="326">
        <f>I325</f>
        <v>17.907500000000002</v>
      </c>
      <c r="R325" s="326"/>
      <c r="S325" s="327"/>
    </row>
    <row r="326" spans="1:19" ht="15" customHeight="1">
      <c r="A326" s="561">
        <f t="shared" si="5"/>
        <v>326</v>
      </c>
      <c r="B326" s="31">
        <v>103</v>
      </c>
      <c r="C326" s="249" t="s">
        <v>718</v>
      </c>
      <c r="D326" s="320" t="s">
        <v>180</v>
      </c>
      <c r="E326" s="321" t="s">
        <v>54</v>
      </c>
      <c r="F326" s="322" t="s">
        <v>462</v>
      </c>
      <c r="G326" s="323" t="s">
        <v>815</v>
      </c>
      <c r="H326" s="322" t="s">
        <v>176</v>
      </c>
      <c r="I326" s="324">
        <f>((2.65*4.45)-(0.55*0.8))*1.3</f>
        <v>14.758250000000002</v>
      </c>
      <c r="J326" s="325"/>
      <c r="K326" s="325"/>
      <c r="L326" s="325"/>
      <c r="M326" s="325"/>
      <c r="N326" s="325">
        <f>(2.65+4.45+2.65+0.55+0.55+4.45)*4.25</f>
        <v>65.025000000000006</v>
      </c>
      <c r="O326" s="326"/>
      <c r="P326" s="326"/>
      <c r="Q326" s="326">
        <f>I326</f>
        <v>14.758250000000002</v>
      </c>
      <c r="R326" s="326"/>
      <c r="S326" s="327"/>
    </row>
    <row r="327" spans="1:19" ht="15" customHeight="1">
      <c r="A327" s="561">
        <f t="shared" si="5"/>
        <v>327</v>
      </c>
      <c r="B327" s="31">
        <v>103</v>
      </c>
      <c r="C327" s="249" t="s">
        <v>718</v>
      </c>
      <c r="D327" s="320" t="s">
        <v>180</v>
      </c>
      <c r="E327" s="321" t="s">
        <v>54</v>
      </c>
      <c r="F327" s="322" t="s">
        <v>168</v>
      </c>
      <c r="G327" s="323" t="s">
        <v>816</v>
      </c>
      <c r="H327" s="322" t="s">
        <v>109</v>
      </c>
      <c r="I327" s="324">
        <f>((6.8+4+6.7)*2.7)*1.3</f>
        <v>61.425000000000004</v>
      </c>
      <c r="J327" s="325"/>
      <c r="K327" s="325"/>
      <c r="L327" s="325"/>
      <c r="M327" s="325"/>
      <c r="N327" s="325">
        <f>((6.8+2.7+6.8)*1.95)+((4+4)*2.3)+((6.7+2.7+6.7)*2)+(1.7*1.4)+(1.7*2.1)+((1.7*1.4)/2)+((2.9*2.1)/2)</f>
        <v>92.57</v>
      </c>
      <c r="O327" s="326"/>
      <c r="P327" s="326"/>
      <c r="Q327" s="326">
        <f>I327*0.3</f>
        <v>18.427500000000002</v>
      </c>
      <c r="R327" s="326"/>
      <c r="S327" s="327"/>
    </row>
    <row r="328" spans="1:19" ht="15" customHeight="1">
      <c r="A328" s="561">
        <f t="shared" si="5"/>
        <v>328</v>
      </c>
      <c r="B328" s="31">
        <v>103</v>
      </c>
      <c r="C328" s="249" t="s">
        <v>718</v>
      </c>
      <c r="D328" s="320" t="s">
        <v>180</v>
      </c>
      <c r="E328" s="321" t="s">
        <v>54</v>
      </c>
      <c r="F328" s="322" t="s">
        <v>168</v>
      </c>
      <c r="G328" s="323" t="s">
        <v>658</v>
      </c>
      <c r="H328" s="322" t="s">
        <v>109</v>
      </c>
      <c r="I328" s="324">
        <f>(5.15*6.7)*1.3</f>
        <v>44.856500000000004</v>
      </c>
      <c r="J328" s="325"/>
      <c r="K328" s="325"/>
      <c r="L328" s="325"/>
      <c r="M328" s="325"/>
      <c r="N328" s="325">
        <f>(5.15+6.7+5.15+6.7)*2.2</f>
        <v>52.14</v>
      </c>
      <c r="O328" s="326"/>
      <c r="P328" s="326"/>
      <c r="Q328" s="326"/>
      <c r="R328" s="326"/>
      <c r="S328" s="327" t="s">
        <v>825</v>
      </c>
    </row>
    <row r="329" spans="1:19" ht="15" customHeight="1">
      <c r="A329" s="561">
        <f t="shared" si="5"/>
        <v>329</v>
      </c>
      <c r="B329" s="31">
        <v>103</v>
      </c>
      <c r="C329" s="249" t="s">
        <v>718</v>
      </c>
      <c r="D329" s="320" t="s">
        <v>180</v>
      </c>
      <c r="E329" s="321" t="s">
        <v>54</v>
      </c>
      <c r="F329" s="322" t="s">
        <v>123</v>
      </c>
      <c r="G329" s="323" t="s">
        <v>817</v>
      </c>
      <c r="H329" s="322" t="s">
        <v>109</v>
      </c>
      <c r="I329" s="324">
        <f>(2*3)*1.3</f>
        <v>7.8000000000000007</v>
      </c>
      <c r="J329" s="325"/>
      <c r="K329" s="325"/>
      <c r="L329" s="325"/>
      <c r="M329" s="325"/>
      <c r="N329" s="325">
        <f>10*3.35</f>
        <v>33.5</v>
      </c>
      <c r="O329" s="326"/>
      <c r="P329" s="326"/>
      <c r="Q329" s="326">
        <f>I329</f>
        <v>7.8000000000000007</v>
      </c>
      <c r="R329" s="326"/>
      <c r="S329" s="327"/>
    </row>
    <row r="330" spans="1:19" ht="15" customHeight="1">
      <c r="A330" s="561">
        <f t="shared" si="5"/>
        <v>330</v>
      </c>
      <c r="B330" s="31">
        <v>103</v>
      </c>
      <c r="C330" s="249" t="s">
        <v>718</v>
      </c>
      <c r="D330" s="320" t="s">
        <v>180</v>
      </c>
      <c r="E330" s="321" t="s">
        <v>54</v>
      </c>
      <c r="F330" s="322" t="s">
        <v>489</v>
      </c>
      <c r="G330" s="323" t="s">
        <v>818</v>
      </c>
      <c r="H330" s="322" t="s">
        <v>109</v>
      </c>
      <c r="I330" s="324">
        <f>(2.4*1.9)*1.3</f>
        <v>5.9279999999999999</v>
      </c>
      <c r="J330" s="325"/>
      <c r="K330" s="325"/>
      <c r="L330" s="325">
        <f>(2.4*2.25)+(2.4*1)+(1.9*1.25)+(1.9*1)+(1.9*1)</f>
        <v>13.975</v>
      </c>
      <c r="M330" s="325"/>
      <c r="N330" s="325"/>
      <c r="O330" s="326"/>
      <c r="P330" s="326">
        <f>I330*1.3</f>
        <v>7.7064000000000004</v>
      </c>
      <c r="Q330" s="326"/>
      <c r="R330" s="326"/>
      <c r="S330" s="327"/>
    </row>
    <row r="331" spans="1:19" ht="15" customHeight="1">
      <c r="A331" s="561">
        <f t="shared" si="5"/>
        <v>331</v>
      </c>
      <c r="B331" s="31">
        <v>103</v>
      </c>
      <c r="C331" s="249" t="s">
        <v>718</v>
      </c>
      <c r="D331" s="320" t="s">
        <v>180</v>
      </c>
      <c r="E331" s="321" t="s">
        <v>54</v>
      </c>
      <c r="F331" s="322" t="s">
        <v>489</v>
      </c>
      <c r="G331" s="323" t="s">
        <v>819</v>
      </c>
      <c r="H331" s="322" t="s">
        <v>176</v>
      </c>
      <c r="I331" s="324">
        <f>(1.7*1.7)*1.3</f>
        <v>3.7569999999999997</v>
      </c>
      <c r="J331" s="325"/>
      <c r="K331" s="325"/>
      <c r="L331" s="325"/>
      <c r="M331" s="325"/>
      <c r="N331" s="325">
        <f>(1.7+1.7+1.7+1.7)*2.3</f>
        <v>15.639999999999999</v>
      </c>
      <c r="O331" s="326"/>
      <c r="P331" s="326"/>
      <c r="Q331" s="326">
        <f>I331</f>
        <v>3.7569999999999997</v>
      </c>
      <c r="R331" s="326"/>
      <c r="S331" s="327" t="s">
        <v>826</v>
      </c>
    </row>
    <row r="332" spans="1:19" ht="15" customHeight="1">
      <c r="A332" s="561">
        <f t="shared" si="5"/>
        <v>332</v>
      </c>
      <c r="B332" s="31">
        <v>103</v>
      </c>
      <c r="C332" s="249" t="s">
        <v>718</v>
      </c>
      <c r="D332" s="320" t="s">
        <v>180</v>
      </c>
      <c r="E332" s="321" t="s">
        <v>54</v>
      </c>
      <c r="F332" s="322" t="s">
        <v>489</v>
      </c>
      <c r="G332" s="323" t="s">
        <v>820</v>
      </c>
      <c r="H332" s="322" t="s">
        <v>174</v>
      </c>
      <c r="I332" s="324">
        <f>(2.8*2.2)*1.3</f>
        <v>8.0080000000000009</v>
      </c>
      <c r="J332" s="325"/>
      <c r="K332" s="325"/>
      <c r="L332" s="325"/>
      <c r="M332" s="325"/>
      <c r="N332" s="325"/>
      <c r="O332" s="326"/>
      <c r="P332" s="326"/>
      <c r="Q332" s="326"/>
      <c r="R332" s="326"/>
      <c r="S332" s="327"/>
    </row>
    <row r="333" spans="1:19" ht="15" customHeight="1">
      <c r="A333" s="561">
        <f t="shared" si="5"/>
        <v>333</v>
      </c>
      <c r="B333" s="31">
        <v>103</v>
      </c>
      <c r="C333" s="249" t="s">
        <v>718</v>
      </c>
      <c r="D333" s="320" t="s">
        <v>180</v>
      </c>
      <c r="E333" s="321" t="s">
        <v>622</v>
      </c>
      <c r="F333" s="322" t="s">
        <v>623</v>
      </c>
      <c r="G333" s="323" t="s">
        <v>298</v>
      </c>
      <c r="H333" s="322"/>
      <c r="I333" s="324">
        <v>0</v>
      </c>
      <c r="J333" s="325"/>
      <c r="K333" s="325"/>
      <c r="L333" s="325"/>
      <c r="M333" s="325"/>
      <c r="N333" s="325"/>
      <c r="O333" s="326"/>
      <c r="P333" s="326"/>
      <c r="Q333" s="326"/>
      <c r="R333" s="326"/>
      <c r="S333" s="327"/>
    </row>
    <row r="334" spans="1:19" ht="15" customHeight="1">
      <c r="A334" s="561">
        <f t="shared" si="5"/>
        <v>334</v>
      </c>
      <c r="B334" s="31">
        <v>103</v>
      </c>
      <c r="C334" s="249" t="s">
        <v>718</v>
      </c>
      <c r="D334" s="320" t="s">
        <v>180</v>
      </c>
      <c r="E334" s="321" t="s">
        <v>622</v>
      </c>
      <c r="F334" s="322" t="s">
        <v>547</v>
      </c>
      <c r="G334" s="323" t="s">
        <v>675</v>
      </c>
      <c r="H334" s="322"/>
      <c r="I334" s="324">
        <v>0</v>
      </c>
      <c r="J334" s="325"/>
      <c r="K334" s="325"/>
      <c r="L334" s="325"/>
      <c r="M334" s="325"/>
      <c r="N334" s="325"/>
      <c r="O334" s="326"/>
      <c r="P334" s="326"/>
      <c r="Q334" s="326"/>
      <c r="R334" s="326"/>
      <c r="S334" s="327" t="s">
        <v>846</v>
      </c>
    </row>
    <row r="335" spans="1:19" ht="15" customHeight="1">
      <c r="A335" s="561">
        <f t="shared" si="5"/>
        <v>335</v>
      </c>
      <c r="B335" s="31">
        <v>103</v>
      </c>
      <c r="C335" s="249" t="s">
        <v>718</v>
      </c>
      <c r="D335" s="320" t="s">
        <v>180</v>
      </c>
      <c r="E335" s="321" t="s">
        <v>622</v>
      </c>
      <c r="F335" s="322" t="s">
        <v>175</v>
      </c>
      <c r="G335" s="323" t="s">
        <v>827</v>
      </c>
      <c r="H335" s="322" t="s">
        <v>109</v>
      </c>
      <c r="I335" s="324">
        <v>1.3</v>
      </c>
      <c r="J335" s="325"/>
      <c r="K335" s="325"/>
      <c r="L335" s="325">
        <v>16.2</v>
      </c>
      <c r="M335" s="325"/>
      <c r="N335" s="325"/>
      <c r="O335" s="326"/>
      <c r="P335" s="326">
        <v>1</v>
      </c>
      <c r="Q335" s="326"/>
      <c r="R335" s="326"/>
      <c r="S335" s="327"/>
    </row>
    <row r="336" spans="1:19" ht="15" customHeight="1">
      <c r="A336" s="561">
        <f t="shared" si="5"/>
        <v>336</v>
      </c>
      <c r="B336" s="31">
        <v>103</v>
      </c>
      <c r="C336" s="249" t="s">
        <v>718</v>
      </c>
      <c r="D336" s="320" t="s">
        <v>180</v>
      </c>
      <c r="E336" s="321" t="s">
        <v>622</v>
      </c>
      <c r="F336" s="322" t="s">
        <v>631</v>
      </c>
      <c r="G336" s="323" t="s">
        <v>829</v>
      </c>
      <c r="H336" s="322" t="s">
        <v>19</v>
      </c>
      <c r="I336" s="324">
        <v>73</v>
      </c>
      <c r="J336" s="325"/>
      <c r="K336" s="325"/>
      <c r="L336" s="325">
        <v>171</v>
      </c>
      <c r="M336" s="325"/>
      <c r="N336" s="325"/>
      <c r="O336" s="326"/>
      <c r="P336" s="326">
        <v>73</v>
      </c>
      <c r="Q336" s="326"/>
      <c r="R336" s="326"/>
      <c r="S336" s="327"/>
    </row>
    <row r="337" spans="1:19" ht="15" customHeight="1">
      <c r="A337" s="561">
        <f t="shared" si="5"/>
        <v>337</v>
      </c>
      <c r="B337" s="31">
        <v>103</v>
      </c>
      <c r="C337" s="249" t="s">
        <v>718</v>
      </c>
      <c r="D337" s="320" t="s">
        <v>180</v>
      </c>
      <c r="E337" s="321" t="s">
        <v>622</v>
      </c>
      <c r="F337" s="322" t="s">
        <v>631</v>
      </c>
      <c r="G337" s="323" t="s">
        <v>830</v>
      </c>
      <c r="H337" s="322" t="s">
        <v>19</v>
      </c>
      <c r="I337" s="324">
        <v>1123</v>
      </c>
      <c r="J337" s="325"/>
      <c r="K337" s="325"/>
      <c r="L337" s="325">
        <v>673</v>
      </c>
      <c r="M337" s="325"/>
      <c r="N337" s="325"/>
      <c r="O337" s="326"/>
      <c r="P337" s="326">
        <v>1123</v>
      </c>
      <c r="Q337" s="326"/>
      <c r="R337" s="326"/>
      <c r="S337" s="327"/>
    </row>
    <row r="338" spans="1:19" ht="15" customHeight="1">
      <c r="A338" s="561">
        <f t="shared" si="5"/>
        <v>338</v>
      </c>
      <c r="B338" s="31">
        <v>103</v>
      </c>
      <c r="C338" s="249" t="s">
        <v>718</v>
      </c>
      <c r="D338" s="320" t="s">
        <v>180</v>
      </c>
      <c r="E338" s="321" t="s">
        <v>622</v>
      </c>
      <c r="F338" s="322" t="s">
        <v>547</v>
      </c>
      <c r="G338" s="323" t="s">
        <v>831</v>
      </c>
      <c r="H338" s="322"/>
      <c r="I338" s="324">
        <v>0</v>
      </c>
      <c r="J338" s="325"/>
      <c r="K338" s="325"/>
      <c r="L338" s="325"/>
      <c r="M338" s="325"/>
      <c r="N338" s="325"/>
      <c r="O338" s="326"/>
      <c r="P338" s="326"/>
      <c r="Q338" s="326"/>
      <c r="R338" s="326"/>
      <c r="S338" s="327" t="s">
        <v>847</v>
      </c>
    </row>
    <row r="339" spans="1:19" ht="15" customHeight="1">
      <c r="A339" s="561">
        <f t="shared" si="5"/>
        <v>339</v>
      </c>
      <c r="B339" s="31">
        <v>103</v>
      </c>
      <c r="C339" s="249" t="s">
        <v>718</v>
      </c>
      <c r="D339" s="320" t="s">
        <v>180</v>
      </c>
      <c r="E339" s="321" t="s">
        <v>622</v>
      </c>
      <c r="F339" s="322" t="s">
        <v>547</v>
      </c>
      <c r="G339" s="323" t="s">
        <v>832</v>
      </c>
      <c r="H339" s="322" t="s">
        <v>19</v>
      </c>
      <c r="I339" s="324">
        <v>2.6</v>
      </c>
      <c r="J339" s="325"/>
      <c r="K339" s="325"/>
      <c r="L339" s="325">
        <v>5</v>
      </c>
      <c r="M339" s="325"/>
      <c r="N339" s="325"/>
      <c r="O339" s="326"/>
      <c r="P339" s="326"/>
      <c r="Q339" s="326"/>
      <c r="R339" s="326"/>
      <c r="S339" s="327"/>
    </row>
    <row r="340" spans="1:19" ht="15" customHeight="1">
      <c r="A340" s="561">
        <f t="shared" si="5"/>
        <v>340</v>
      </c>
      <c r="B340" s="31">
        <v>103</v>
      </c>
      <c r="C340" s="249" t="s">
        <v>718</v>
      </c>
      <c r="D340" s="320" t="s">
        <v>180</v>
      </c>
      <c r="E340" s="321" t="s">
        <v>622</v>
      </c>
      <c r="F340" s="322" t="s">
        <v>175</v>
      </c>
      <c r="G340" s="323" t="s">
        <v>833</v>
      </c>
      <c r="H340" s="322" t="s">
        <v>109</v>
      </c>
      <c r="I340" s="324">
        <v>1.3</v>
      </c>
      <c r="J340" s="325"/>
      <c r="K340" s="325"/>
      <c r="L340" s="325">
        <v>3</v>
      </c>
      <c r="M340" s="325"/>
      <c r="N340" s="325"/>
      <c r="O340" s="326"/>
      <c r="P340" s="326"/>
      <c r="Q340" s="326"/>
      <c r="R340" s="326"/>
      <c r="S340" s="327"/>
    </row>
    <row r="341" spans="1:19" ht="15" customHeight="1">
      <c r="A341" s="561">
        <f t="shared" si="5"/>
        <v>341</v>
      </c>
      <c r="B341" s="31">
        <v>103</v>
      </c>
      <c r="C341" s="249" t="s">
        <v>718</v>
      </c>
      <c r="D341" s="320" t="s">
        <v>180</v>
      </c>
      <c r="E341" s="321" t="s">
        <v>622</v>
      </c>
      <c r="F341" s="322" t="s">
        <v>834</v>
      </c>
      <c r="G341" s="323" t="s">
        <v>835</v>
      </c>
      <c r="H341" s="322" t="s">
        <v>19</v>
      </c>
      <c r="I341" s="324">
        <v>17</v>
      </c>
      <c r="J341" s="325"/>
      <c r="K341" s="325"/>
      <c r="L341" s="325">
        <v>33</v>
      </c>
      <c r="M341" s="325"/>
      <c r="N341" s="325"/>
      <c r="O341" s="326"/>
      <c r="P341" s="326">
        <v>17</v>
      </c>
      <c r="Q341" s="326"/>
      <c r="R341" s="326"/>
      <c r="S341" s="327"/>
    </row>
    <row r="342" spans="1:19" ht="15" customHeight="1">
      <c r="A342" s="561">
        <f t="shared" si="5"/>
        <v>342</v>
      </c>
      <c r="B342" s="31">
        <v>103</v>
      </c>
      <c r="C342" s="249" t="s">
        <v>718</v>
      </c>
      <c r="D342" s="320" t="s">
        <v>180</v>
      </c>
      <c r="E342" s="321" t="s">
        <v>622</v>
      </c>
      <c r="F342" s="322" t="s">
        <v>836</v>
      </c>
      <c r="G342" s="323" t="s">
        <v>837</v>
      </c>
      <c r="H342" s="322" t="s">
        <v>19</v>
      </c>
      <c r="I342" s="324">
        <v>16</v>
      </c>
      <c r="J342" s="325"/>
      <c r="K342" s="325"/>
      <c r="L342" s="325">
        <v>26</v>
      </c>
      <c r="M342" s="325"/>
      <c r="N342" s="325"/>
      <c r="O342" s="326"/>
      <c r="P342" s="326">
        <v>16</v>
      </c>
      <c r="Q342" s="326"/>
      <c r="R342" s="326"/>
      <c r="S342" s="327"/>
    </row>
    <row r="343" spans="1:19" ht="15" customHeight="1">
      <c r="A343" s="561">
        <f t="shared" si="5"/>
        <v>343</v>
      </c>
      <c r="B343" s="31">
        <v>103</v>
      </c>
      <c r="C343" s="249" t="s">
        <v>718</v>
      </c>
      <c r="D343" s="320" t="s">
        <v>180</v>
      </c>
      <c r="E343" s="321" t="s">
        <v>622</v>
      </c>
      <c r="F343" s="322" t="s">
        <v>838</v>
      </c>
      <c r="G343" s="323" t="s">
        <v>839</v>
      </c>
      <c r="H343" s="322" t="s">
        <v>19</v>
      </c>
      <c r="I343" s="324">
        <v>19</v>
      </c>
      <c r="J343" s="325"/>
      <c r="K343" s="325"/>
      <c r="L343" s="325">
        <v>40</v>
      </c>
      <c r="M343" s="325"/>
      <c r="N343" s="325"/>
      <c r="O343" s="326"/>
      <c r="P343" s="326">
        <v>19</v>
      </c>
      <c r="Q343" s="326"/>
      <c r="R343" s="326"/>
      <c r="S343" s="327"/>
    </row>
    <row r="344" spans="1:19" ht="15" customHeight="1">
      <c r="A344" s="561">
        <f t="shared" si="5"/>
        <v>344</v>
      </c>
      <c r="B344" s="31">
        <v>103</v>
      </c>
      <c r="C344" s="249" t="s">
        <v>718</v>
      </c>
      <c r="D344" s="320" t="s">
        <v>180</v>
      </c>
      <c r="E344" s="321" t="s">
        <v>622</v>
      </c>
      <c r="F344" s="322" t="s">
        <v>598</v>
      </c>
      <c r="G344" s="323" t="s">
        <v>840</v>
      </c>
      <c r="H344" s="322" t="s">
        <v>109</v>
      </c>
      <c r="I344" s="324">
        <f>((2.8*4.5)+(3.5*4))*1.3</f>
        <v>34.580000000000005</v>
      </c>
      <c r="J344" s="325"/>
      <c r="K344" s="325"/>
      <c r="L344" s="325"/>
      <c r="M344" s="325"/>
      <c r="N344" s="325">
        <f>(2.8+4.5+1.2+3.5+4+8)*3</f>
        <v>72</v>
      </c>
      <c r="O344" s="326"/>
      <c r="P344" s="326">
        <f>I344</f>
        <v>34.580000000000005</v>
      </c>
      <c r="Q344" s="326"/>
      <c r="R344" s="326"/>
      <c r="S344" s="327"/>
    </row>
    <row r="345" spans="1:19" ht="15" customHeight="1">
      <c r="A345" s="561">
        <f t="shared" si="5"/>
        <v>345</v>
      </c>
      <c r="B345" s="31">
        <v>103</v>
      </c>
      <c r="C345" s="249" t="s">
        <v>718</v>
      </c>
      <c r="D345" s="320" t="s">
        <v>180</v>
      </c>
      <c r="E345" s="321" t="s">
        <v>622</v>
      </c>
      <c r="F345" s="322" t="s">
        <v>648</v>
      </c>
      <c r="G345" s="323" t="s">
        <v>841</v>
      </c>
      <c r="H345" s="322" t="s">
        <v>19</v>
      </c>
      <c r="I345" s="324">
        <v>22</v>
      </c>
      <c r="J345" s="325"/>
      <c r="K345" s="325"/>
      <c r="L345" s="325">
        <v>41</v>
      </c>
      <c r="M345" s="325"/>
      <c r="N345" s="325"/>
      <c r="O345" s="326"/>
      <c r="P345" s="326">
        <v>22</v>
      </c>
      <c r="Q345" s="326"/>
      <c r="R345" s="326"/>
      <c r="S345" s="327"/>
    </row>
    <row r="346" spans="1:19" ht="15" customHeight="1">
      <c r="A346" s="561">
        <f t="shared" si="5"/>
        <v>346</v>
      </c>
      <c r="B346" s="31">
        <v>103</v>
      </c>
      <c r="C346" s="249" t="s">
        <v>718</v>
      </c>
      <c r="D346" s="320" t="s">
        <v>180</v>
      </c>
      <c r="E346" s="321" t="s">
        <v>622</v>
      </c>
      <c r="F346" s="322" t="s">
        <v>598</v>
      </c>
      <c r="G346" s="323" t="s">
        <v>681</v>
      </c>
      <c r="H346" s="322" t="s">
        <v>109</v>
      </c>
      <c r="I346" s="324">
        <f>(3.4*4.6)*1.3</f>
        <v>20.332000000000001</v>
      </c>
      <c r="J346" s="325"/>
      <c r="K346" s="325"/>
      <c r="L346" s="325"/>
      <c r="M346" s="325"/>
      <c r="N346" s="325">
        <f>(3.4+4.6+3.4+4.6)*6.15</f>
        <v>98.4</v>
      </c>
      <c r="O346" s="326"/>
      <c r="P346" s="326">
        <f>I346</f>
        <v>20.332000000000001</v>
      </c>
      <c r="Q346" s="326"/>
      <c r="R346" s="326"/>
      <c r="S346" s="327"/>
    </row>
    <row r="347" spans="1:19" ht="15" customHeight="1">
      <c r="A347" s="561">
        <f t="shared" si="5"/>
        <v>347</v>
      </c>
      <c r="B347" s="31">
        <v>103</v>
      </c>
      <c r="C347" s="249" t="s">
        <v>718</v>
      </c>
      <c r="D347" s="320" t="s">
        <v>180</v>
      </c>
      <c r="E347" s="321" t="s">
        <v>622</v>
      </c>
      <c r="F347" s="322" t="s">
        <v>648</v>
      </c>
      <c r="G347" s="323" t="s">
        <v>682</v>
      </c>
      <c r="H347" s="322" t="s">
        <v>19</v>
      </c>
      <c r="I347" s="324">
        <v>22</v>
      </c>
      <c r="J347" s="325"/>
      <c r="K347" s="325"/>
      <c r="L347" s="325">
        <v>26</v>
      </c>
      <c r="M347" s="325"/>
      <c r="N347" s="325"/>
      <c r="O347" s="326"/>
      <c r="P347" s="326">
        <v>22</v>
      </c>
      <c r="Q347" s="326"/>
      <c r="R347" s="326"/>
      <c r="S347" s="327"/>
    </row>
    <row r="348" spans="1:19" ht="15" customHeight="1">
      <c r="A348" s="561">
        <f t="shared" si="5"/>
        <v>348</v>
      </c>
      <c r="B348" s="31">
        <v>103</v>
      </c>
      <c r="C348" s="249" t="s">
        <v>718</v>
      </c>
      <c r="D348" s="320" t="s">
        <v>180</v>
      </c>
      <c r="E348" s="321" t="s">
        <v>622</v>
      </c>
      <c r="F348" s="322" t="s">
        <v>842</v>
      </c>
      <c r="G348" s="323" t="s">
        <v>843</v>
      </c>
      <c r="H348" s="322" t="s">
        <v>19</v>
      </c>
      <c r="I348" s="324">
        <v>15</v>
      </c>
      <c r="J348" s="325"/>
      <c r="K348" s="325"/>
      <c r="L348" s="325">
        <v>28</v>
      </c>
      <c r="M348" s="325"/>
      <c r="N348" s="325"/>
      <c r="O348" s="326"/>
      <c r="P348" s="326">
        <v>15</v>
      </c>
      <c r="Q348" s="326"/>
      <c r="R348" s="326"/>
      <c r="S348" s="327"/>
    </row>
    <row r="349" spans="1:19" ht="15" customHeight="1">
      <c r="A349" s="561">
        <f t="shared" si="5"/>
        <v>349</v>
      </c>
      <c r="B349" s="31">
        <v>103</v>
      </c>
      <c r="C349" s="249" t="s">
        <v>718</v>
      </c>
      <c r="D349" s="320" t="s">
        <v>180</v>
      </c>
      <c r="E349" s="321" t="s">
        <v>622</v>
      </c>
      <c r="F349" s="322" t="s">
        <v>168</v>
      </c>
      <c r="G349" s="323" t="s">
        <v>844</v>
      </c>
      <c r="H349" s="322"/>
      <c r="I349" s="324">
        <v>0</v>
      </c>
      <c r="J349" s="325"/>
      <c r="K349" s="325"/>
      <c r="L349" s="325"/>
      <c r="M349" s="325"/>
      <c r="N349" s="325"/>
      <c r="O349" s="326"/>
      <c r="P349" s="326"/>
      <c r="Q349" s="326"/>
      <c r="R349" s="326"/>
      <c r="S349" s="327" t="s">
        <v>848</v>
      </c>
    </row>
    <row r="350" spans="1:19" ht="15" customHeight="1">
      <c r="A350" s="561">
        <f t="shared" si="5"/>
        <v>350</v>
      </c>
      <c r="B350" s="31">
        <v>103</v>
      </c>
      <c r="C350" s="249" t="s">
        <v>718</v>
      </c>
      <c r="D350" s="320" t="s">
        <v>180</v>
      </c>
      <c r="E350" s="321" t="s">
        <v>622</v>
      </c>
      <c r="F350" s="322" t="s">
        <v>168</v>
      </c>
      <c r="G350" s="323" t="s">
        <v>845</v>
      </c>
      <c r="H350" s="322"/>
      <c r="I350" s="324">
        <v>0</v>
      </c>
      <c r="J350" s="325"/>
      <c r="K350" s="325"/>
      <c r="L350" s="325"/>
      <c r="M350" s="325"/>
      <c r="N350" s="325"/>
      <c r="O350" s="326"/>
      <c r="P350" s="326"/>
      <c r="Q350" s="326"/>
      <c r="R350" s="326"/>
      <c r="S350" s="327" t="s">
        <v>849</v>
      </c>
    </row>
    <row r="351" spans="1:19" ht="15" customHeight="1">
      <c r="A351" s="561">
        <f t="shared" si="5"/>
        <v>351</v>
      </c>
      <c r="B351" s="31">
        <v>104</v>
      </c>
      <c r="C351" s="249" t="s">
        <v>165</v>
      </c>
      <c r="D351" s="320" t="s">
        <v>180</v>
      </c>
      <c r="E351" s="321" t="s">
        <v>328</v>
      </c>
      <c r="F351" s="322" t="s">
        <v>329</v>
      </c>
      <c r="G351" s="323" t="s">
        <v>339</v>
      </c>
      <c r="H351" s="322" t="s">
        <v>166</v>
      </c>
      <c r="I351" s="324">
        <v>6.5</v>
      </c>
      <c r="J351" s="325"/>
      <c r="K351" s="325"/>
      <c r="L351" s="325">
        <v>31.372500000000002</v>
      </c>
      <c r="M351" s="325">
        <v>1</v>
      </c>
      <c r="N351" s="325"/>
      <c r="O351" s="326"/>
      <c r="P351" s="326">
        <v>9</v>
      </c>
      <c r="Q351" s="326"/>
      <c r="R351" s="326"/>
      <c r="S351" s="327"/>
    </row>
    <row r="352" spans="1:19" ht="15" customHeight="1">
      <c r="A352" s="561">
        <f t="shared" si="5"/>
        <v>352</v>
      </c>
      <c r="B352" s="31">
        <v>104</v>
      </c>
      <c r="C352" s="249" t="s">
        <v>165</v>
      </c>
      <c r="D352" s="320" t="s">
        <v>180</v>
      </c>
      <c r="E352" s="321" t="s">
        <v>328</v>
      </c>
      <c r="F352" s="322" t="s">
        <v>167</v>
      </c>
      <c r="G352" s="323" t="s">
        <v>340</v>
      </c>
      <c r="H352" s="322" t="s">
        <v>19</v>
      </c>
      <c r="I352" s="324">
        <v>48</v>
      </c>
      <c r="J352" s="325"/>
      <c r="K352" s="325"/>
      <c r="L352" s="325">
        <v>151</v>
      </c>
      <c r="M352" s="325">
        <v>2</v>
      </c>
      <c r="N352" s="325"/>
      <c r="O352" s="326"/>
      <c r="P352" s="326">
        <v>48</v>
      </c>
      <c r="Q352" s="326"/>
      <c r="R352" s="326"/>
      <c r="S352" s="327"/>
    </row>
    <row r="353" spans="1:19" ht="15" customHeight="1">
      <c r="A353" s="561">
        <f t="shared" si="5"/>
        <v>353</v>
      </c>
      <c r="B353" s="31">
        <v>104</v>
      </c>
      <c r="C353" s="249" t="s">
        <v>165</v>
      </c>
      <c r="D353" s="320" t="s">
        <v>180</v>
      </c>
      <c r="E353" s="321" t="s">
        <v>328</v>
      </c>
      <c r="F353" s="322" t="s">
        <v>330</v>
      </c>
      <c r="G353" s="323" t="s">
        <v>341</v>
      </c>
      <c r="H353" s="322" t="s">
        <v>166</v>
      </c>
      <c r="I353" s="324">
        <v>14</v>
      </c>
      <c r="J353" s="325"/>
      <c r="K353" s="325"/>
      <c r="L353" s="325">
        <v>28</v>
      </c>
      <c r="M353" s="325"/>
      <c r="N353" s="325"/>
      <c r="O353" s="326"/>
      <c r="P353" s="326"/>
      <c r="Q353" s="326"/>
      <c r="R353" s="326"/>
      <c r="S353" s="327" t="s">
        <v>355</v>
      </c>
    </row>
    <row r="354" spans="1:19" ht="15" customHeight="1">
      <c r="A354" s="561">
        <f t="shared" si="5"/>
        <v>354</v>
      </c>
      <c r="B354" s="31">
        <v>104</v>
      </c>
      <c r="C354" s="249" t="s">
        <v>165</v>
      </c>
      <c r="D354" s="320" t="s">
        <v>180</v>
      </c>
      <c r="E354" s="321" t="s">
        <v>328</v>
      </c>
      <c r="F354" s="322" t="s">
        <v>331</v>
      </c>
      <c r="G354" s="323" t="s">
        <v>342</v>
      </c>
      <c r="H354" s="322" t="s">
        <v>166</v>
      </c>
      <c r="I354" s="324">
        <v>5.8</v>
      </c>
      <c r="J354" s="325"/>
      <c r="K354" s="325"/>
      <c r="L354" s="325">
        <v>28.795000000000002</v>
      </c>
      <c r="M354" s="325">
        <v>1</v>
      </c>
      <c r="N354" s="325"/>
      <c r="O354" s="326"/>
      <c r="P354" s="326">
        <v>8</v>
      </c>
      <c r="Q354" s="326"/>
      <c r="R354" s="326"/>
      <c r="S354" s="327"/>
    </row>
    <row r="355" spans="1:19" ht="15" customHeight="1">
      <c r="A355" s="561">
        <f t="shared" si="5"/>
        <v>355</v>
      </c>
      <c r="B355" s="31">
        <v>104</v>
      </c>
      <c r="C355" s="249" t="s">
        <v>165</v>
      </c>
      <c r="D355" s="320" t="s">
        <v>180</v>
      </c>
      <c r="E355" s="321" t="s">
        <v>328</v>
      </c>
      <c r="F355" s="322" t="s">
        <v>332</v>
      </c>
      <c r="G355" s="323" t="s">
        <v>343</v>
      </c>
      <c r="H355" s="322" t="s">
        <v>19</v>
      </c>
      <c r="I355" s="324">
        <v>5.2</v>
      </c>
      <c r="J355" s="325"/>
      <c r="K355" s="325"/>
      <c r="L355" s="325">
        <v>22.6</v>
      </c>
      <c r="M355" s="325"/>
      <c r="N355" s="325"/>
      <c r="O355" s="326"/>
      <c r="P355" s="326">
        <v>5</v>
      </c>
      <c r="Q355" s="326"/>
      <c r="R355" s="326"/>
      <c r="S355" s="327"/>
    </row>
    <row r="356" spans="1:19" ht="15" customHeight="1">
      <c r="A356" s="561">
        <f t="shared" si="5"/>
        <v>356</v>
      </c>
      <c r="B356" s="31">
        <v>104</v>
      </c>
      <c r="C356" s="249" t="s">
        <v>165</v>
      </c>
      <c r="D356" s="320" t="s">
        <v>180</v>
      </c>
      <c r="E356" s="321" t="s">
        <v>328</v>
      </c>
      <c r="F356" s="322" t="s">
        <v>333</v>
      </c>
      <c r="G356" s="323" t="s">
        <v>344</v>
      </c>
      <c r="H356" s="322" t="s">
        <v>19</v>
      </c>
      <c r="I356" s="324">
        <v>10.199999999999999</v>
      </c>
      <c r="J356" s="325"/>
      <c r="K356" s="325"/>
      <c r="L356" s="325">
        <v>22</v>
      </c>
      <c r="M356" s="325"/>
      <c r="N356" s="325"/>
      <c r="O356" s="326"/>
      <c r="P356" s="326">
        <v>10</v>
      </c>
      <c r="Q356" s="326"/>
      <c r="R356" s="326"/>
      <c r="S356" s="327"/>
    </row>
    <row r="357" spans="1:19" ht="15" customHeight="1">
      <c r="A357" s="561">
        <f t="shared" si="5"/>
        <v>357</v>
      </c>
      <c r="B357" s="31">
        <v>104</v>
      </c>
      <c r="C357" s="249" t="s">
        <v>165</v>
      </c>
      <c r="D357" s="320" t="s">
        <v>180</v>
      </c>
      <c r="E357" s="321" t="s">
        <v>328</v>
      </c>
      <c r="F357" s="322" t="s">
        <v>332</v>
      </c>
      <c r="G357" s="323" t="s">
        <v>345</v>
      </c>
      <c r="H357" s="322" t="s">
        <v>19</v>
      </c>
      <c r="I357" s="324">
        <v>4.2250000000000005</v>
      </c>
      <c r="J357" s="325"/>
      <c r="K357" s="325"/>
      <c r="L357" s="325">
        <v>20.799999999999997</v>
      </c>
      <c r="M357" s="325"/>
      <c r="N357" s="325"/>
      <c r="O357" s="326"/>
      <c r="P357" s="326">
        <v>4</v>
      </c>
      <c r="Q357" s="326"/>
      <c r="R357" s="326"/>
      <c r="S357" s="327"/>
    </row>
    <row r="358" spans="1:19" ht="15" customHeight="1">
      <c r="A358" s="561">
        <f t="shared" si="5"/>
        <v>358</v>
      </c>
      <c r="B358" s="31">
        <v>104</v>
      </c>
      <c r="C358" s="249" t="s">
        <v>165</v>
      </c>
      <c r="D358" s="320" t="s">
        <v>180</v>
      </c>
      <c r="E358" s="321" t="s">
        <v>328</v>
      </c>
      <c r="F358" s="322" t="s">
        <v>334</v>
      </c>
      <c r="G358" s="323" t="s">
        <v>346</v>
      </c>
      <c r="H358" s="322" t="s">
        <v>19</v>
      </c>
      <c r="I358" s="324">
        <v>7.5</v>
      </c>
      <c r="J358" s="325"/>
      <c r="K358" s="325"/>
      <c r="L358" s="325">
        <v>19</v>
      </c>
      <c r="M358" s="325"/>
      <c r="N358" s="325"/>
      <c r="O358" s="326"/>
      <c r="P358" s="326">
        <v>8</v>
      </c>
      <c r="Q358" s="326"/>
      <c r="R358" s="326"/>
      <c r="S358" s="327"/>
    </row>
    <row r="359" spans="1:19" ht="15" customHeight="1">
      <c r="A359" s="561">
        <f t="shared" si="5"/>
        <v>359</v>
      </c>
      <c r="B359" s="31">
        <v>104</v>
      </c>
      <c r="C359" s="249" t="s">
        <v>165</v>
      </c>
      <c r="D359" s="320" t="s">
        <v>180</v>
      </c>
      <c r="E359" s="321" t="s">
        <v>328</v>
      </c>
      <c r="F359" s="322" t="s">
        <v>334</v>
      </c>
      <c r="G359" s="323" t="s">
        <v>347</v>
      </c>
      <c r="H359" s="322" t="s">
        <v>19</v>
      </c>
      <c r="I359" s="324">
        <v>30</v>
      </c>
      <c r="J359" s="325"/>
      <c r="K359" s="325"/>
      <c r="L359" s="325">
        <v>70</v>
      </c>
      <c r="M359" s="325"/>
      <c r="N359" s="325"/>
      <c r="O359" s="326"/>
      <c r="P359" s="326">
        <v>25</v>
      </c>
      <c r="Q359" s="326"/>
      <c r="R359" s="326"/>
      <c r="S359" s="327"/>
    </row>
    <row r="360" spans="1:19" ht="15" customHeight="1">
      <c r="A360" s="561">
        <f t="shared" si="5"/>
        <v>360</v>
      </c>
      <c r="B360" s="31">
        <v>104</v>
      </c>
      <c r="C360" s="249" t="s">
        <v>165</v>
      </c>
      <c r="D360" s="320" t="s">
        <v>180</v>
      </c>
      <c r="E360" s="321" t="s">
        <v>328</v>
      </c>
      <c r="F360" s="322" t="s">
        <v>168</v>
      </c>
      <c r="G360" s="323" t="s">
        <v>348</v>
      </c>
      <c r="H360" s="322" t="s">
        <v>44</v>
      </c>
      <c r="I360" s="324">
        <v>52</v>
      </c>
      <c r="J360" s="325"/>
      <c r="K360" s="325"/>
      <c r="L360" s="325"/>
      <c r="M360" s="325"/>
      <c r="N360" s="325">
        <v>158</v>
      </c>
      <c r="O360" s="326"/>
      <c r="P360" s="326"/>
      <c r="Q360" s="326">
        <v>20</v>
      </c>
      <c r="R360" s="326"/>
      <c r="S360" s="327"/>
    </row>
    <row r="361" spans="1:19" ht="15" customHeight="1">
      <c r="A361" s="561">
        <f t="shared" si="5"/>
        <v>361</v>
      </c>
      <c r="B361" s="31">
        <v>104</v>
      </c>
      <c r="C361" s="249" t="s">
        <v>165</v>
      </c>
      <c r="D361" s="320" t="s">
        <v>180</v>
      </c>
      <c r="E361" s="321" t="s">
        <v>328</v>
      </c>
      <c r="F361" s="322" t="s">
        <v>335</v>
      </c>
      <c r="G361" s="323" t="s">
        <v>349</v>
      </c>
      <c r="H361" s="322" t="s">
        <v>109</v>
      </c>
      <c r="I361" s="324">
        <v>94</v>
      </c>
      <c r="J361" s="325"/>
      <c r="K361" s="325"/>
      <c r="L361" s="325"/>
      <c r="M361" s="325"/>
      <c r="N361" s="325"/>
      <c r="O361" s="326"/>
      <c r="P361" s="326"/>
      <c r="Q361" s="326"/>
      <c r="R361" s="326"/>
      <c r="S361" s="327" t="s">
        <v>356</v>
      </c>
    </row>
    <row r="362" spans="1:19" ht="15" customHeight="1">
      <c r="A362" s="561">
        <f t="shared" si="5"/>
        <v>362</v>
      </c>
      <c r="B362" s="31">
        <v>104</v>
      </c>
      <c r="C362" s="249" t="s">
        <v>165</v>
      </c>
      <c r="D362" s="320" t="s">
        <v>180</v>
      </c>
      <c r="E362" s="321" t="s">
        <v>328</v>
      </c>
      <c r="F362" s="322" t="s">
        <v>335</v>
      </c>
      <c r="G362" s="323" t="s">
        <v>350</v>
      </c>
      <c r="H362" s="322" t="s">
        <v>109</v>
      </c>
      <c r="I362" s="324">
        <v>71</v>
      </c>
      <c r="J362" s="325"/>
      <c r="K362" s="325"/>
      <c r="L362" s="325"/>
      <c r="M362" s="325"/>
      <c r="N362" s="325"/>
      <c r="O362" s="326"/>
      <c r="P362" s="326"/>
      <c r="Q362" s="326"/>
      <c r="R362" s="326"/>
      <c r="S362" s="327" t="s">
        <v>356</v>
      </c>
    </row>
    <row r="363" spans="1:19" ht="15" customHeight="1">
      <c r="A363" s="561">
        <f t="shared" si="5"/>
        <v>363</v>
      </c>
      <c r="B363" s="31">
        <v>104</v>
      </c>
      <c r="C363" s="249" t="s">
        <v>165</v>
      </c>
      <c r="D363" s="320" t="s">
        <v>180</v>
      </c>
      <c r="E363" s="321" t="s">
        <v>328</v>
      </c>
      <c r="F363" s="322" t="s">
        <v>335</v>
      </c>
      <c r="G363" s="323" t="s">
        <v>351</v>
      </c>
      <c r="H363" s="322" t="s">
        <v>109</v>
      </c>
      <c r="I363" s="324">
        <v>143</v>
      </c>
      <c r="J363" s="325"/>
      <c r="K363" s="325"/>
      <c r="L363" s="325"/>
      <c r="M363" s="325"/>
      <c r="N363" s="325"/>
      <c r="O363" s="326"/>
      <c r="P363" s="326"/>
      <c r="Q363" s="326"/>
      <c r="R363" s="326"/>
      <c r="S363" s="327" t="s">
        <v>356</v>
      </c>
    </row>
    <row r="364" spans="1:19" ht="15" customHeight="1">
      <c r="A364" s="561">
        <f t="shared" si="5"/>
        <v>364</v>
      </c>
      <c r="B364" s="31">
        <v>104</v>
      </c>
      <c r="C364" s="249" t="s">
        <v>165</v>
      </c>
      <c r="D364" s="320" t="s">
        <v>180</v>
      </c>
      <c r="E364" s="321" t="s">
        <v>328</v>
      </c>
      <c r="F364" s="322" t="s">
        <v>335</v>
      </c>
      <c r="G364" s="323" t="s">
        <v>352</v>
      </c>
      <c r="H364" s="322" t="s">
        <v>109</v>
      </c>
      <c r="I364" s="324">
        <v>54</v>
      </c>
      <c r="J364" s="325"/>
      <c r="K364" s="325"/>
      <c r="L364" s="325"/>
      <c r="M364" s="325"/>
      <c r="N364" s="325"/>
      <c r="O364" s="326"/>
      <c r="P364" s="326"/>
      <c r="Q364" s="326"/>
      <c r="R364" s="326"/>
      <c r="S364" s="327" t="s">
        <v>356</v>
      </c>
    </row>
    <row r="365" spans="1:19" ht="15" customHeight="1">
      <c r="A365" s="561">
        <f t="shared" si="5"/>
        <v>365</v>
      </c>
      <c r="B365" s="31">
        <v>104</v>
      </c>
      <c r="C365" s="249" t="s">
        <v>165</v>
      </c>
      <c r="D365" s="320" t="s">
        <v>180</v>
      </c>
      <c r="E365" s="321" t="s">
        <v>328</v>
      </c>
      <c r="F365" s="322" t="s">
        <v>335</v>
      </c>
      <c r="G365" s="323" t="s">
        <v>353</v>
      </c>
      <c r="H365" s="322" t="s">
        <v>109</v>
      </c>
      <c r="I365" s="324">
        <v>22.119999999999997</v>
      </c>
      <c r="J365" s="325"/>
      <c r="K365" s="325"/>
      <c r="L365" s="325"/>
      <c r="M365" s="325"/>
      <c r="N365" s="325">
        <v>41</v>
      </c>
      <c r="O365" s="326"/>
      <c r="P365" s="326">
        <v>22</v>
      </c>
      <c r="Q365" s="326"/>
      <c r="R365" s="326"/>
      <c r="S365" s="327"/>
    </row>
    <row r="366" spans="1:19" ht="15" customHeight="1">
      <c r="A366" s="561">
        <f t="shared" si="5"/>
        <v>366</v>
      </c>
      <c r="B366" s="31">
        <v>104</v>
      </c>
      <c r="C366" s="249" t="s">
        <v>165</v>
      </c>
      <c r="D366" s="320" t="s">
        <v>180</v>
      </c>
      <c r="E366" s="321" t="s">
        <v>328</v>
      </c>
      <c r="F366" s="322" t="s">
        <v>336</v>
      </c>
      <c r="G366" s="323" t="s">
        <v>354</v>
      </c>
      <c r="H366" s="322" t="s">
        <v>19</v>
      </c>
      <c r="I366" s="324">
        <v>21.9</v>
      </c>
      <c r="J366" s="325"/>
      <c r="K366" s="325"/>
      <c r="L366" s="325"/>
      <c r="M366" s="325"/>
      <c r="N366" s="325">
        <v>58</v>
      </c>
      <c r="O366" s="326"/>
      <c r="P366" s="326">
        <v>16</v>
      </c>
      <c r="Q366" s="326"/>
      <c r="R366" s="326"/>
      <c r="S366" s="327"/>
    </row>
    <row r="367" spans="1:19" ht="15" customHeight="1">
      <c r="A367" s="561">
        <f t="shared" si="5"/>
        <v>367</v>
      </c>
      <c r="B367" s="31">
        <v>104</v>
      </c>
      <c r="C367" s="249" t="s">
        <v>165</v>
      </c>
      <c r="D367" s="320" t="s">
        <v>180</v>
      </c>
      <c r="E367" s="321" t="s">
        <v>328</v>
      </c>
      <c r="F367" s="322" t="s">
        <v>337</v>
      </c>
      <c r="G367" s="323" t="s">
        <v>170</v>
      </c>
      <c r="H367" s="322" t="s">
        <v>319</v>
      </c>
      <c r="I367" s="324">
        <v>5.0999999999999996</v>
      </c>
      <c r="J367" s="325"/>
      <c r="K367" s="325"/>
      <c r="L367" s="325"/>
      <c r="M367" s="325"/>
      <c r="N367" s="325">
        <v>11</v>
      </c>
      <c r="O367" s="326"/>
      <c r="P367" s="326">
        <v>5</v>
      </c>
      <c r="Q367" s="326"/>
      <c r="R367" s="326"/>
      <c r="S367" s="327"/>
    </row>
    <row r="368" spans="1:19" ht="15" customHeight="1">
      <c r="A368" s="561">
        <f t="shared" si="5"/>
        <v>368</v>
      </c>
      <c r="B368" s="31">
        <v>104</v>
      </c>
      <c r="C368" s="249" t="s">
        <v>165</v>
      </c>
      <c r="D368" s="320" t="s">
        <v>180</v>
      </c>
      <c r="E368" s="321" t="s">
        <v>328</v>
      </c>
      <c r="F368" s="322" t="s">
        <v>337</v>
      </c>
      <c r="G368" s="323" t="s">
        <v>171</v>
      </c>
      <c r="H368" s="322" t="s">
        <v>1327</v>
      </c>
      <c r="I368" s="324">
        <v>176.25</v>
      </c>
      <c r="J368" s="325"/>
      <c r="K368" s="325">
        <v>166</v>
      </c>
      <c r="L368" s="325"/>
      <c r="M368" s="325"/>
      <c r="N368" s="325"/>
      <c r="O368" s="326"/>
      <c r="P368" s="326">
        <v>86</v>
      </c>
      <c r="Q368" s="326">
        <v>90</v>
      </c>
      <c r="R368" s="326"/>
      <c r="S368" s="327" t="s">
        <v>357</v>
      </c>
    </row>
    <row r="369" spans="1:19" ht="15" customHeight="1">
      <c r="A369" s="561">
        <f t="shared" si="5"/>
        <v>369</v>
      </c>
      <c r="B369" s="31">
        <v>104</v>
      </c>
      <c r="C369" s="249" t="s">
        <v>165</v>
      </c>
      <c r="D369" s="320" t="s">
        <v>180</v>
      </c>
      <c r="E369" s="321" t="s">
        <v>328</v>
      </c>
      <c r="F369" s="322" t="s">
        <v>337</v>
      </c>
      <c r="G369" s="323" t="s">
        <v>172</v>
      </c>
      <c r="H369" s="322" t="s">
        <v>44</v>
      </c>
      <c r="I369" s="324">
        <v>17.899999999999999</v>
      </c>
      <c r="J369" s="325"/>
      <c r="K369" s="325"/>
      <c r="L369" s="325">
        <v>52</v>
      </c>
      <c r="M369" s="325"/>
      <c r="N369" s="325"/>
      <c r="O369" s="326"/>
      <c r="P369" s="326">
        <v>18</v>
      </c>
      <c r="Q369" s="326"/>
      <c r="R369" s="326"/>
      <c r="S369" s="327"/>
    </row>
    <row r="370" spans="1:19" ht="15" customHeight="1">
      <c r="A370" s="561">
        <f t="shared" si="5"/>
        <v>370</v>
      </c>
      <c r="B370" s="31">
        <v>104</v>
      </c>
      <c r="C370" s="249" t="s">
        <v>165</v>
      </c>
      <c r="D370" s="320" t="s">
        <v>180</v>
      </c>
      <c r="E370" s="321" t="s">
        <v>328</v>
      </c>
      <c r="F370" s="322" t="s">
        <v>337</v>
      </c>
      <c r="G370" s="323" t="s">
        <v>173</v>
      </c>
      <c r="H370" s="322" t="s">
        <v>44</v>
      </c>
      <c r="I370" s="324">
        <v>10.964999999999998</v>
      </c>
      <c r="J370" s="325"/>
      <c r="K370" s="325"/>
      <c r="L370" s="325">
        <v>36</v>
      </c>
      <c r="M370" s="325"/>
      <c r="N370" s="325"/>
      <c r="O370" s="326"/>
      <c r="P370" s="326">
        <v>11</v>
      </c>
      <c r="Q370" s="326"/>
      <c r="R370" s="326"/>
      <c r="S370" s="327"/>
    </row>
    <row r="371" spans="1:19" ht="15" customHeight="1">
      <c r="A371" s="561">
        <f t="shared" si="5"/>
        <v>371</v>
      </c>
      <c r="B371" s="31">
        <v>104</v>
      </c>
      <c r="C371" s="249" t="s">
        <v>165</v>
      </c>
      <c r="D371" s="320" t="s">
        <v>180</v>
      </c>
      <c r="E371" s="321" t="s">
        <v>328</v>
      </c>
      <c r="F371" s="322" t="s">
        <v>338</v>
      </c>
      <c r="G371" s="323" t="s">
        <v>1713</v>
      </c>
      <c r="H371" s="322" t="s">
        <v>109</v>
      </c>
      <c r="I371" s="324">
        <v>4.620000000000001</v>
      </c>
      <c r="J371" s="325">
        <v>2</v>
      </c>
      <c r="K371" s="325"/>
      <c r="L371" s="325"/>
      <c r="M371" s="325"/>
      <c r="N371" s="325">
        <v>23</v>
      </c>
      <c r="O371" s="326"/>
      <c r="P371" s="326"/>
      <c r="Q371" s="326">
        <v>5</v>
      </c>
      <c r="R371" s="326"/>
      <c r="S371" s="327"/>
    </row>
    <row r="372" spans="1:19" ht="15" customHeight="1">
      <c r="A372" s="561">
        <f t="shared" si="5"/>
        <v>372</v>
      </c>
      <c r="B372" s="31">
        <v>104</v>
      </c>
      <c r="C372" s="249" t="s">
        <v>165</v>
      </c>
      <c r="D372" s="320" t="s">
        <v>180</v>
      </c>
      <c r="E372" s="321" t="s">
        <v>358</v>
      </c>
      <c r="F372" s="322" t="s">
        <v>359</v>
      </c>
      <c r="G372" s="323" t="s">
        <v>360</v>
      </c>
      <c r="H372" s="322" t="s">
        <v>1324</v>
      </c>
      <c r="I372" s="324">
        <v>25</v>
      </c>
      <c r="J372" s="325"/>
      <c r="K372" s="325"/>
      <c r="L372" s="325"/>
      <c r="M372" s="325"/>
      <c r="N372" s="325"/>
      <c r="O372" s="326"/>
      <c r="P372" s="326"/>
      <c r="Q372" s="326"/>
      <c r="R372" s="326"/>
      <c r="S372" s="327"/>
    </row>
    <row r="373" spans="1:19" ht="15" customHeight="1">
      <c r="A373" s="561">
        <f t="shared" si="5"/>
        <v>373</v>
      </c>
      <c r="B373" s="31">
        <v>104</v>
      </c>
      <c r="C373" s="249" t="s">
        <v>165</v>
      </c>
      <c r="D373" s="320" t="s">
        <v>180</v>
      </c>
      <c r="E373" s="321" t="s">
        <v>358</v>
      </c>
      <c r="F373" s="322" t="s">
        <v>361</v>
      </c>
      <c r="G373" s="323" t="s">
        <v>363</v>
      </c>
      <c r="H373" s="322" t="s">
        <v>1323</v>
      </c>
      <c r="I373" s="324">
        <v>117</v>
      </c>
      <c r="J373" s="325"/>
      <c r="K373" s="325">
        <f>104+80</f>
        <v>184</v>
      </c>
      <c r="L373" s="325"/>
      <c r="M373" s="325"/>
      <c r="N373" s="325"/>
      <c r="O373" s="326"/>
      <c r="P373" s="326"/>
      <c r="Q373" s="326"/>
      <c r="R373" s="326"/>
      <c r="S373" s="327" t="s">
        <v>1157</v>
      </c>
    </row>
    <row r="374" spans="1:19" ht="15" customHeight="1">
      <c r="A374" s="561">
        <f t="shared" si="5"/>
        <v>374</v>
      </c>
      <c r="B374" s="31">
        <v>104</v>
      </c>
      <c r="C374" s="249" t="s">
        <v>165</v>
      </c>
      <c r="D374" s="320" t="s">
        <v>180</v>
      </c>
      <c r="E374" s="321" t="s">
        <v>358</v>
      </c>
      <c r="F374" s="322" t="s">
        <v>364</v>
      </c>
      <c r="G374" s="323" t="s">
        <v>362</v>
      </c>
      <c r="H374" s="322" t="s">
        <v>109</v>
      </c>
      <c r="I374" s="324">
        <f>(40.5+133+50+265+(1000-180)+45+22+34+145+50)*1.3</f>
        <v>2085.85</v>
      </c>
      <c r="J374" s="325"/>
      <c r="K374" s="325">
        <f>85+92+54+15+502+74+82+145+115+78</f>
        <v>1242</v>
      </c>
      <c r="L374" s="325"/>
      <c r="M374" s="325"/>
      <c r="N374" s="325"/>
      <c r="O374" s="326"/>
      <c r="P374" s="326"/>
      <c r="Q374" s="326">
        <f>40.5+133+50+265+1000+45+22+34+145+50</f>
        <v>1784.5</v>
      </c>
      <c r="R374" s="326"/>
      <c r="S374" s="327" t="s">
        <v>522</v>
      </c>
    </row>
    <row r="375" spans="1:19" ht="15" customHeight="1">
      <c r="A375" s="561">
        <f t="shared" si="5"/>
        <v>375</v>
      </c>
      <c r="B375" s="31">
        <v>104</v>
      </c>
      <c r="C375" s="249" t="s">
        <v>165</v>
      </c>
      <c r="D375" s="320" t="s">
        <v>180</v>
      </c>
      <c r="E375" s="321" t="s">
        <v>358</v>
      </c>
      <c r="F375" s="322" t="s">
        <v>365</v>
      </c>
      <c r="G375" s="323" t="s">
        <v>366</v>
      </c>
      <c r="H375" s="322" t="s">
        <v>1323</v>
      </c>
      <c r="I375" s="324">
        <v>62.400000000000006</v>
      </c>
      <c r="J375" s="325"/>
      <c r="K375" s="325">
        <f>79+108</f>
        <v>187</v>
      </c>
      <c r="L375" s="325"/>
      <c r="M375" s="325"/>
      <c r="N375" s="325">
        <v>3</v>
      </c>
      <c r="O375" s="326"/>
      <c r="P375" s="326"/>
      <c r="Q375" s="326"/>
      <c r="R375" s="326"/>
      <c r="S375" s="327" t="s">
        <v>1158</v>
      </c>
    </row>
    <row r="376" spans="1:19" ht="15" customHeight="1">
      <c r="A376" s="561">
        <f t="shared" si="5"/>
        <v>376</v>
      </c>
      <c r="B376" s="31">
        <v>104</v>
      </c>
      <c r="C376" s="249" t="s">
        <v>165</v>
      </c>
      <c r="D376" s="320" t="s">
        <v>180</v>
      </c>
      <c r="E376" s="321" t="s">
        <v>358</v>
      </c>
      <c r="F376" s="322" t="s">
        <v>359</v>
      </c>
      <c r="G376" s="323" t="s">
        <v>367</v>
      </c>
      <c r="H376" s="322" t="s">
        <v>1324</v>
      </c>
      <c r="I376" s="324">
        <v>28</v>
      </c>
      <c r="J376" s="325"/>
      <c r="K376" s="325"/>
      <c r="L376" s="325"/>
      <c r="M376" s="325"/>
      <c r="N376" s="325"/>
      <c r="O376" s="326"/>
      <c r="P376" s="326"/>
      <c r="Q376" s="326"/>
      <c r="R376" s="326"/>
      <c r="S376" s="327"/>
    </row>
    <row r="377" spans="1:19" ht="15" customHeight="1">
      <c r="A377" s="561">
        <f t="shared" si="5"/>
        <v>377</v>
      </c>
      <c r="B377" s="31">
        <v>104</v>
      </c>
      <c r="C377" s="249" t="s">
        <v>165</v>
      </c>
      <c r="D377" s="320" t="s">
        <v>180</v>
      </c>
      <c r="E377" s="321" t="s">
        <v>358</v>
      </c>
      <c r="F377" s="322" t="s">
        <v>361</v>
      </c>
      <c r="G377" s="323" t="s">
        <v>368</v>
      </c>
      <c r="H377" s="322" t="s">
        <v>1323</v>
      </c>
      <c r="I377" s="324">
        <v>39</v>
      </c>
      <c r="J377" s="325"/>
      <c r="K377" s="325">
        <f>111+31</f>
        <v>142</v>
      </c>
      <c r="L377" s="325"/>
      <c r="M377" s="325"/>
      <c r="N377" s="325"/>
      <c r="O377" s="326"/>
      <c r="P377" s="326"/>
      <c r="Q377" s="326">
        <v>50</v>
      </c>
      <c r="R377" s="326"/>
      <c r="S377" s="327" t="s">
        <v>1159</v>
      </c>
    </row>
    <row r="378" spans="1:19" ht="15" customHeight="1">
      <c r="A378" s="561">
        <f t="shared" si="5"/>
        <v>378</v>
      </c>
      <c r="B378" s="31">
        <v>104</v>
      </c>
      <c r="C378" s="249" t="s">
        <v>165</v>
      </c>
      <c r="D378" s="320" t="s">
        <v>180</v>
      </c>
      <c r="E378" s="321" t="s">
        <v>358</v>
      </c>
      <c r="F378" s="322" t="s">
        <v>369</v>
      </c>
      <c r="G378" s="323" t="s">
        <v>370</v>
      </c>
      <c r="H378" s="322" t="s">
        <v>1323</v>
      </c>
      <c r="I378" s="324">
        <v>84.5</v>
      </c>
      <c r="J378" s="325"/>
      <c r="K378" s="325">
        <f>156</f>
        <v>156</v>
      </c>
      <c r="L378" s="325"/>
      <c r="M378" s="325"/>
      <c r="N378" s="325"/>
      <c r="O378" s="326"/>
      <c r="P378" s="326"/>
      <c r="Q378" s="326"/>
      <c r="R378" s="326"/>
      <c r="S378" s="327"/>
    </row>
    <row r="379" spans="1:19" ht="15" customHeight="1">
      <c r="A379" s="561">
        <f t="shared" si="5"/>
        <v>379</v>
      </c>
      <c r="B379" s="31">
        <v>104</v>
      </c>
      <c r="C379" s="249" t="s">
        <v>165</v>
      </c>
      <c r="D379" s="320" t="s">
        <v>180</v>
      </c>
      <c r="E379" s="321" t="s">
        <v>358</v>
      </c>
      <c r="F379" s="322" t="s">
        <v>361</v>
      </c>
      <c r="G379" s="323" t="s">
        <v>371</v>
      </c>
      <c r="H379" s="322" t="s">
        <v>1323</v>
      </c>
      <c r="I379" s="324">
        <v>72.8</v>
      </c>
      <c r="J379" s="325"/>
      <c r="K379" s="325">
        <v>95</v>
      </c>
      <c r="L379" s="325"/>
      <c r="M379" s="325"/>
      <c r="N379" s="325"/>
      <c r="O379" s="326"/>
      <c r="P379" s="326"/>
      <c r="Q379" s="326">
        <v>29</v>
      </c>
      <c r="R379" s="326"/>
      <c r="S379" s="327"/>
    </row>
    <row r="380" spans="1:19" ht="15" customHeight="1">
      <c r="A380" s="561">
        <f t="shared" si="5"/>
        <v>380</v>
      </c>
      <c r="B380" s="31">
        <v>104</v>
      </c>
      <c r="C380" s="249" t="s">
        <v>165</v>
      </c>
      <c r="D380" s="320" t="s">
        <v>180</v>
      </c>
      <c r="E380" s="321" t="s">
        <v>358</v>
      </c>
      <c r="F380" s="322" t="s">
        <v>361</v>
      </c>
      <c r="G380" s="323" t="s">
        <v>372</v>
      </c>
      <c r="H380" s="322" t="s">
        <v>1323</v>
      </c>
      <c r="I380" s="324">
        <f>(30+2*1.5)*1.3</f>
        <v>42.9</v>
      </c>
      <c r="J380" s="325"/>
      <c r="K380" s="325">
        <f>95+78</f>
        <v>173</v>
      </c>
      <c r="L380" s="325"/>
      <c r="M380" s="325"/>
      <c r="N380" s="325"/>
      <c r="O380" s="326"/>
      <c r="P380" s="326"/>
      <c r="Q380" s="326">
        <v>70</v>
      </c>
      <c r="R380" s="326"/>
      <c r="S380" s="327" t="s">
        <v>1160</v>
      </c>
    </row>
    <row r="381" spans="1:19" ht="15" customHeight="1">
      <c r="A381" s="561">
        <f t="shared" si="5"/>
        <v>381</v>
      </c>
      <c r="B381" s="31">
        <v>104</v>
      </c>
      <c r="C381" s="249" t="s">
        <v>165</v>
      </c>
      <c r="D381" s="320" t="s">
        <v>180</v>
      </c>
      <c r="E381" s="321" t="s">
        <v>358</v>
      </c>
      <c r="F381" s="322" t="s">
        <v>359</v>
      </c>
      <c r="G381" s="323" t="s">
        <v>373</v>
      </c>
      <c r="H381" s="322" t="s">
        <v>1324</v>
      </c>
      <c r="I381" s="324">
        <v>32</v>
      </c>
      <c r="J381" s="325"/>
      <c r="K381" s="325"/>
      <c r="L381" s="325"/>
      <c r="M381" s="325"/>
      <c r="N381" s="325"/>
      <c r="O381" s="326"/>
      <c r="P381" s="326"/>
      <c r="Q381" s="326"/>
      <c r="R381" s="326"/>
      <c r="S381" s="327"/>
    </row>
    <row r="382" spans="1:19" ht="15" customHeight="1">
      <c r="A382" s="561">
        <f t="shared" si="5"/>
        <v>382</v>
      </c>
      <c r="B382" s="31">
        <v>104</v>
      </c>
      <c r="C382" s="249" t="s">
        <v>165</v>
      </c>
      <c r="D382" s="320" t="s">
        <v>180</v>
      </c>
      <c r="E382" s="321" t="s">
        <v>358</v>
      </c>
      <c r="F382" s="322" t="s">
        <v>374</v>
      </c>
      <c r="G382" s="323" t="s">
        <v>375</v>
      </c>
      <c r="H382" s="322" t="s">
        <v>1324</v>
      </c>
      <c r="I382" s="324">
        <v>21</v>
      </c>
      <c r="J382" s="325"/>
      <c r="K382" s="325"/>
      <c r="L382" s="325"/>
      <c r="M382" s="325"/>
      <c r="N382" s="325"/>
      <c r="O382" s="326"/>
      <c r="P382" s="326"/>
      <c r="Q382" s="326"/>
      <c r="R382" s="326"/>
      <c r="S382" s="327"/>
    </row>
    <row r="383" spans="1:19" ht="15" customHeight="1">
      <c r="A383" s="561">
        <f t="shared" si="5"/>
        <v>383</v>
      </c>
      <c r="B383" s="31">
        <v>104</v>
      </c>
      <c r="C383" s="249" t="s">
        <v>165</v>
      </c>
      <c r="D383" s="320" t="s">
        <v>180</v>
      </c>
      <c r="E383" s="321" t="s">
        <v>358</v>
      </c>
      <c r="F383" s="322" t="s">
        <v>376</v>
      </c>
      <c r="G383" s="323" t="s">
        <v>377</v>
      </c>
      <c r="H383" s="322" t="s">
        <v>1323</v>
      </c>
      <c r="I383" s="324">
        <f>(3.4*8.2)*1.3</f>
        <v>36.243999999999993</v>
      </c>
      <c r="J383" s="325"/>
      <c r="K383" s="325"/>
      <c r="L383" s="325"/>
      <c r="M383" s="325"/>
      <c r="N383" s="325"/>
      <c r="O383" s="326"/>
      <c r="P383" s="326"/>
      <c r="Q383" s="326"/>
      <c r="R383" s="326"/>
      <c r="S383" s="327"/>
    </row>
    <row r="384" spans="1:19" ht="15" customHeight="1">
      <c r="A384" s="561">
        <f t="shared" si="5"/>
        <v>384</v>
      </c>
      <c r="B384" s="31">
        <v>104</v>
      </c>
      <c r="C384" s="249" t="s">
        <v>165</v>
      </c>
      <c r="D384" s="320" t="s">
        <v>180</v>
      </c>
      <c r="E384" s="321" t="s">
        <v>358</v>
      </c>
      <c r="F384" s="322" t="s">
        <v>378</v>
      </c>
      <c r="G384" s="323" t="s">
        <v>379</v>
      </c>
      <c r="H384" s="322" t="s">
        <v>166</v>
      </c>
      <c r="I384" s="324">
        <v>91</v>
      </c>
      <c r="J384" s="325"/>
      <c r="K384" s="325">
        <v>77</v>
      </c>
      <c r="L384" s="325"/>
      <c r="M384" s="325"/>
      <c r="N384" s="325"/>
      <c r="O384" s="326"/>
      <c r="P384" s="326"/>
      <c r="Q384" s="326">
        <v>28</v>
      </c>
      <c r="R384" s="326"/>
      <c r="S384" s="327" t="s">
        <v>318</v>
      </c>
    </row>
    <row r="385" spans="1:19" ht="15" customHeight="1">
      <c r="A385" s="561">
        <f t="shared" si="5"/>
        <v>385</v>
      </c>
      <c r="B385" s="31">
        <v>104</v>
      </c>
      <c r="C385" s="249" t="s">
        <v>165</v>
      </c>
      <c r="D385" s="320" t="s">
        <v>180</v>
      </c>
      <c r="E385" s="321" t="s">
        <v>358</v>
      </c>
      <c r="F385" s="322" t="s">
        <v>380</v>
      </c>
      <c r="G385" s="323" t="s">
        <v>381</v>
      </c>
      <c r="H385" s="322" t="s">
        <v>1324</v>
      </c>
      <c r="I385" s="324">
        <v>21</v>
      </c>
      <c r="J385" s="325"/>
      <c r="K385" s="325"/>
      <c r="L385" s="325"/>
      <c r="M385" s="325"/>
      <c r="N385" s="325"/>
      <c r="O385" s="326"/>
      <c r="P385" s="326"/>
      <c r="Q385" s="326"/>
      <c r="R385" s="326"/>
      <c r="S385" s="327"/>
    </row>
    <row r="386" spans="1:19" ht="15" customHeight="1">
      <c r="A386" s="561">
        <f t="shared" si="5"/>
        <v>386</v>
      </c>
      <c r="B386" s="31">
        <v>104</v>
      </c>
      <c r="C386" s="249" t="s">
        <v>165</v>
      </c>
      <c r="D386" s="320" t="s">
        <v>180</v>
      </c>
      <c r="E386" s="321" t="s">
        <v>358</v>
      </c>
      <c r="F386" s="322" t="s">
        <v>376</v>
      </c>
      <c r="G386" s="323" t="s">
        <v>382</v>
      </c>
      <c r="H386" s="322" t="s">
        <v>1323</v>
      </c>
      <c r="I386" s="324">
        <v>36.4</v>
      </c>
      <c r="J386" s="325"/>
      <c r="K386" s="325"/>
      <c r="L386" s="325"/>
      <c r="M386" s="325"/>
      <c r="N386" s="325"/>
      <c r="O386" s="326"/>
      <c r="P386" s="326"/>
      <c r="Q386" s="326"/>
      <c r="R386" s="326"/>
      <c r="S386" s="327"/>
    </row>
    <row r="387" spans="1:19" ht="15" customHeight="1">
      <c r="A387" s="561">
        <f t="shared" ref="A387:A450" si="6">1+A386</f>
        <v>387</v>
      </c>
      <c r="B387" s="31">
        <v>104</v>
      </c>
      <c r="C387" s="249" t="s">
        <v>165</v>
      </c>
      <c r="D387" s="320" t="s">
        <v>180</v>
      </c>
      <c r="E387" s="321" t="s">
        <v>358</v>
      </c>
      <c r="F387" s="322" t="s">
        <v>378</v>
      </c>
      <c r="G387" s="323" t="s">
        <v>383</v>
      </c>
      <c r="H387" s="322" t="s">
        <v>166</v>
      </c>
      <c r="I387" s="324">
        <v>52</v>
      </c>
      <c r="J387" s="325"/>
      <c r="K387" s="325">
        <v>77</v>
      </c>
      <c r="L387" s="325"/>
      <c r="M387" s="325"/>
      <c r="N387" s="325"/>
      <c r="O387" s="326"/>
      <c r="P387" s="326"/>
      <c r="Q387" s="326">
        <v>28</v>
      </c>
      <c r="R387" s="326"/>
      <c r="S387" s="327" t="s">
        <v>318</v>
      </c>
    </row>
    <row r="388" spans="1:19" ht="15" customHeight="1">
      <c r="A388" s="561">
        <f t="shared" si="6"/>
        <v>388</v>
      </c>
      <c r="B388" s="31">
        <v>104</v>
      </c>
      <c r="C388" s="249" t="s">
        <v>165</v>
      </c>
      <c r="D388" s="320" t="s">
        <v>180</v>
      </c>
      <c r="E388" s="321" t="s">
        <v>358</v>
      </c>
      <c r="F388" s="322" t="s">
        <v>384</v>
      </c>
      <c r="G388" s="323" t="s">
        <v>385</v>
      </c>
      <c r="H388" s="322" t="s">
        <v>299</v>
      </c>
      <c r="I388" s="324">
        <v>6.5</v>
      </c>
      <c r="J388" s="325"/>
      <c r="K388" s="325"/>
      <c r="L388" s="325"/>
      <c r="M388" s="325"/>
      <c r="N388" s="325"/>
      <c r="O388" s="326"/>
      <c r="P388" s="326"/>
      <c r="Q388" s="326"/>
      <c r="R388" s="326"/>
      <c r="S388" s="327"/>
    </row>
    <row r="389" spans="1:19" ht="15" customHeight="1">
      <c r="A389" s="561">
        <f t="shared" si="6"/>
        <v>389</v>
      </c>
      <c r="B389" s="31">
        <v>104</v>
      </c>
      <c r="C389" s="249" t="s">
        <v>165</v>
      </c>
      <c r="D389" s="320" t="s">
        <v>180</v>
      </c>
      <c r="E389" s="321" t="s">
        <v>358</v>
      </c>
      <c r="F389" s="322" t="s">
        <v>386</v>
      </c>
      <c r="G389" s="323" t="s">
        <v>387</v>
      </c>
      <c r="H389" s="322" t="s">
        <v>299</v>
      </c>
      <c r="I389" s="324">
        <v>7.8000000000000007</v>
      </c>
      <c r="J389" s="325"/>
      <c r="K389" s="325"/>
      <c r="L389" s="325"/>
      <c r="M389" s="325"/>
      <c r="N389" s="325"/>
      <c r="O389" s="326"/>
      <c r="P389" s="326"/>
      <c r="Q389" s="326"/>
      <c r="R389" s="326"/>
      <c r="S389" s="327"/>
    </row>
    <row r="390" spans="1:19" ht="15" customHeight="1">
      <c r="A390" s="561">
        <f t="shared" si="6"/>
        <v>390</v>
      </c>
      <c r="B390" s="31">
        <v>104</v>
      </c>
      <c r="C390" s="249" t="s">
        <v>165</v>
      </c>
      <c r="D390" s="320" t="s">
        <v>180</v>
      </c>
      <c r="E390" s="321" t="s">
        <v>358</v>
      </c>
      <c r="F390" s="322" t="s">
        <v>388</v>
      </c>
      <c r="G390" s="323" t="s">
        <v>389</v>
      </c>
      <c r="H390" s="322" t="s">
        <v>299</v>
      </c>
      <c r="I390" s="324">
        <v>7.8000000000000007</v>
      </c>
      <c r="J390" s="325"/>
      <c r="K390" s="325"/>
      <c r="L390" s="325"/>
      <c r="M390" s="325"/>
      <c r="N390" s="325"/>
      <c r="O390" s="326"/>
      <c r="P390" s="326"/>
      <c r="Q390" s="326"/>
      <c r="R390" s="326"/>
      <c r="S390" s="327"/>
    </row>
    <row r="391" spans="1:19" ht="15" customHeight="1">
      <c r="A391" s="561">
        <f t="shared" si="6"/>
        <v>391</v>
      </c>
      <c r="B391" s="31">
        <v>104</v>
      </c>
      <c r="C391" s="249" t="s">
        <v>165</v>
      </c>
      <c r="D391" s="320" t="s">
        <v>180</v>
      </c>
      <c r="E391" s="321" t="s">
        <v>358</v>
      </c>
      <c r="F391" s="322" t="s">
        <v>175</v>
      </c>
      <c r="G391" s="323" t="s">
        <v>391</v>
      </c>
      <c r="H391" s="322" t="s">
        <v>109</v>
      </c>
      <c r="I391" s="324">
        <f>(6.1*3.35-2*4.85)*1.3</f>
        <v>13.955499999999999</v>
      </c>
      <c r="J391" s="325"/>
      <c r="K391" s="325">
        <v>46</v>
      </c>
      <c r="L391" s="325"/>
      <c r="M391" s="325"/>
      <c r="N391" s="325"/>
      <c r="O391" s="326"/>
      <c r="P391" s="326"/>
      <c r="Q391" s="326">
        <v>11</v>
      </c>
      <c r="R391" s="326"/>
      <c r="S391" s="327" t="s">
        <v>318</v>
      </c>
    </row>
    <row r="392" spans="1:19" ht="15" customHeight="1">
      <c r="A392" s="561">
        <f t="shared" si="6"/>
        <v>392</v>
      </c>
      <c r="B392" s="31">
        <v>104</v>
      </c>
      <c r="C392" s="249" t="s">
        <v>165</v>
      </c>
      <c r="D392" s="320" t="s">
        <v>180</v>
      </c>
      <c r="E392" s="321" t="s">
        <v>358</v>
      </c>
      <c r="F392" s="322" t="s">
        <v>175</v>
      </c>
      <c r="G392" s="323" t="s">
        <v>390</v>
      </c>
      <c r="H392" s="322" t="s">
        <v>109</v>
      </c>
      <c r="I392" s="324">
        <f>(6.4*3.55-4.2*2.3)*1.3</f>
        <v>16.977999999999998</v>
      </c>
      <c r="J392" s="325"/>
      <c r="K392" s="325">
        <v>52</v>
      </c>
      <c r="L392" s="325"/>
      <c r="M392" s="325"/>
      <c r="N392" s="325"/>
      <c r="O392" s="326"/>
      <c r="P392" s="326"/>
      <c r="Q392" s="326">
        <v>13</v>
      </c>
      <c r="R392" s="326"/>
      <c r="S392" s="327" t="s">
        <v>318</v>
      </c>
    </row>
    <row r="393" spans="1:19" ht="15" customHeight="1">
      <c r="A393" s="561">
        <f t="shared" si="6"/>
        <v>393</v>
      </c>
      <c r="B393" s="31">
        <v>104</v>
      </c>
      <c r="C393" s="249" t="s">
        <v>165</v>
      </c>
      <c r="D393" s="320" t="s">
        <v>180</v>
      </c>
      <c r="E393" s="321" t="s">
        <v>358</v>
      </c>
      <c r="F393" s="322" t="s">
        <v>175</v>
      </c>
      <c r="G393" s="323" t="s">
        <v>393</v>
      </c>
      <c r="H393" s="322" t="s">
        <v>19</v>
      </c>
      <c r="I393" s="324">
        <f>(9.3*1.9-0.5*7)*1.3</f>
        <v>18.421000000000003</v>
      </c>
      <c r="J393" s="325"/>
      <c r="K393" s="325"/>
      <c r="L393" s="325">
        <v>76</v>
      </c>
      <c r="M393" s="325"/>
      <c r="N393" s="325"/>
      <c r="O393" s="326"/>
      <c r="P393" s="326">
        <v>14</v>
      </c>
      <c r="Q393" s="326"/>
      <c r="R393" s="326"/>
      <c r="S393" s="327"/>
    </row>
    <row r="394" spans="1:19" ht="15" customHeight="1">
      <c r="A394" s="561">
        <f t="shared" si="6"/>
        <v>394</v>
      </c>
      <c r="B394" s="31">
        <v>104</v>
      </c>
      <c r="C394" s="249" t="s">
        <v>165</v>
      </c>
      <c r="D394" s="320" t="s">
        <v>180</v>
      </c>
      <c r="E394" s="321" t="s">
        <v>358</v>
      </c>
      <c r="F394" s="322" t="s">
        <v>175</v>
      </c>
      <c r="G394" s="323" t="s">
        <v>392</v>
      </c>
      <c r="H394" s="322" t="s">
        <v>109</v>
      </c>
      <c r="I394" s="324">
        <f>(4.15*3.52-0.6*2.9)*1.3</f>
        <v>16.728400000000001</v>
      </c>
      <c r="J394" s="325"/>
      <c r="K394" s="325"/>
      <c r="L394" s="325">
        <v>41</v>
      </c>
      <c r="M394" s="325"/>
      <c r="N394" s="325"/>
      <c r="O394" s="326"/>
      <c r="P394" s="326"/>
      <c r="Q394" s="326"/>
      <c r="R394" s="326">
        <v>13</v>
      </c>
      <c r="S394" s="327" t="s">
        <v>522</v>
      </c>
    </row>
    <row r="395" spans="1:19" ht="15" customHeight="1">
      <c r="A395" s="561">
        <f t="shared" si="6"/>
        <v>395</v>
      </c>
      <c r="B395" s="31">
        <v>104</v>
      </c>
      <c r="C395" s="249" t="s">
        <v>165</v>
      </c>
      <c r="D395" s="320" t="s">
        <v>180</v>
      </c>
      <c r="E395" s="321" t="s">
        <v>358</v>
      </c>
      <c r="F395" s="322" t="s">
        <v>175</v>
      </c>
      <c r="G395" s="323" t="s">
        <v>394</v>
      </c>
      <c r="H395" s="322" t="s">
        <v>19</v>
      </c>
      <c r="I395" s="324">
        <f>(2*0.5+8.85*1.65+0.25*1.65+1.75*2.9+3.9*1.5+3.25*0.7)*1.3</f>
        <v>37.979499999999994</v>
      </c>
      <c r="J395" s="325"/>
      <c r="K395" s="325"/>
      <c r="L395" s="325">
        <v>87</v>
      </c>
      <c r="M395" s="325"/>
      <c r="N395" s="325"/>
      <c r="O395" s="326"/>
      <c r="P395" s="326"/>
      <c r="Q395" s="326"/>
      <c r="R395" s="326">
        <v>29</v>
      </c>
      <c r="S395" s="327" t="s">
        <v>522</v>
      </c>
    </row>
    <row r="396" spans="1:19" ht="15" customHeight="1">
      <c r="A396" s="561">
        <f t="shared" si="6"/>
        <v>396</v>
      </c>
      <c r="B396" s="31">
        <v>104</v>
      </c>
      <c r="C396" s="249" t="s">
        <v>165</v>
      </c>
      <c r="D396" s="320" t="s">
        <v>180</v>
      </c>
      <c r="E396" s="321" t="s">
        <v>358</v>
      </c>
      <c r="F396" s="322" t="s">
        <v>175</v>
      </c>
      <c r="G396" s="323" t="s">
        <v>395</v>
      </c>
      <c r="H396" s="322" t="s">
        <v>520</v>
      </c>
      <c r="I396" s="324">
        <f>(0.9*2)*1.3</f>
        <v>2.3400000000000003</v>
      </c>
      <c r="J396" s="325"/>
      <c r="K396" s="325"/>
      <c r="L396" s="325">
        <v>16</v>
      </c>
      <c r="M396" s="325"/>
      <c r="N396" s="325"/>
      <c r="O396" s="326"/>
      <c r="P396" s="326">
        <v>2</v>
      </c>
      <c r="Q396" s="326"/>
      <c r="R396" s="326"/>
      <c r="S396" s="327"/>
    </row>
    <row r="397" spans="1:19" ht="15" customHeight="1">
      <c r="A397" s="561">
        <f t="shared" si="6"/>
        <v>397</v>
      </c>
      <c r="B397" s="31">
        <v>104</v>
      </c>
      <c r="C397" s="249" t="s">
        <v>165</v>
      </c>
      <c r="D397" s="320" t="s">
        <v>180</v>
      </c>
      <c r="E397" s="321" t="s">
        <v>358</v>
      </c>
      <c r="F397" s="322" t="s">
        <v>396</v>
      </c>
      <c r="G397" s="323" t="s">
        <v>397</v>
      </c>
      <c r="H397" s="322" t="s">
        <v>166</v>
      </c>
      <c r="I397" s="324">
        <f>(4.75*1.3)*1.3</f>
        <v>8.0274999999999999</v>
      </c>
      <c r="J397" s="325"/>
      <c r="K397" s="325"/>
      <c r="L397" s="325"/>
      <c r="M397" s="325"/>
      <c r="N397" s="325"/>
      <c r="O397" s="326"/>
      <c r="P397" s="326"/>
      <c r="Q397" s="326"/>
      <c r="R397" s="326"/>
      <c r="S397" s="327"/>
    </row>
    <row r="398" spans="1:19" ht="15" customHeight="1">
      <c r="A398" s="561">
        <f t="shared" si="6"/>
        <v>398</v>
      </c>
      <c r="B398" s="31">
        <v>104</v>
      </c>
      <c r="C398" s="249" t="s">
        <v>165</v>
      </c>
      <c r="D398" s="320" t="s">
        <v>180</v>
      </c>
      <c r="E398" s="321" t="s">
        <v>358</v>
      </c>
      <c r="F398" s="322" t="s">
        <v>175</v>
      </c>
      <c r="G398" s="323" t="s">
        <v>399</v>
      </c>
      <c r="H398" s="322" t="s">
        <v>19</v>
      </c>
      <c r="I398" s="324">
        <f>(4.3*2.3)*1.3</f>
        <v>12.856999999999999</v>
      </c>
      <c r="J398" s="325"/>
      <c r="K398" s="325"/>
      <c r="L398" s="325">
        <v>23</v>
      </c>
      <c r="M398" s="325"/>
      <c r="N398" s="325"/>
      <c r="O398" s="326"/>
      <c r="P398" s="326">
        <v>10</v>
      </c>
      <c r="Q398" s="326"/>
      <c r="R398" s="326"/>
      <c r="S398" s="327"/>
    </row>
    <row r="399" spans="1:19" ht="15" customHeight="1">
      <c r="A399" s="561">
        <f t="shared" si="6"/>
        <v>399</v>
      </c>
      <c r="B399" s="31">
        <v>104</v>
      </c>
      <c r="C399" s="249" t="s">
        <v>165</v>
      </c>
      <c r="D399" s="320" t="s">
        <v>180</v>
      </c>
      <c r="E399" s="321" t="s">
        <v>358</v>
      </c>
      <c r="F399" s="322" t="s">
        <v>175</v>
      </c>
      <c r="G399" s="323" t="s">
        <v>401</v>
      </c>
      <c r="H399" s="322" t="s">
        <v>176</v>
      </c>
      <c r="I399" s="324">
        <f>(1.5*2.6)*1.3</f>
        <v>5.07</v>
      </c>
      <c r="J399" s="325"/>
      <c r="K399" s="325">
        <v>23</v>
      </c>
      <c r="L399" s="325"/>
      <c r="M399" s="325"/>
      <c r="N399" s="325"/>
      <c r="O399" s="326"/>
      <c r="P399" s="326"/>
      <c r="Q399" s="326">
        <v>4</v>
      </c>
      <c r="R399" s="326"/>
      <c r="S399" s="327"/>
    </row>
    <row r="400" spans="1:19" ht="15" customHeight="1">
      <c r="A400" s="561">
        <f t="shared" si="6"/>
        <v>400</v>
      </c>
      <c r="B400" s="31">
        <v>104</v>
      </c>
      <c r="C400" s="249" t="s">
        <v>165</v>
      </c>
      <c r="D400" s="320" t="s">
        <v>180</v>
      </c>
      <c r="E400" s="321" t="s">
        <v>358</v>
      </c>
      <c r="F400" s="322" t="s">
        <v>167</v>
      </c>
      <c r="G400" s="323" t="s">
        <v>403</v>
      </c>
      <c r="H400" s="322" t="s">
        <v>166</v>
      </c>
      <c r="I400" s="324">
        <f>(8.5*4)*1.3</f>
        <v>44.2</v>
      </c>
      <c r="J400" s="325"/>
      <c r="K400" s="325"/>
      <c r="L400" s="325">
        <v>76</v>
      </c>
      <c r="M400" s="325"/>
      <c r="N400" s="325"/>
      <c r="O400" s="326"/>
      <c r="P400" s="326">
        <v>34</v>
      </c>
      <c r="Q400" s="326"/>
      <c r="R400" s="326"/>
      <c r="S400" s="327"/>
    </row>
    <row r="401" spans="1:19" ht="15" customHeight="1">
      <c r="A401" s="561">
        <f t="shared" si="6"/>
        <v>401</v>
      </c>
      <c r="B401" s="31">
        <v>104</v>
      </c>
      <c r="C401" s="249" t="s">
        <v>165</v>
      </c>
      <c r="D401" s="320" t="s">
        <v>180</v>
      </c>
      <c r="E401" s="321" t="s">
        <v>358</v>
      </c>
      <c r="F401" s="322" t="s">
        <v>404</v>
      </c>
      <c r="G401" s="323" t="s">
        <v>405</v>
      </c>
      <c r="H401" s="322" t="s">
        <v>166</v>
      </c>
      <c r="I401" s="324">
        <f>(2.3*7.8+2*2.3)*1.3</f>
        <v>29.302</v>
      </c>
      <c r="J401" s="325"/>
      <c r="K401" s="325"/>
      <c r="L401" s="325">
        <v>40</v>
      </c>
      <c r="M401" s="325"/>
      <c r="N401" s="325"/>
      <c r="O401" s="326"/>
      <c r="P401" s="326"/>
      <c r="Q401" s="326"/>
      <c r="R401" s="326"/>
      <c r="S401" s="327"/>
    </row>
    <row r="402" spans="1:19" ht="15" customHeight="1">
      <c r="A402" s="561">
        <f t="shared" si="6"/>
        <v>402</v>
      </c>
      <c r="B402" s="31">
        <v>104</v>
      </c>
      <c r="C402" s="249" t="s">
        <v>165</v>
      </c>
      <c r="D402" s="320" t="s">
        <v>180</v>
      </c>
      <c r="E402" s="321" t="s">
        <v>358</v>
      </c>
      <c r="F402" s="322" t="s">
        <v>404</v>
      </c>
      <c r="G402" s="323" t="s">
        <v>406</v>
      </c>
      <c r="H402" s="322" t="s">
        <v>166</v>
      </c>
      <c r="I402" s="324">
        <f>(2.3*7.8+2*2.3)*1.3</f>
        <v>29.302</v>
      </c>
      <c r="J402" s="325"/>
      <c r="K402" s="325"/>
      <c r="L402" s="325">
        <v>40</v>
      </c>
      <c r="M402" s="325"/>
      <c r="N402" s="325"/>
      <c r="O402" s="326"/>
      <c r="P402" s="326"/>
      <c r="Q402" s="326"/>
      <c r="R402" s="326"/>
      <c r="S402" s="327"/>
    </row>
    <row r="403" spans="1:19" ht="15" customHeight="1">
      <c r="A403" s="561">
        <f t="shared" si="6"/>
        <v>403</v>
      </c>
      <c r="B403" s="31">
        <v>104</v>
      </c>
      <c r="C403" s="249" t="s">
        <v>165</v>
      </c>
      <c r="D403" s="320" t="s">
        <v>180</v>
      </c>
      <c r="E403" s="321" t="s">
        <v>358</v>
      </c>
      <c r="F403" s="322" t="s">
        <v>167</v>
      </c>
      <c r="G403" s="323" t="s">
        <v>407</v>
      </c>
      <c r="H403" s="322" t="s">
        <v>166</v>
      </c>
      <c r="I403" s="324">
        <v>11.700000000000001</v>
      </c>
      <c r="J403" s="325"/>
      <c r="K403" s="325"/>
      <c r="L403" s="325">
        <v>34</v>
      </c>
      <c r="M403" s="325"/>
      <c r="N403" s="325"/>
      <c r="O403" s="326"/>
      <c r="P403" s="326">
        <v>9</v>
      </c>
      <c r="Q403" s="326"/>
      <c r="R403" s="326"/>
      <c r="S403" s="327"/>
    </row>
    <row r="404" spans="1:19" ht="15" customHeight="1">
      <c r="A404" s="561">
        <f t="shared" si="6"/>
        <v>404</v>
      </c>
      <c r="B404" s="31">
        <v>104</v>
      </c>
      <c r="C404" s="249" t="s">
        <v>165</v>
      </c>
      <c r="D404" s="320" t="s">
        <v>180</v>
      </c>
      <c r="E404" s="321" t="s">
        <v>358</v>
      </c>
      <c r="F404" s="322" t="s">
        <v>408</v>
      </c>
      <c r="G404" s="323" t="s">
        <v>409</v>
      </c>
      <c r="H404" s="322" t="s">
        <v>166</v>
      </c>
      <c r="I404" s="324">
        <f>(2.5*1+1*1+2.7*1)*1.3</f>
        <v>8.06</v>
      </c>
      <c r="J404" s="325"/>
      <c r="K404" s="325"/>
      <c r="L404" s="325">
        <v>5</v>
      </c>
      <c r="M404" s="325"/>
      <c r="N404" s="325"/>
      <c r="O404" s="326"/>
      <c r="P404" s="326">
        <v>4</v>
      </c>
      <c r="Q404" s="326"/>
      <c r="R404" s="326"/>
      <c r="S404" s="327"/>
    </row>
    <row r="405" spans="1:19" ht="15" customHeight="1">
      <c r="A405" s="561">
        <f t="shared" si="6"/>
        <v>405</v>
      </c>
      <c r="B405" s="31">
        <v>104</v>
      </c>
      <c r="C405" s="249" t="s">
        <v>165</v>
      </c>
      <c r="D405" s="320" t="s">
        <v>180</v>
      </c>
      <c r="E405" s="321" t="s">
        <v>358</v>
      </c>
      <c r="F405" s="322" t="s">
        <v>410</v>
      </c>
      <c r="G405" s="323" t="s">
        <v>411</v>
      </c>
      <c r="H405" s="322" t="s">
        <v>166</v>
      </c>
      <c r="I405" s="324">
        <v>6.5</v>
      </c>
      <c r="J405" s="325"/>
      <c r="K405" s="325"/>
      <c r="L405" s="325">
        <v>17</v>
      </c>
      <c r="M405" s="325"/>
      <c r="N405" s="325"/>
      <c r="O405" s="326"/>
      <c r="P405" s="326">
        <v>3</v>
      </c>
      <c r="Q405" s="326"/>
      <c r="R405" s="326"/>
      <c r="S405" s="327"/>
    </row>
    <row r="406" spans="1:19" ht="15" customHeight="1">
      <c r="A406" s="561">
        <f t="shared" si="6"/>
        <v>406</v>
      </c>
      <c r="B406" s="31">
        <v>104</v>
      </c>
      <c r="C406" s="249" t="s">
        <v>165</v>
      </c>
      <c r="D406" s="320" t="s">
        <v>180</v>
      </c>
      <c r="E406" s="321" t="s">
        <v>358</v>
      </c>
      <c r="F406" s="322" t="s">
        <v>175</v>
      </c>
      <c r="G406" s="323" t="s">
        <v>412</v>
      </c>
      <c r="H406" s="322" t="s">
        <v>166</v>
      </c>
      <c r="I406" s="324">
        <v>2.6</v>
      </c>
      <c r="J406" s="325"/>
      <c r="K406" s="325"/>
      <c r="L406" s="325">
        <v>10</v>
      </c>
      <c r="M406" s="325"/>
      <c r="N406" s="325"/>
      <c r="O406" s="326"/>
      <c r="P406" s="326">
        <v>2</v>
      </c>
      <c r="Q406" s="326"/>
      <c r="R406" s="326"/>
      <c r="S406" s="327"/>
    </row>
    <row r="407" spans="1:19" ht="15" customHeight="1">
      <c r="A407" s="561">
        <f t="shared" si="6"/>
        <v>407</v>
      </c>
      <c r="B407" s="31">
        <v>104</v>
      </c>
      <c r="C407" s="249" t="s">
        <v>165</v>
      </c>
      <c r="D407" s="320" t="s">
        <v>180</v>
      </c>
      <c r="E407" s="321" t="s">
        <v>358</v>
      </c>
      <c r="F407" s="322" t="s">
        <v>413</v>
      </c>
      <c r="G407" s="323" t="s">
        <v>414</v>
      </c>
      <c r="H407" s="322" t="s">
        <v>166</v>
      </c>
      <c r="I407" s="324">
        <f>(5.35*1)*1.3</f>
        <v>6.9550000000000001</v>
      </c>
      <c r="J407" s="325"/>
      <c r="K407" s="325"/>
      <c r="L407" s="325">
        <v>40</v>
      </c>
      <c r="M407" s="325"/>
      <c r="N407" s="325"/>
      <c r="O407" s="326"/>
      <c r="P407" s="326">
        <v>5</v>
      </c>
      <c r="Q407" s="326"/>
      <c r="R407" s="326"/>
      <c r="S407" s="327"/>
    </row>
    <row r="408" spans="1:19" ht="15" customHeight="1">
      <c r="A408" s="561">
        <f t="shared" si="6"/>
        <v>408</v>
      </c>
      <c r="B408" s="31">
        <v>104</v>
      </c>
      <c r="C408" s="249" t="s">
        <v>165</v>
      </c>
      <c r="D408" s="320" t="s">
        <v>180</v>
      </c>
      <c r="E408" s="321" t="s">
        <v>358</v>
      </c>
      <c r="F408" s="322" t="s">
        <v>175</v>
      </c>
      <c r="G408" s="323" t="s">
        <v>415</v>
      </c>
      <c r="H408" s="322" t="s">
        <v>19</v>
      </c>
      <c r="I408" s="324">
        <f>(1.5*1.35+1.8*1+1.2*1)*1.3</f>
        <v>6.5325000000000006</v>
      </c>
      <c r="J408" s="325"/>
      <c r="K408" s="325"/>
      <c r="L408" s="325">
        <v>20</v>
      </c>
      <c r="M408" s="325"/>
      <c r="N408" s="325"/>
      <c r="O408" s="326"/>
      <c r="P408" s="326">
        <v>5</v>
      </c>
      <c r="Q408" s="326"/>
      <c r="R408" s="326"/>
      <c r="S408" s="327"/>
    </row>
    <row r="409" spans="1:19" ht="15" customHeight="1">
      <c r="A409" s="561">
        <f t="shared" si="6"/>
        <v>409</v>
      </c>
      <c r="B409" s="31">
        <v>104</v>
      </c>
      <c r="C409" s="249" t="s">
        <v>165</v>
      </c>
      <c r="D409" s="320" t="s">
        <v>180</v>
      </c>
      <c r="E409" s="321" t="s">
        <v>358</v>
      </c>
      <c r="F409" s="322" t="s">
        <v>331</v>
      </c>
      <c r="G409" s="323" t="s">
        <v>416</v>
      </c>
      <c r="H409" s="322" t="s">
        <v>166</v>
      </c>
      <c r="I409" s="324">
        <v>0</v>
      </c>
      <c r="J409" s="325"/>
      <c r="K409" s="325"/>
      <c r="L409" s="325"/>
      <c r="M409" s="325"/>
      <c r="N409" s="325"/>
      <c r="O409" s="326"/>
      <c r="P409" s="326"/>
      <c r="Q409" s="326"/>
      <c r="R409" s="326"/>
      <c r="S409" s="327" t="s">
        <v>523</v>
      </c>
    </row>
    <row r="410" spans="1:19" ht="15" customHeight="1">
      <c r="A410" s="561">
        <f t="shared" si="6"/>
        <v>410</v>
      </c>
      <c r="B410" s="31">
        <v>104</v>
      </c>
      <c r="C410" s="249" t="s">
        <v>165</v>
      </c>
      <c r="D410" s="320" t="s">
        <v>180</v>
      </c>
      <c r="E410" s="321" t="s">
        <v>358</v>
      </c>
      <c r="F410" s="322" t="s">
        <v>331</v>
      </c>
      <c r="G410" s="323" t="s">
        <v>417</v>
      </c>
      <c r="H410" s="322" t="s">
        <v>166</v>
      </c>
      <c r="I410" s="324">
        <v>0</v>
      </c>
      <c r="J410" s="325"/>
      <c r="K410" s="325"/>
      <c r="L410" s="325"/>
      <c r="M410" s="325"/>
      <c r="N410" s="325"/>
      <c r="O410" s="326"/>
      <c r="P410" s="326"/>
      <c r="Q410" s="326"/>
      <c r="R410" s="326"/>
      <c r="S410" s="327" t="s">
        <v>524</v>
      </c>
    </row>
    <row r="411" spans="1:19" ht="15" customHeight="1">
      <c r="A411" s="561">
        <f t="shared" si="6"/>
        <v>411</v>
      </c>
      <c r="B411" s="31">
        <v>104</v>
      </c>
      <c r="C411" s="249" t="s">
        <v>165</v>
      </c>
      <c r="D411" s="320" t="s">
        <v>180</v>
      </c>
      <c r="E411" s="321" t="s">
        <v>358</v>
      </c>
      <c r="F411" s="322" t="s">
        <v>175</v>
      </c>
      <c r="G411" s="323" t="s">
        <v>418</v>
      </c>
      <c r="H411" s="322" t="s">
        <v>19</v>
      </c>
      <c r="I411" s="324">
        <v>7.8000000000000007</v>
      </c>
      <c r="J411" s="325"/>
      <c r="K411" s="325"/>
      <c r="L411" s="325">
        <v>25</v>
      </c>
      <c r="M411" s="325"/>
      <c r="N411" s="325"/>
      <c r="O411" s="326"/>
      <c r="P411" s="326">
        <v>6</v>
      </c>
      <c r="Q411" s="326"/>
      <c r="R411" s="326"/>
      <c r="S411" s="327"/>
    </row>
    <row r="412" spans="1:19" ht="15" customHeight="1">
      <c r="A412" s="561">
        <f t="shared" si="6"/>
        <v>412</v>
      </c>
      <c r="B412" s="31">
        <v>104</v>
      </c>
      <c r="C412" s="249" t="s">
        <v>165</v>
      </c>
      <c r="D412" s="320" t="s">
        <v>180</v>
      </c>
      <c r="E412" s="321" t="s">
        <v>358</v>
      </c>
      <c r="F412" s="322" t="s">
        <v>413</v>
      </c>
      <c r="G412" s="323" t="s">
        <v>419</v>
      </c>
      <c r="H412" s="322" t="s">
        <v>166</v>
      </c>
      <c r="I412" s="324">
        <v>7.8000000000000007</v>
      </c>
      <c r="J412" s="325"/>
      <c r="K412" s="325"/>
      <c r="L412" s="325">
        <v>35</v>
      </c>
      <c r="M412" s="325"/>
      <c r="N412" s="325"/>
      <c r="O412" s="326"/>
      <c r="P412" s="326">
        <v>7</v>
      </c>
      <c r="Q412" s="326"/>
      <c r="R412" s="326"/>
      <c r="S412" s="327"/>
    </row>
    <row r="413" spans="1:19" ht="15" customHeight="1">
      <c r="A413" s="561">
        <f t="shared" si="6"/>
        <v>413</v>
      </c>
      <c r="B413" s="31">
        <v>104</v>
      </c>
      <c r="C413" s="249" t="s">
        <v>165</v>
      </c>
      <c r="D413" s="320" t="s">
        <v>180</v>
      </c>
      <c r="E413" s="321" t="s">
        <v>358</v>
      </c>
      <c r="F413" s="322" t="s">
        <v>420</v>
      </c>
      <c r="G413" s="323" t="s">
        <v>421</v>
      </c>
      <c r="H413" s="322" t="s">
        <v>1325</v>
      </c>
      <c r="I413" s="324">
        <f>(2.6*6.9)*1.3</f>
        <v>23.322000000000003</v>
      </c>
      <c r="J413" s="325"/>
      <c r="K413" s="325">
        <v>51</v>
      </c>
      <c r="L413" s="325"/>
      <c r="M413" s="325"/>
      <c r="N413" s="325"/>
      <c r="O413" s="326"/>
      <c r="P413" s="326"/>
      <c r="Q413" s="326">
        <v>18</v>
      </c>
      <c r="R413" s="326"/>
      <c r="S413" s="327"/>
    </row>
    <row r="414" spans="1:19" ht="15" customHeight="1">
      <c r="A414" s="561">
        <f t="shared" si="6"/>
        <v>414</v>
      </c>
      <c r="B414" s="31">
        <v>104</v>
      </c>
      <c r="C414" s="249" t="s">
        <v>165</v>
      </c>
      <c r="D414" s="320" t="s">
        <v>180</v>
      </c>
      <c r="E414" s="321" t="s">
        <v>358</v>
      </c>
      <c r="F414" s="322" t="s">
        <v>156</v>
      </c>
      <c r="G414" s="323" t="s">
        <v>422</v>
      </c>
      <c r="H414" s="322" t="s">
        <v>176</v>
      </c>
      <c r="I414" s="324">
        <f>(8.5*4.6-0.8*4.6)*1.3</f>
        <v>46.045999999999992</v>
      </c>
      <c r="J414" s="325"/>
      <c r="K414" s="325">
        <v>73</v>
      </c>
      <c r="L414" s="325"/>
      <c r="M414" s="325"/>
      <c r="N414" s="325"/>
      <c r="O414" s="326"/>
      <c r="P414" s="326"/>
      <c r="Q414" s="326">
        <v>35</v>
      </c>
      <c r="R414" s="326"/>
      <c r="S414" s="327"/>
    </row>
    <row r="415" spans="1:19" ht="15" customHeight="1">
      <c r="A415" s="561">
        <f t="shared" si="6"/>
        <v>415</v>
      </c>
      <c r="B415" s="31">
        <v>104</v>
      </c>
      <c r="C415" s="249" t="s">
        <v>165</v>
      </c>
      <c r="D415" s="320" t="s">
        <v>180</v>
      </c>
      <c r="E415" s="321" t="s">
        <v>358</v>
      </c>
      <c r="F415" s="322" t="s">
        <v>423</v>
      </c>
      <c r="G415" s="323" t="s">
        <v>424</v>
      </c>
      <c r="H415" s="322" t="s">
        <v>176</v>
      </c>
      <c r="I415" s="324">
        <f>(2.5*2.6)*1.3</f>
        <v>8.4500000000000011</v>
      </c>
      <c r="J415" s="325"/>
      <c r="K415" s="325">
        <v>35</v>
      </c>
      <c r="L415" s="325"/>
      <c r="M415" s="325"/>
      <c r="N415" s="325"/>
      <c r="O415" s="326"/>
      <c r="P415" s="326"/>
      <c r="Q415" s="326">
        <v>7</v>
      </c>
      <c r="R415" s="326"/>
      <c r="S415" s="327" t="s">
        <v>525</v>
      </c>
    </row>
    <row r="416" spans="1:19" ht="15" customHeight="1">
      <c r="A416" s="561">
        <f t="shared" si="6"/>
        <v>416</v>
      </c>
      <c r="B416" s="31">
        <v>104</v>
      </c>
      <c r="C416" s="249" t="s">
        <v>165</v>
      </c>
      <c r="D416" s="320" t="s">
        <v>180</v>
      </c>
      <c r="E416" s="321" t="s">
        <v>358</v>
      </c>
      <c r="F416" s="322" t="s">
        <v>425</v>
      </c>
      <c r="G416" s="323" t="s">
        <v>426</v>
      </c>
      <c r="H416" s="322" t="s">
        <v>1325</v>
      </c>
      <c r="I416" s="324">
        <f>(19.1*3)*1.3</f>
        <v>74.490000000000009</v>
      </c>
      <c r="J416" s="325"/>
      <c r="K416" s="325"/>
      <c r="L416" s="325">
        <v>137</v>
      </c>
      <c r="M416" s="325"/>
      <c r="N416" s="325"/>
      <c r="O416" s="326"/>
      <c r="P416" s="326"/>
      <c r="Q416" s="326"/>
      <c r="R416" s="326">
        <v>57</v>
      </c>
      <c r="S416" s="327" t="s">
        <v>522</v>
      </c>
    </row>
    <row r="417" spans="1:19" ht="15" customHeight="1">
      <c r="A417" s="561">
        <f t="shared" si="6"/>
        <v>417</v>
      </c>
      <c r="B417" s="31">
        <v>104</v>
      </c>
      <c r="C417" s="249" t="s">
        <v>165</v>
      </c>
      <c r="D417" s="320" t="s">
        <v>180</v>
      </c>
      <c r="E417" s="321" t="s">
        <v>358</v>
      </c>
      <c r="F417" s="322" t="s">
        <v>177</v>
      </c>
      <c r="G417" s="323" t="s">
        <v>427</v>
      </c>
      <c r="H417" s="322" t="s">
        <v>176</v>
      </c>
      <c r="I417" s="324">
        <f>(5*3-2.2*1.15-1.65*0.35)*1.3</f>
        <v>15.46025</v>
      </c>
      <c r="J417" s="325">
        <v>3</v>
      </c>
      <c r="K417" s="325">
        <v>51</v>
      </c>
      <c r="L417" s="325"/>
      <c r="M417" s="325"/>
      <c r="N417" s="325"/>
      <c r="O417" s="326"/>
      <c r="P417" s="326"/>
      <c r="Q417" s="326">
        <v>12</v>
      </c>
      <c r="R417" s="326"/>
      <c r="S417" s="327" t="s">
        <v>522</v>
      </c>
    </row>
    <row r="418" spans="1:19" ht="15" customHeight="1">
      <c r="A418" s="561">
        <f t="shared" si="6"/>
        <v>418</v>
      </c>
      <c r="B418" s="31">
        <v>104</v>
      </c>
      <c r="C418" s="249" t="s">
        <v>165</v>
      </c>
      <c r="D418" s="320" t="s">
        <v>180</v>
      </c>
      <c r="E418" s="321" t="s">
        <v>358</v>
      </c>
      <c r="F418" s="322" t="s">
        <v>428</v>
      </c>
      <c r="G418" s="323" t="s">
        <v>429</v>
      </c>
      <c r="H418" s="322" t="s">
        <v>19</v>
      </c>
      <c r="I418" s="324">
        <f>(3.45*2.15)*1.3</f>
        <v>9.6427500000000013</v>
      </c>
      <c r="J418" s="325"/>
      <c r="K418" s="325">
        <v>18</v>
      </c>
      <c r="L418" s="325">
        <v>18</v>
      </c>
      <c r="M418" s="325"/>
      <c r="N418" s="325"/>
      <c r="O418" s="326"/>
      <c r="P418" s="326"/>
      <c r="Q418" s="326">
        <v>7</v>
      </c>
      <c r="R418" s="326"/>
      <c r="S418" s="327" t="s">
        <v>522</v>
      </c>
    </row>
    <row r="419" spans="1:19" ht="15" customHeight="1">
      <c r="A419" s="561">
        <f t="shared" si="6"/>
        <v>419</v>
      </c>
      <c r="B419" s="31">
        <v>104</v>
      </c>
      <c r="C419" s="249" t="s">
        <v>165</v>
      </c>
      <c r="D419" s="320" t="s">
        <v>180</v>
      </c>
      <c r="E419" s="321" t="s">
        <v>358</v>
      </c>
      <c r="F419" s="322" t="s">
        <v>430</v>
      </c>
      <c r="G419" s="323" t="s">
        <v>431</v>
      </c>
      <c r="H419" s="322" t="s">
        <v>19</v>
      </c>
      <c r="I419" s="324">
        <f>(3.45*1)*1.3</f>
        <v>4.4850000000000003</v>
      </c>
      <c r="J419" s="325"/>
      <c r="K419" s="325">
        <v>15</v>
      </c>
      <c r="L419" s="325">
        <v>14</v>
      </c>
      <c r="M419" s="325"/>
      <c r="N419" s="325"/>
      <c r="O419" s="326"/>
      <c r="P419" s="326"/>
      <c r="Q419" s="326">
        <v>3</v>
      </c>
      <c r="R419" s="326"/>
      <c r="S419" s="327" t="s">
        <v>522</v>
      </c>
    </row>
    <row r="420" spans="1:19" ht="15" customHeight="1">
      <c r="A420" s="561">
        <f t="shared" si="6"/>
        <v>420</v>
      </c>
      <c r="B420" s="31">
        <v>104</v>
      </c>
      <c r="C420" s="249" t="s">
        <v>165</v>
      </c>
      <c r="D420" s="320" t="s">
        <v>180</v>
      </c>
      <c r="E420" s="321" t="s">
        <v>358</v>
      </c>
      <c r="F420" s="322" t="s">
        <v>428</v>
      </c>
      <c r="G420" s="323" t="s">
        <v>432</v>
      </c>
      <c r="H420" s="322" t="s">
        <v>19</v>
      </c>
      <c r="I420" s="324">
        <f>(2.75*2.15)*1.3</f>
        <v>7.6862499999999994</v>
      </c>
      <c r="J420" s="325"/>
      <c r="K420" s="325">
        <v>23</v>
      </c>
      <c r="L420" s="325">
        <v>9</v>
      </c>
      <c r="M420" s="325"/>
      <c r="N420" s="325"/>
      <c r="O420" s="326"/>
      <c r="P420" s="326"/>
      <c r="Q420" s="326">
        <v>6</v>
      </c>
      <c r="R420" s="326"/>
      <c r="S420" s="327" t="s">
        <v>522</v>
      </c>
    </row>
    <row r="421" spans="1:19" ht="15" customHeight="1">
      <c r="A421" s="561">
        <f t="shared" si="6"/>
        <v>421</v>
      </c>
      <c r="B421" s="31">
        <v>104</v>
      </c>
      <c r="C421" s="249" t="s">
        <v>165</v>
      </c>
      <c r="D421" s="320" t="s">
        <v>180</v>
      </c>
      <c r="E421" s="321" t="s">
        <v>358</v>
      </c>
      <c r="F421" s="322" t="s">
        <v>430</v>
      </c>
      <c r="G421" s="323" t="s">
        <v>433</v>
      </c>
      <c r="H421" s="322" t="s">
        <v>19</v>
      </c>
      <c r="I421" s="324">
        <f>(2.75*1)*1.3</f>
        <v>3.5750000000000002</v>
      </c>
      <c r="J421" s="325"/>
      <c r="K421" s="325">
        <v>15</v>
      </c>
      <c r="L421" s="325">
        <v>9</v>
      </c>
      <c r="M421" s="325"/>
      <c r="N421" s="325"/>
      <c r="O421" s="326"/>
      <c r="P421" s="326"/>
      <c r="Q421" s="326">
        <v>3</v>
      </c>
      <c r="R421" s="326"/>
      <c r="S421" s="327" t="s">
        <v>522</v>
      </c>
    </row>
    <row r="422" spans="1:19" ht="15" customHeight="1">
      <c r="A422" s="561">
        <f t="shared" si="6"/>
        <v>422</v>
      </c>
      <c r="B422" s="31">
        <v>104</v>
      </c>
      <c r="C422" s="249" t="s">
        <v>165</v>
      </c>
      <c r="D422" s="320" t="s">
        <v>180</v>
      </c>
      <c r="E422" s="321" t="s">
        <v>358</v>
      </c>
      <c r="F422" s="322" t="s">
        <v>434</v>
      </c>
      <c r="G422" s="323" t="s">
        <v>435</v>
      </c>
      <c r="H422" s="322" t="s">
        <v>19</v>
      </c>
      <c r="I422" s="324">
        <f>(1.5*2.7)*1.3</f>
        <v>5.2650000000000015</v>
      </c>
      <c r="J422" s="325"/>
      <c r="K422" s="325"/>
      <c r="L422" s="325">
        <v>19</v>
      </c>
      <c r="M422" s="325"/>
      <c r="N422" s="325"/>
      <c r="O422" s="326"/>
      <c r="P422" s="326">
        <v>4</v>
      </c>
      <c r="Q422" s="326"/>
      <c r="R422" s="326"/>
      <c r="S422" s="327"/>
    </row>
    <row r="423" spans="1:19" ht="15" customHeight="1">
      <c r="A423" s="561">
        <f t="shared" si="6"/>
        <v>423</v>
      </c>
      <c r="B423" s="31">
        <v>104</v>
      </c>
      <c r="C423" s="249" t="s">
        <v>165</v>
      </c>
      <c r="D423" s="320" t="s">
        <v>180</v>
      </c>
      <c r="E423" s="321" t="s">
        <v>358</v>
      </c>
      <c r="F423" s="322" t="s">
        <v>436</v>
      </c>
      <c r="G423" s="323" t="s">
        <v>437</v>
      </c>
      <c r="H423" s="322" t="s">
        <v>19</v>
      </c>
      <c r="I423" s="324">
        <f>(2.7*2.7)*1.3</f>
        <v>9.4770000000000021</v>
      </c>
      <c r="J423" s="325"/>
      <c r="K423" s="325"/>
      <c r="L423" s="325">
        <v>27</v>
      </c>
      <c r="M423" s="325"/>
      <c r="N423" s="325"/>
      <c r="O423" s="326"/>
      <c r="P423" s="326">
        <v>7</v>
      </c>
      <c r="Q423" s="326"/>
      <c r="R423" s="326"/>
      <c r="S423" s="327"/>
    </row>
    <row r="424" spans="1:19" ht="15" customHeight="1">
      <c r="A424" s="561">
        <f t="shared" si="6"/>
        <v>424</v>
      </c>
      <c r="B424" s="31">
        <v>104</v>
      </c>
      <c r="C424" s="249" t="s">
        <v>165</v>
      </c>
      <c r="D424" s="320" t="s">
        <v>180</v>
      </c>
      <c r="E424" s="321" t="s">
        <v>358</v>
      </c>
      <c r="F424" s="322" t="s">
        <v>438</v>
      </c>
      <c r="G424" s="323" t="s">
        <v>439</v>
      </c>
      <c r="H424" s="322" t="s">
        <v>19</v>
      </c>
      <c r="I424" s="324">
        <f>(2.4*4.1)*1.3</f>
        <v>12.791999999999998</v>
      </c>
      <c r="J424" s="325"/>
      <c r="K424" s="325"/>
      <c r="L424" s="325">
        <v>44</v>
      </c>
      <c r="M424" s="325"/>
      <c r="N424" s="325"/>
      <c r="O424" s="326"/>
      <c r="P424" s="326">
        <v>10</v>
      </c>
      <c r="Q424" s="326"/>
      <c r="R424" s="326"/>
      <c r="S424" s="327"/>
    </row>
    <row r="425" spans="1:19" ht="15" customHeight="1">
      <c r="A425" s="561">
        <f t="shared" si="6"/>
        <v>425</v>
      </c>
      <c r="B425" s="31">
        <v>104</v>
      </c>
      <c r="C425" s="249" t="s">
        <v>165</v>
      </c>
      <c r="D425" s="320" t="s">
        <v>180</v>
      </c>
      <c r="E425" s="321" t="s">
        <v>358</v>
      </c>
      <c r="F425" s="322" t="s">
        <v>440</v>
      </c>
      <c r="G425" s="323" t="s">
        <v>441</v>
      </c>
      <c r="H425" s="322" t="s">
        <v>176</v>
      </c>
      <c r="I425" s="324">
        <f>(4*2)*1.3</f>
        <v>10.4</v>
      </c>
      <c r="J425" s="325"/>
      <c r="K425" s="325">
        <v>28</v>
      </c>
      <c r="L425" s="325"/>
      <c r="M425" s="325"/>
      <c r="N425" s="325"/>
      <c r="O425" s="326"/>
      <c r="P425" s="326"/>
      <c r="Q425" s="326"/>
      <c r="R425" s="326">
        <v>8</v>
      </c>
      <c r="S425" s="327" t="s">
        <v>522</v>
      </c>
    </row>
    <row r="426" spans="1:19" ht="15" customHeight="1">
      <c r="A426" s="561">
        <f t="shared" si="6"/>
        <v>426</v>
      </c>
      <c r="B426" s="31">
        <v>104</v>
      </c>
      <c r="C426" s="249" t="s">
        <v>165</v>
      </c>
      <c r="D426" s="320" t="s">
        <v>180</v>
      </c>
      <c r="E426" s="321" t="s">
        <v>358</v>
      </c>
      <c r="F426" s="322" t="s">
        <v>41</v>
      </c>
      <c r="G426" s="323" t="s">
        <v>442</v>
      </c>
      <c r="H426" s="322" t="s">
        <v>520</v>
      </c>
      <c r="I426" s="324">
        <f>(3.4*1.75)*1.3</f>
        <v>7.7350000000000003</v>
      </c>
      <c r="J426" s="325">
        <v>1</v>
      </c>
      <c r="K426" s="325">
        <v>15</v>
      </c>
      <c r="L426" s="325"/>
      <c r="M426" s="325"/>
      <c r="N426" s="325"/>
      <c r="O426" s="326"/>
      <c r="P426" s="326">
        <v>6</v>
      </c>
      <c r="Q426" s="326"/>
      <c r="R426" s="326"/>
      <c r="S426" s="327"/>
    </row>
    <row r="427" spans="1:19" ht="15" customHeight="1">
      <c r="A427" s="561">
        <f t="shared" si="6"/>
        <v>427</v>
      </c>
      <c r="B427" s="31">
        <v>104</v>
      </c>
      <c r="C427" s="249" t="s">
        <v>165</v>
      </c>
      <c r="D427" s="320" t="s">
        <v>180</v>
      </c>
      <c r="E427" s="321" t="s">
        <v>358</v>
      </c>
      <c r="F427" s="322" t="s">
        <v>41</v>
      </c>
      <c r="G427" s="323" t="s">
        <v>444</v>
      </c>
      <c r="H427" s="322" t="s">
        <v>520</v>
      </c>
      <c r="I427" s="324">
        <f>(3.25*9.75-0.65*1.05)*1.3</f>
        <v>40.3065</v>
      </c>
      <c r="J427" s="325"/>
      <c r="K427" s="325">
        <v>60</v>
      </c>
      <c r="L427" s="325"/>
      <c r="M427" s="325"/>
      <c r="N427" s="325"/>
      <c r="O427" s="326"/>
      <c r="P427" s="326"/>
      <c r="Q427" s="326">
        <v>31</v>
      </c>
      <c r="R427" s="326"/>
      <c r="S427" s="327" t="s">
        <v>522</v>
      </c>
    </row>
    <row r="428" spans="1:19" ht="15" customHeight="1">
      <c r="A428" s="561">
        <f t="shared" si="6"/>
        <v>428</v>
      </c>
      <c r="B428" s="31">
        <v>104</v>
      </c>
      <c r="C428" s="249" t="s">
        <v>165</v>
      </c>
      <c r="D428" s="320" t="s">
        <v>180</v>
      </c>
      <c r="E428" s="321" t="s">
        <v>358</v>
      </c>
      <c r="F428" s="322" t="s">
        <v>41</v>
      </c>
      <c r="G428" s="323" t="s">
        <v>443</v>
      </c>
      <c r="H428" s="322" t="s">
        <v>520</v>
      </c>
      <c r="I428" s="324">
        <f>(10.3*1.2+2.1*0.95+2.9*5.1+0.5*2+4.35*10.3+1.2*2)*1.3</f>
        <v>100.55500000000002</v>
      </c>
      <c r="J428" s="325"/>
      <c r="K428" s="325">
        <v>132</v>
      </c>
      <c r="L428" s="325"/>
      <c r="M428" s="325"/>
      <c r="N428" s="325"/>
      <c r="O428" s="326"/>
      <c r="P428" s="326"/>
      <c r="Q428" s="326">
        <v>77</v>
      </c>
      <c r="R428" s="326"/>
      <c r="S428" s="327" t="s">
        <v>522</v>
      </c>
    </row>
    <row r="429" spans="1:19" ht="15" customHeight="1">
      <c r="A429" s="561">
        <f t="shared" si="6"/>
        <v>429</v>
      </c>
      <c r="B429" s="31">
        <v>104</v>
      </c>
      <c r="C429" s="249" t="s">
        <v>165</v>
      </c>
      <c r="D429" s="320" t="s">
        <v>180</v>
      </c>
      <c r="E429" s="321" t="s">
        <v>358</v>
      </c>
      <c r="F429" s="322" t="s">
        <v>41</v>
      </c>
      <c r="G429" s="323" t="s">
        <v>445</v>
      </c>
      <c r="H429" s="322" t="s">
        <v>19</v>
      </c>
      <c r="I429" s="324">
        <f>(4.35*3.65-1.35*2.15)*1.3</f>
        <v>16.867499999999996</v>
      </c>
      <c r="J429" s="325"/>
      <c r="K429" s="325"/>
      <c r="L429" s="325">
        <v>43</v>
      </c>
      <c r="M429" s="325"/>
      <c r="N429" s="325"/>
      <c r="O429" s="326"/>
      <c r="P429" s="326"/>
      <c r="Q429" s="326">
        <v>13</v>
      </c>
      <c r="R429" s="326"/>
      <c r="S429" s="327" t="s">
        <v>522</v>
      </c>
    </row>
    <row r="430" spans="1:19" ht="15" customHeight="1">
      <c r="A430" s="561">
        <f t="shared" si="6"/>
        <v>430</v>
      </c>
      <c r="B430" s="31">
        <v>104</v>
      </c>
      <c r="C430" s="249" t="s">
        <v>165</v>
      </c>
      <c r="D430" s="320" t="s">
        <v>180</v>
      </c>
      <c r="E430" s="321" t="s">
        <v>358</v>
      </c>
      <c r="F430" s="322" t="s">
        <v>40</v>
      </c>
      <c r="G430" s="323" t="s">
        <v>446</v>
      </c>
      <c r="H430" s="322" t="s">
        <v>520</v>
      </c>
      <c r="I430" s="324">
        <f>(3.4*2.35)*1.3</f>
        <v>10.387</v>
      </c>
      <c r="J430" s="325">
        <v>1</v>
      </c>
      <c r="K430" s="325">
        <v>31</v>
      </c>
      <c r="L430" s="325"/>
      <c r="M430" s="325"/>
      <c r="N430" s="325"/>
      <c r="O430" s="326"/>
      <c r="P430" s="326"/>
      <c r="Q430" s="326">
        <v>8</v>
      </c>
      <c r="R430" s="326"/>
      <c r="S430" s="327" t="s">
        <v>522</v>
      </c>
    </row>
    <row r="431" spans="1:19" ht="15" customHeight="1">
      <c r="A431" s="561">
        <f t="shared" si="6"/>
        <v>431</v>
      </c>
      <c r="B431" s="31">
        <v>104</v>
      </c>
      <c r="C431" s="249" t="s">
        <v>165</v>
      </c>
      <c r="D431" s="320" t="s">
        <v>180</v>
      </c>
      <c r="E431" s="321" t="s">
        <v>358</v>
      </c>
      <c r="F431" s="322" t="s">
        <v>447</v>
      </c>
      <c r="G431" s="323" t="s">
        <v>448</v>
      </c>
      <c r="H431" s="322" t="s">
        <v>148</v>
      </c>
      <c r="I431" s="324">
        <f>(1.4*1.6)*1.3</f>
        <v>2.9119999999999999</v>
      </c>
      <c r="J431" s="325">
        <v>15</v>
      </c>
      <c r="K431" s="325"/>
      <c r="L431" s="325"/>
      <c r="M431" s="325"/>
      <c r="N431" s="325"/>
      <c r="O431" s="326"/>
      <c r="P431" s="326"/>
      <c r="Q431" s="326"/>
      <c r="R431" s="326">
        <v>2</v>
      </c>
      <c r="S431" s="327" t="s">
        <v>526</v>
      </c>
    </row>
    <row r="432" spans="1:19" ht="15" customHeight="1">
      <c r="A432" s="561">
        <f t="shared" si="6"/>
        <v>432</v>
      </c>
      <c r="B432" s="31">
        <v>104</v>
      </c>
      <c r="C432" s="249" t="s">
        <v>165</v>
      </c>
      <c r="D432" s="320" t="s">
        <v>180</v>
      </c>
      <c r="E432" s="321" t="s">
        <v>358</v>
      </c>
      <c r="F432" s="322" t="s">
        <v>447</v>
      </c>
      <c r="G432" s="323" t="s">
        <v>449</v>
      </c>
      <c r="H432" s="322" t="s">
        <v>148</v>
      </c>
      <c r="I432" s="324">
        <f>(1.25*1.3)*1.3</f>
        <v>2.1125000000000003</v>
      </c>
      <c r="J432" s="325">
        <v>13</v>
      </c>
      <c r="K432" s="325"/>
      <c r="L432" s="325"/>
      <c r="M432" s="325"/>
      <c r="N432" s="325"/>
      <c r="O432" s="326"/>
      <c r="P432" s="326"/>
      <c r="Q432" s="326"/>
      <c r="R432" s="326">
        <v>2</v>
      </c>
      <c r="S432" s="327" t="s">
        <v>526</v>
      </c>
    </row>
    <row r="433" spans="1:19" ht="15" customHeight="1">
      <c r="A433" s="561">
        <f t="shared" si="6"/>
        <v>433</v>
      </c>
      <c r="B433" s="31">
        <v>104</v>
      </c>
      <c r="C433" s="249" t="s">
        <v>165</v>
      </c>
      <c r="D433" s="320" t="s">
        <v>180</v>
      </c>
      <c r="E433" s="321" t="s">
        <v>358</v>
      </c>
      <c r="F433" s="322" t="s">
        <v>447</v>
      </c>
      <c r="G433" s="323" t="s">
        <v>450</v>
      </c>
      <c r="H433" s="322" t="s">
        <v>148</v>
      </c>
      <c r="I433" s="324">
        <f>(1.4*1.6)*1.3</f>
        <v>2.9119999999999999</v>
      </c>
      <c r="J433" s="325">
        <v>15</v>
      </c>
      <c r="K433" s="325"/>
      <c r="L433" s="325"/>
      <c r="M433" s="325"/>
      <c r="N433" s="325"/>
      <c r="O433" s="326"/>
      <c r="P433" s="326"/>
      <c r="Q433" s="326"/>
      <c r="R433" s="326">
        <v>2</v>
      </c>
      <c r="S433" s="327" t="s">
        <v>526</v>
      </c>
    </row>
    <row r="434" spans="1:19" ht="15" customHeight="1">
      <c r="A434" s="561">
        <f t="shared" si="6"/>
        <v>434</v>
      </c>
      <c r="B434" s="31">
        <v>104</v>
      </c>
      <c r="C434" s="249" t="s">
        <v>165</v>
      </c>
      <c r="D434" s="320" t="s">
        <v>180</v>
      </c>
      <c r="E434" s="321" t="s">
        <v>358</v>
      </c>
      <c r="F434" s="322" t="s">
        <v>447</v>
      </c>
      <c r="G434" s="323" t="s">
        <v>451</v>
      </c>
      <c r="H434" s="322" t="s">
        <v>148</v>
      </c>
      <c r="I434" s="324">
        <f>(1.25*1.3)*1.3</f>
        <v>2.1125000000000003</v>
      </c>
      <c r="J434" s="325">
        <v>13</v>
      </c>
      <c r="K434" s="325"/>
      <c r="L434" s="325"/>
      <c r="M434" s="325"/>
      <c r="N434" s="325"/>
      <c r="O434" s="326"/>
      <c r="P434" s="326"/>
      <c r="Q434" s="326"/>
      <c r="R434" s="326">
        <v>2</v>
      </c>
      <c r="S434" s="327" t="s">
        <v>526</v>
      </c>
    </row>
    <row r="435" spans="1:19" ht="15" customHeight="1">
      <c r="A435" s="561">
        <f t="shared" si="6"/>
        <v>435</v>
      </c>
      <c r="B435" s="31">
        <v>104</v>
      </c>
      <c r="C435" s="249" t="s">
        <v>165</v>
      </c>
      <c r="D435" s="320" t="s">
        <v>180</v>
      </c>
      <c r="E435" s="321" t="s">
        <v>358</v>
      </c>
      <c r="F435" s="322" t="s">
        <v>447</v>
      </c>
      <c r="G435" s="323" t="s">
        <v>452</v>
      </c>
      <c r="H435" s="322" t="s">
        <v>109</v>
      </c>
      <c r="I435" s="324">
        <v>2.6</v>
      </c>
      <c r="J435" s="325"/>
      <c r="K435" s="325"/>
      <c r="L435" s="325"/>
      <c r="M435" s="325"/>
      <c r="N435" s="325"/>
      <c r="O435" s="326"/>
      <c r="P435" s="326"/>
      <c r="Q435" s="326"/>
      <c r="R435" s="326"/>
      <c r="S435" s="327" t="s">
        <v>1330</v>
      </c>
    </row>
    <row r="436" spans="1:19" ht="15" customHeight="1">
      <c r="A436" s="561">
        <f t="shared" si="6"/>
        <v>436</v>
      </c>
      <c r="B436" s="31">
        <v>104</v>
      </c>
      <c r="C436" s="249" t="s">
        <v>165</v>
      </c>
      <c r="D436" s="320" t="s">
        <v>180</v>
      </c>
      <c r="E436" s="321" t="s">
        <v>358</v>
      </c>
      <c r="F436" s="322" t="s">
        <v>447</v>
      </c>
      <c r="G436" s="323" t="s">
        <v>453</v>
      </c>
      <c r="H436" s="322" t="s">
        <v>109</v>
      </c>
      <c r="I436" s="324">
        <v>2.6</v>
      </c>
      <c r="J436" s="325"/>
      <c r="K436" s="325"/>
      <c r="L436" s="325"/>
      <c r="M436" s="325"/>
      <c r="N436" s="325"/>
      <c r="O436" s="326"/>
      <c r="P436" s="326"/>
      <c r="Q436" s="326"/>
      <c r="R436" s="326"/>
      <c r="S436" s="327" t="s">
        <v>1330</v>
      </c>
    </row>
    <row r="437" spans="1:19" ht="15" customHeight="1">
      <c r="A437" s="561">
        <f t="shared" si="6"/>
        <v>437</v>
      </c>
      <c r="B437" s="31">
        <v>104</v>
      </c>
      <c r="C437" s="249" t="s">
        <v>165</v>
      </c>
      <c r="D437" s="320" t="s">
        <v>180</v>
      </c>
      <c r="E437" s="321" t="s">
        <v>358</v>
      </c>
      <c r="F437" s="322" t="s">
        <v>447</v>
      </c>
      <c r="G437" s="323" t="s">
        <v>454</v>
      </c>
      <c r="H437" s="322" t="s">
        <v>109</v>
      </c>
      <c r="I437" s="324">
        <v>2.6</v>
      </c>
      <c r="J437" s="325"/>
      <c r="K437" s="325"/>
      <c r="L437" s="325"/>
      <c r="M437" s="325"/>
      <c r="N437" s="325"/>
      <c r="O437" s="326"/>
      <c r="P437" s="326"/>
      <c r="Q437" s="326"/>
      <c r="R437" s="326"/>
      <c r="S437" s="327" t="s">
        <v>1330</v>
      </c>
    </row>
    <row r="438" spans="1:19" ht="15" customHeight="1">
      <c r="A438" s="561">
        <f t="shared" si="6"/>
        <v>438</v>
      </c>
      <c r="B438" s="31">
        <v>104</v>
      </c>
      <c r="C438" s="249" t="s">
        <v>165</v>
      </c>
      <c r="D438" s="320" t="s">
        <v>180</v>
      </c>
      <c r="E438" s="321" t="s">
        <v>358</v>
      </c>
      <c r="F438" s="322" t="s">
        <v>447</v>
      </c>
      <c r="G438" s="323" t="s">
        <v>455</v>
      </c>
      <c r="H438" s="322" t="s">
        <v>109</v>
      </c>
      <c r="I438" s="324">
        <v>2.6</v>
      </c>
      <c r="J438" s="325"/>
      <c r="K438" s="325"/>
      <c r="L438" s="325"/>
      <c r="M438" s="325"/>
      <c r="N438" s="325"/>
      <c r="O438" s="326"/>
      <c r="P438" s="326"/>
      <c r="Q438" s="326"/>
      <c r="R438" s="326"/>
      <c r="S438" s="327" t="s">
        <v>1330</v>
      </c>
    </row>
    <row r="439" spans="1:19" ht="15" customHeight="1">
      <c r="A439" s="561">
        <f t="shared" si="6"/>
        <v>439</v>
      </c>
      <c r="B439" s="31">
        <v>104</v>
      </c>
      <c r="C439" s="249" t="s">
        <v>165</v>
      </c>
      <c r="D439" s="320" t="s">
        <v>180</v>
      </c>
      <c r="E439" s="321" t="s">
        <v>358</v>
      </c>
      <c r="F439" s="322" t="s">
        <v>447</v>
      </c>
      <c r="G439" s="323" t="s">
        <v>457</v>
      </c>
      <c r="H439" s="322" t="s">
        <v>148</v>
      </c>
      <c r="I439" s="324">
        <f>(0.95*1.25)*1.3</f>
        <v>1.54375</v>
      </c>
      <c r="J439" s="325">
        <v>10</v>
      </c>
      <c r="K439" s="325"/>
      <c r="L439" s="325"/>
      <c r="M439" s="325"/>
      <c r="N439" s="325"/>
      <c r="O439" s="326"/>
      <c r="P439" s="326"/>
      <c r="Q439" s="326"/>
      <c r="R439" s="326">
        <v>1</v>
      </c>
      <c r="S439" s="327" t="s">
        <v>526</v>
      </c>
    </row>
    <row r="440" spans="1:19" ht="15" customHeight="1">
      <c r="A440" s="561">
        <f t="shared" si="6"/>
        <v>440</v>
      </c>
      <c r="B440" s="31">
        <v>104</v>
      </c>
      <c r="C440" s="249" t="s">
        <v>165</v>
      </c>
      <c r="D440" s="320" t="s">
        <v>180</v>
      </c>
      <c r="E440" s="321" t="s">
        <v>358</v>
      </c>
      <c r="F440" s="322" t="s">
        <v>447</v>
      </c>
      <c r="G440" s="323" t="s">
        <v>459</v>
      </c>
      <c r="H440" s="322" t="s">
        <v>148</v>
      </c>
      <c r="I440" s="324">
        <f>(0.95*1.25)*1.3</f>
        <v>1.54375</v>
      </c>
      <c r="J440" s="325">
        <v>10</v>
      </c>
      <c r="K440" s="325"/>
      <c r="L440" s="325"/>
      <c r="M440" s="325"/>
      <c r="N440" s="325"/>
      <c r="O440" s="326"/>
      <c r="P440" s="326"/>
      <c r="Q440" s="326"/>
      <c r="R440" s="326">
        <v>1</v>
      </c>
      <c r="S440" s="327" t="s">
        <v>526</v>
      </c>
    </row>
    <row r="441" spans="1:19" ht="15" customHeight="1">
      <c r="A441" s="561">
        <f t="shared" si="6"/>
        <v>441</v>
      </c>
      <c r="B441" s="31">
        <v>104</v>
      </c>
      <c r="C441" s="249" t="s">
        <v>165</v>
      </c>
      <c r="D441" s="320" t="s">
        <v>180</v>
      </c>
      <c r="E441" s="321" t="s">
        <v>358</v>
      </c>
      <c r="F441" s="322" t="s">
        <v>447</v>
      </c>
      <c r="G441" s="323" t="s">
        <v>461</v>
      </c>
      <c r="H441" s="322" t="s">
        <v>148</v>
      </c>
      <c r="I441" s="324">
        <f>(0.95*1.25)*1.3</f>
        <v>1.54375</v>
      </c>
      <c r="J441" s="325">
        <v>10</v>
      </c>
      <c r="K441" s="325"/>
      <c r="L441" s="325"/>
      <c r="M441" s="325"/>
      <c r="N441" s="325"/>
      <c r="O441" s="326"/>
      <c r="P441" s="326"/>
      <c r="Q441" s="326"/>
      <c r="R441" s="326">
        <v>1</v>
      </c>
      <c r="S441" s="327" t="s">
        <v>526</v>
      </c>
    </row>
    <row r="442" spans="1:19" ht="15" customHeight="1">
      <c r="A442" s="561">
        <f t="shared" si="6"/>
        <v>442</v>
      </c>
      <c r="B442" s="31">
        <v>104</v>
      </c>
      <c r="C442" s="249" t="s">
        <v>165</v>
      </c>
      <c r="D442" s="320" t="s">
        <v>180</v>
      </c>
      <c r="E442" s="321" t="s">
        <v>358</v>
      </c>
      <c r="F442" s="322" t="s">
        <v>462</v>
      </c>
      <c r="G442" s="323" t="s">
        <v>463</v>
      </c>
      <c r="H442" s="322" t="s">
        <v>19</v>
      </c>
      <c r="I442" s="324">
        <f>(3.15*2.95)*1.3</f>
        <v>12.080250000000001</v>
      </c>
      <c r="J442" s="325"/>
      <c r="K442" s="325"/>
      <c r="L442" s="325"/>
      <c r="M442" s="325"/>
      <c r="N442" s="325"/>
      <c r="O442" s="326"/>
      <c r="P442" s="326"/>
      <c r="Q442" s="326"/>
      <c r="R442" s="326">
        <v>9</v>
      </c>
      <c r="S442" s="327" t="s">
        <v>527</v>
      </c>
    </row>
    <row r="443" spans="1:19" ht="15" customHeight="1">
      <c r="A443" s="561">
        <f t="shared" si="6"/>
        <v>443</v>
      </c>
      <c r="B443" s="31">
        <v>104</v>
      </c>
      <c r="C443" s="249" t="s">
        <v>165</v>
      </c>
      <c r="D443" s="320" t="s">
        <v>180</v>
      </c>
      <c r="E443" s="321" t="s">
        <v>358</v>
      </c>
      <c r="F443" s="322" t="s">
        <v>464</v>
      </c>
      <c r="G443" s="323" t="s">
        <v>465</v>
      </c>
      <c r="H443" s="322" t="s">
        <v>19</v>
      </c>
      <c r="I443" s="324">
        <f>(8.55*17.65-1.2*4.45-4.11*0.75-(12.5*6))*1.3</f>
        <v>87.730499999999978</v>
      </c>
      <c r="J443" s="325"/>
      <c r="K443" s="325">
        <v>149</v>
      </c>
      <c r="L443" s="325"/>
      <c r="M443" s="325"/>
      <c r="N443" s="325"/>
      <c r="O443" s="326"/>
      <c r="P443" s="326"/>
      <c r="Q443" s="326">
        <v>150</v>
      </c>
      <c r="R443" s="326"/>
      <c r="S443" s="327"/>
    </row>
    <row r="444" spans="1:19" ht="15" customHeight="1">
      <c r="A444" s="561">
        <f t="shared" si="6"/>
        <v>444</v>
      </c>
      <c r="B444" s="31">
        <v>104</v>
      </c>
      <c r="C444" s="249" t="s">
        <v>165</v>
      </c>
      <c r="D444" s="320" t="s">
        <v>180</v>
      </c>
      <c r="E444" s="321" t="s">
        <v>358</v>
      </c>
      <c r="F444" s="322" t="s">
        <v>464</v>
      </c>
      <c r="G444" s="323" t="s">
        <v>466</v>
      </c>
      <c r="H444" s="322" t="s">
        <v>19</v>
      </c>
      <c r="I444" s="324">
        <f>(6.5*1.7+12.6*2.5)*1.3</f>
        <v>55.314999999999998</v>
      </c>
      <c r="J444" s="325"/>
      <c r="K444" s="325"/>
      <c r="L444" s="325">
        <v>101</v>
      </c>
      <c r="M444" s="325"/>
      <c r="N444" s="325"/>
      <c r="O444" s="326"/>
      <c r="P444" s="326">
        <v>113</v>
      </c>
      <c r="Q444" s="326"/>
      <c r="R444" s="326"/>
      <c r="S444" s="327"/>
    </row>
    <row r="445" spans="1:19" ht="15" customHeight="1">
      <c r="A445" s="561">
        <f t="shared" si="6"/>
        <v>445</v>
      </c>
      <c r="B445" s="31">
        <v>104</v>
      </c>
      <c r="C445" s="249" t="s">
        <v>165</v>
      </c>
      <c r="D445" s="320" t="s">
        <v>180</v>
      </c>
      <c r="E445" s="321" t="s">
        <v>358</v>
      </c>
      <c r="F445" s="322" t="s">
        <v>334</v>
      </c>
      <c r="G445" s="323" t="s">
        <v>467</v>
      </c>
      <c r="H445" s="322" t="s">
        <v>166</v>
      </c>
      <c r="I445" s="324">
        <v>19.5</v>
      </c>
      <c r="J445" s="325"/>
      <c r="K445" s="325"/>
      <c r="L445" s="325">
        <f>7.2*2*2.4+3*2.4</f>
        <v>41.760000000000005</v>
      </c>
      <c r="M445" s="325"/>
      <c r="N445" s="325"/>
      <c r="O445" s="326"/>
      <c r="P445" s="326">
        <v>28</v>
      </c>
      <c r="Q445" s="326"/>
      <c r="R445" s="326"/>
      <c r="S445" s="327"/>
    </row>
    <row r="446" spans="1:19" ht="15" customHeight="1">
      <c r="A446" s="561">
        <f t="shared" si="6"/>
        <v>446</v>
      </c>
      <c r="B446" s="31">
        <v>104</v>
      </c>
      <c r="C446" s="249" t="s">
        <v>165</v>
      </c>
      <c r="D446" s="320" t="s">
        <v>180</v>
      </c>
      <c r="E446" s="321" t="s">
        <v>358</v>
      </c>
      <c r="F446" s="322" t="s">
        <v>334</v>
      </c>
      <c r="G446" s="323" t="s">
        <v>468</v>
      </c>
      <c r="H446" s="322" t="s">
        <v>166</v>
      </c>
      <c r="I446" s="324">
        <v>5.2</v>
      </c>
      <c r="J446" s="325"/>
      <c r="K446" s="325"/>
      <c r="L446" s="325"/>
      <c r="M446" s="325"/>
      <c r="N446" s="325"/>
      <c r="O446" s="326"/>
      <c r="P446" s="326"/>
      <c r="Q446" s="326"/>
      <c r="R446" s="326"/>
      <c r="S446" s="327" t="s">
        <v>1332</v>
      </c>
    </row>
    <row r="447" spans="1:19" ht="15" customHeight="1">
      <c r="A447" s="561">
        <f t="shared" si="6"/>
        <v>447</v>
      </c>
      <c r="B447" s="31">
        <v>104</v>
      </c>
      <c r="C447" s="249" t="s">
        <v>165</v>
      </c>
      <c r="D447" s="320" t="s">
        <v>180</v>
      </c>
      <c r="E447" s="321" t="s">
        <v>358</v>
      </c>
      <c r="F447" s="322" t="s">
        <v>168</v>
      </c>
      <c r="G447" s="323" t="s">
        <v>469</v>
      </c>
      <c r="H447" s="322" t="s">
        <v>520</v>
      </c>
      <c r="I447" s="324">
        <f>(7.4*4.9+2.8*1.2-1*2.75)*1.3</f>
        <v>47.931000000000004</v>
      </c>
      <c r="J447" s="325"/>
      <c r="K447" s="325">
        <v>90</v>
      </c>
      <c r="L447" s="325"/>
      <c r="M447" s="325"/>
      <c r="N447" s="325"/>
      <c r="O447" s="326"/>
      <c r="P447" s="326"/>
      <c r="Q447" s="326">
        <v>28</v>
      </c>
      <c r="R447" s="326"/>
      <c r="S447" s="327"/>
    </row>
    <row r="448" spans="1:19" ht="15" customHeight="1">
      <c r="A448" s="561">
        <f t="shared" si="6"/>
        <v>448</v>
      </c>
      <c r="B448" s="31">
        <v>104</v>
      </c>
      <c r="C448" s="249" t="s">
        <v>165</v>
      </c>
      <c r="D448" s="320" t="s">
        <v>180</v>
      </c>
      <c r="E448" s="321" t="s">
        <v>358</v>
      </c>
      <c r="F448" s="322" t="s">
        <v>168</v>
      </c>
      <c r="G448" s="323" t="s">
        <v>471</v>
      </c>
      <c r="H448" s="322" t="s">
        <v>520</v>
      </c>
      <c r="I448" s="324">
        <f>(5.4*4.75+3.5+1.7*6.8+5.1*4.1+2.31*1.6+3.75*4.1)*1.3</f>
        <v>104.89830000000001</v>
      </c>
      <c r="J448" s="325"/>
      <c r="K448" s="325">
        <v>185</v>
      </c>
      <c r="L448" s="325"/>
      <c r="M448" s="325"/>
      <c r="N448" s="325"/>
      <c r="O448" s="326"/>
      <c r="P448" s="326"/>
      <c r="Q448" s="326">
        <v>35</v>
      </c>
      <c r="R448" s="326"/>
      <c r="S448" s="327"/>
    </row>
    <row r="449" spans="1:19" ht="15" customHeight="1">
      <c r="A449" s="561">
        <f t="shared" si="6"/>
        <v>449</v>
      </c>
      <c r="B449" s="31">
        <v>104</v>
      </c>
      <c r="C449" s="249" t="s">
        <v>165</v>
      </c>
      <c r="D449" s="320" t="s">
        <v>180</v>
      </c>
      <c r="E449" s="321" t="s">
        <v>358</v>
      </c>
      <c r="F449" s="322" t="s">
        <v>123</v>
      </c>
      <c r="G449" s="323" t="s">
        <v>472</v>
      </c>
      <c r="H449" s="322" t="s">
        <v>109</v>
      </c>
      <c r="I449" s="324">
        <f>(2.9*2.45)*1.3</f>
        <v>9.2365000000000013</v>
      </c>
      <c r="J449" s="325"/>
      <c r="K449" s="325">
        <v>36</v>
      </c>
      <c r="L449" s="325"/>
      <c r="M449" s="325"/>
      <c r="N449" s="325"/>
      <c r="O449" s="326"/>
      <c r="P449" s="326"/>
      <c r="Q449" s="326">
        <v>7</v>
      </c>
      <c r="R449" s="326"/>
      <c r="S449" s="327"/>
    </row>
    <row r="450" spans="1:19" ht="15" customHeight="1">
      <c r="A450" s="561">
        <f t="shared" si="6"/>
        <v>450</v>
      </c>
      <c r="B450" s="31">
        <v>104</v>
      </c>
      <c r="C450" s="249" t="s">
        <v>165</v>
      </c>
      <c r="D450" s="320" t="s">
        <v>180</v>
      </c>
      <c r="E450" s="321" t="s">
        <v>358</v>
      </c>
      <c r="F450" s="322" t="s">
        <v>123</v>
      </c>
      <c r="G450" s="323" t="s">
        <v>474</v>
      </c>
      <c r="H450" s="322" t="s">
        <v>19</v>
      </c>
      <c r="I450" s="324">
        <f>(2.5*2.8-0.5*1.5*1.2)*1.3</f>
        <v>7.93</v>
      </c>
      <c r="J450" s="325"/>
      <c r="K450" s="325"/>
      <c r="L450" s="325">
        <v>33</v>
      </c>
      <c r="M450" s="325"/>
      <c r="N450" s="325"/>
      <c r="O450" s="326"/>
      <c r="P450" s="326"/>
      <c r="Q450" s="326"/>
      <c r="R450" s="326">
        <v>6</v>
      </c>
      <c r="S450" s="327" t="s">
        <v>522</v>
      </c>
    </row>
    <row r="451" spans="1:19" ht="15" customHeight="1">
      <c r="A451" s="561">
        <f t="shared" ref="A451:A514" si="7">1+A450</f>
        <v>451</v>
      </c>
      <c r="B451" s="31">
        <v>104</v>
      </c>
      <c r="C451" s="249" t="s">
        <v>165</v>
      </c>
      <c r="D451" s="320" t="s">
        <v>180</v>
      </c>
      <c r="E451" s="321" t="s">
        <v>358</v>
      </c>
      <c r="F451" s="322" t="s">
        <v>475</v>
      </c>
      <c r="G451" s="323" t="s">
        <v>476</v>
      </c>
      <c r="H451" s="322" t="s">
        <v>520</v>
      </c>
      <c r="I451" s="324">
        <f>(1.5*3.05)*1.3</f>
        <v>5.9474999999999989</v>
      </c>
      <c r="J451" s="325"/>
      <c r="K451" s="325"/>
      <c r="L451" s="325">
        <v>21</v>
      </c>
      <c r="M451" s="325"/>
      <c r="N451" s="325"/>
      <c r="O451" s="326"/>
      <c r="P451" s="326"/>
      <c r="Q451" s="326"/>
      <c r="R451" s="326">
        <v>5</v>
      </c>
      <c r="S451" s="327" t="s">
        <v>522</v>
      </c>
    </row>
    <row r="452" spans="1:19" ht="15" customHeight="1">
      <c r="A452" s="561">
        <f t="shared" si="7"/>
        <v>452</v>
      </c>
      <c r="B452" s="31">
        <v>104</v>
      </c>
      <c r="C452" s="249" t="s">
        <v>165</v>
      </c>
      <c r="D452" s="320" t="s">
        <v>180</v>
      </c>
      <c r="E452" s="321" t="s">
        <v>358</v>
      </c>
      <c r="F452" s="322" t="s">
        <v>477</v>
      </c>
      <c r="G452" s="323" t="s">
        <v>478</v>
      </c>
      <c r="H452" s="322" t="s">
        <v>519</v>
      </c>
      <c r="I452" s="324">
        <v>0</v>
      </c>
      <c r="J452" s="325"/>
      <c r="K452" s="325"/>
      <c r="L452" s="325"/>
      <c r="M452" s="325"/>
      <c r="N452" s="325"/>
      <c r="O452" s="326"/>
      <c r="P452" s="326"/>
      <c r="Q452" s="326"/>
      <c r="R452" s="326"/>
      <c r="S452" s="327" t="s">
        <v>529</v>
      </c>
    </row>
    <row r="453" spans="1:19" ht="15" customHeight="1">
      <c r="A453" s="561">
        <f t="shared" si="7"/>
        <v>453</v>
      </c>
      <c r="B453" s="31">
        <v>104</v>
      </c>
      <c r="C453" s="249" t="s">
        <v>165</v>
      </c>
      <c r="D453" s="320" t="s">
        <v>180</v>
      </c>
      <c r="E453" s="321" t="s">
        <v>358</v>
      </c>
      <c r="F453" s="322" t="s">
        <v>479</v>
      </c>
      <c r="G453" s="323" t="s">
        <v>481</v>
      </c>
      <c r="H453" s="322" t="s">
        <v>521</v>
      </c>
      <c r="I453" s="324">
        <v>7.8000000000000007</v>
      </c>
      <c r="J453" s="325"/>
      <c r="K453" s="325"/>
      <c r="L453" s="325"/>
      <c r="M453" s="325"/>
      <c r="N453" s="325"/>
      <c r="O453" s="326"/>
      <c r="P453" s="326"/>
      <c r="Q453" s="326"/>
      <c r="R453" s="326"/>
      <c r="S453" s="327" t="s">
        <v>1330</v>
      </c>
    </row>
    <row r="454" spans="1:19" ht="15" customHeight="1">
      <c r="A454" s="561">
        <f t="shared" si="7"/>
        <v>454</v>
      </c>
      <c r="B454" s="31">
        <v>104</v>
      </c>
      <c r="C454" s="249" t="s">
        <v>165</v>
      </c>
      <c r="D454" s="320" t="s">
        <v>180</v>
      </c>
      <c r="E454" s="321" t="s">
        <v>358</v>
      </c>
      <c r="F454" s="322" t="s">
        <v>479</v>
      </c>
      <c r="G454" s="323" t="s">
        <v>483</v>
      </c>
      <c r="H454" s="322" t="s">
        <v>109</v>
      </c>
      <c r="I454" s="324">
        <f>(2.7*2.75+3.85*6.75)*1.3</f>
        <v>43.436250000000001</v>
      </c>
      <c r="J454" s="325"/>
      <c r="K454" s="325">
        <v>29</v>
      </c>
      <c r="L454" s="325"/>
      <c r="M454" s="325"/>
      <c r="N454" s="325">
        <v>41</v>
      </c>
      <c r="O454" s="326"/>
      <c r="P454" s="326"/>
      <c r="Q454" s="326">
        <v>33</v>
      </c>
      <c r="R454" s="326"/>
      <c r="S454" s="327"/>
    </row>
    <row r="455" spans="1:19" ht="15" customHeight="1">
      <c r="A455" s="561">
        <f t="shared" si="7"/>
        <v>455</v>
      </c>
      <c r="B455" s="31">
        <v>104</v>
      </c>
      <c r="C455" s="249" t="s">
        <v>165</v>
      </c>
      <c r="D455" s="320" t="s">
        <v>180</v>
      </c>
      <c r="E455" s="321" t="s">
        <v>358</v>
      </c>
      <c r="F455" s="322" t="s">
        <v>479</v>
      </c>
      <c r="G455" s="323" t="s">
        <v>485</v>
      </c>
      <c r="H455" s="322" t="s">
        <v>109</v>
      </c>
      <c r="I455" s="324">
        <v>114.4</v>
      </c>
      <c r="J455" s="325"/>
      <c r="K455" s="325"/>
      <c r="L455" s="325"/>
      <c r="M455" s="325"/>
      <c r="N455" s="325"/>
      <c r="O455" s="326"/>
      <c r="P455" s="326"/>
      <c r="Q455" s="326"/>
      <c r="R455" s="326"/>
      <c r="S455" s="327" t="s">
        <v>1330</v>
      </c>
    </row>
    <row r="456" spans="1:19" ht="15" customHeight="1">
      <c r="A456" s="561">
        <f t="shared" si="7"/>
        <v>456</v>
      </c>
      <c r="B456" s="31">
        <v>104</v>
      </c>
      <c r="C456" s="249" t="s">
        <v>165</v>
      </c>
      <c r="D456" s="320" t="s">
        <v>180</v>
      </c>
      <c r="E456" s="321" t="s">
        <v>358</v>
      </c>
      <c r="F456" s="322" t="s">
        <v>479</v>
      </c>
      <c r="G456" s="323" t="s">
        <v>486</v>
      </c>
      <c r="H456" s="322" t="s">
        <v>109</v>
      </c>
      <c r="I456" s="324">
        <v>28.6</v>
      </c>
      <c r="J456" s="325"/>
      <c r="K456" s="325"/>
      <c r="L456" s="325"/>
      <c r="M456" s="325"/>
      <c r="N456" s="325"/>
      <c r="O456" s="326"/>
      <c r="P456" s="326"/>
      <c r="Q456" s="326"/>
      <c r="R456" s="326"/>
      <c r="S456" s="327" t="s">
        <v>1330</v>
      </c>
    </row>
    <row r="457" spans="1:19" ht="15" customHeight="1">
      <c r="A457" s="561">
        <f t="shared" si="7"/>
        <v>457</v>
      </c>
      <c r="B457" s="31">
        <v>104</v>
      </c>
      <c r="C457" s="249" t="s">
        <v>165</v>
      </c>
      <c r="D457" s="320" t="s">
        <v>180</v>
      </c>
      <c r="E457" s="321" t="s">
        <v>358</v>
      </c>
      <c r="F457" s="322" t="s">
        <v>479</v>
      </c>
      <c r="G457" s="323" t="s">
        <v>456</v>
      </c>
      <c r="H457" s="322" t="s">
        <v>109</v>
      </c>
      <c r="I457" s="324">
        <v>9.1</v>
      </c>
      <c r="J457" s="325"/>
      <c r="K457" s="325"/>
      <c r="L457" s="325"/>
      <c r="M457" s="325"/>
      <c r="N457" s="325"/>
      <c r="O457" s="326"/>
      <c r="P457" s="326"/>
      <c r="Q457" s="326"/>
      <c r="R457" s="326"/>
      <c r="S457" s="327" t="s">
        <v>1330</v>
      </c>
    </row>
    <row r="458" spans="1:19" ht="15" customHeight="1">
      <c r="A458" s="561">
        <f t="shared" si="7"/>
        <v>458</v>
      </c>
      <c r="B458" s="31">
        <v>104</v>
      </c>
      <c r="C458" s="249" t="s">
        <v>165</v>
      </c>
      <c r="D458" s="320" t="s">
        <v>180</v>
      </c>
      <c r="E458" s="321" t="s">
        <v>358</v>
      </c>
      <c r="F458" s="322" t="s">
        <v>479</v>
      </c>
      <c r="G458" s="323" t="s">
        <v>458</v>
      </c>
      <c r="H458" s="322" t="s">
        <v>520</v>
      </c>
      <c r="I458" s="324">
        <f>(4.55*4.45-1.7*2.95)*1.3</f>
        <v>19.802249999999997</v>
      </c>
      <c r="J458" s="325"/>
      <c r="K458" s="325"/>
      <c r="L458" s="325">
        <v>42</v>
      </c>
      <c r="M458" s="325"/>
      <c r="N458" s="325"/>
      <c r="O458" s="326"/>
      <c r="P458" s="326"/>
      <c r="Q458" s="326"/>
      <c r="R458" s="326">
        <v>15</v>
      </c>
      <c r="S458" s="327" t="s">
        <v>522</v>
      </c>
    </row>
    <row r="459" spans="1:19" ht="15" customHeight="1">
      <c r="A459" s="561">
        <f t="shared" si="7"/>
        <v>459</v>
      </c>
      <c r="B459" s="31">
        <v>104</v>
      </c>
      <c r="C459" s="249" t="s">
        <v>165</v>
      </c>
      <c r="D459" s="320" t="s">
        <v>180</v>
      </c>
      <c r="E459" s="321" t="s">
        <v>358</v>
      </c>
      <c r="F459" s="322" t="s">
        <v>479</v>
      </c>
      <c r="G459" s="323" t="s">
        <v>460</v>
      </c>
      <c r="H459" s="322" t="s">
        <v>520</v>
      </c>
      <c r="I459" s="324">
        <f>(6.05*3.45)*1.3</f>
        <v>27.134249999999998</v>
      </c>
      <c r="J459" s="325"/>
      <c r="K459" s="325">
        <v>3</v>
      </c>
      <c r="L459" s="325">
        <v>43</v>
      </c>
      <c r="M459" s="325"/>
      <c r="N459" s="325"/>
      <c r="O459" s="326"/>
      <c r="P459" s="326"/>
      <c r="Q459" s="326"/>
      <c r="R459" s="326">
        <v>21</v>
      </c>
      <c r="S459" s="327" t="s">
        <v>522</v>
      </c>
    </row>
    <row r="460" spans="1:19" ht="15" customHeight="1">
      <c r="A460" s="561">
        <f t="shared" si="7"/>
        <v>460</v>
      </c>
      <c r="B460" s="31">
        <v>104</v>
      </c>
      <c r="C460" s="249" t="s">
        <v>165</v>
      </c>
      <c r="D460" s="320" t="s">
        <v>180</v>
      </c>
      <c r="E460" s="321" t="s">
        <v>358</v>
      </c>
      <c r="F460" s="322" t="s">
        <v>479</v>
      </c>
      <c r="G460" s="323" t="s">
        <v>488</v>
      </c>
      <c r="H460" s="322" t="s">
        <v>520</v>
      </c>
      <c r="I460" s="324">
        <f>(6.05*3.45)*1.3</f>
        <v>27.134249999999998</v>
      </c>
      <c r="J460" s="325"/>
      <c r="K460" s="325">
        <v>3</v>
      </c>
      <c r="L460" s="325">
        <v>43</v>
      </c>
      <c r="M460" s="325"/>
      <c r="N460" s="325"/>
      <c r="O460" s="326"/>
      <c r="P460" s="326"/>
      <c r="Q460" s="326"/>
      <c r="R460" s="326">
        <v>21</v>
      </c>
      <c r="S460" s="327" t="s">
        <v>522</v>
      </c>
    </row>
    <row r="461" spans="1:19" ht="15" customHeight="1">
      <c r="A461" s="561">
        <f t="shared" si="7"/>
        <v>461</v>
      </c>
      <c r="B461" s="31">
        <v>104</v>
      </c>
      <c r="C461" s="249" t="s">
        <v>165</v>
      </c>
      <c r="D461" s="320" t="s">
        <v>180</v>
      </c>
      <c r="E461" s="321" t="s">
        <v>358</v>
      </c>
      <c r="F461" s="322" t="s">
        <v>489</v>
      </c>
      <c r="G461" s="323" t="s">
        <v>490</v>
      </c>
      <c r="H461" s="322" t="s">
        <v>19</v>
      </c>
      <c r="I461" s="324">
        <v>1.3</v>
      </c>
      <c r="J461" s="325"/>
      <c r="K461" s="325"/>
      <c r="L461" s="325"/>
      <c r="M461" s="325"/>
      <c r="N461" s="325"/>
      <c r="O461" s="326"/>
      <c r="P461" s="326"/>
      <c r="Q461" s="326"/>
      <c r="R461" s="326"/>
      <c r="S461" s="327" t="s">
        <v>1332</v>
      </c>
    </row>
    <row r="462" spans="1:19" ht="15" customHeight="1">
      <c r="A462" s="561">
        <f t="shared" si="7"/>
        <v>462</v>
      </c>
      <c r="B462" s="31">
        <v>104</v>
      </c>
      <c r="C462" s="249" t="s">
        <v>165</v>
      </c>
      <c r="D462" s="320" t="s">
        <v>180</v>
      </c>
      <c r="E462" s="321" t="s">
        <v>358</v>
      </c>
      <c r="F462" s="322" t="s">
        <v>489</v>
      </c>
      <c r="G462" s="323" t="s">
        <v>492</v>
      </c>
      <c r="H462" s="322" t="s">
        <v>109</v>
      </c>
      <c r="I462" s="324">
        <f>(8.85*7.5-1.35*6.3-1*2.6)*1.3</f>
        <v>71.850999999999999</v>
      </c>
      <c r="J462" s="325"/>
      <c r="K462" s="325">
        <v>71</v>
      </c>
      <c r="L462" s="325">
        <v>25</v>
      </c>
      <c r="M462" s="325"/>
      <c r="N462" s="325">
        <v>24</v>
      </c>
      <c r="O462" s="326"/>
      <c r="P462" s="326"/>
      <c r="Q462" s="326">
        <v>55</v>
      </c>
      <c r="R462" s="326"/>
      <c r="S462" s="327" t="s">
        <v>530</v>
      </c>
    </row>
    <row r="463" spans="1:19" ht="15" customHeight="1">
      <c r="A463" s="561">
        <f t="shared" si="7"/>
        <v>463</v>
      </c>
      <c r="B463" s="31">
        <v>104</v>
      </c>
      <c r="C463" s="249" t="s">
        <v>165</v>
      </c>
      <c r="D463" s="320" t="s">
        <v>180</v>
      </c>
      <c r="E463" s="321" t="s">
        <v>358</v>
      </c>
      <c r="F463" s="322" t="s">
        <v>489</v>
      </c>
      <c r="G463" s="323" t="s">
        <v>493</v>
      </c>
      <c r="H463" s="322" t="s">
        <v>19</v>
      </c>
      <c r="I463" s="324">
        <v>1.3</v>
      </c>
      <c r="J463" s="325"/>
      <c r="K463" s="325"/>
      <c r="L463" s="325"/>
      <c r="M463" s="325"/>
      <c r="N463" s="325"/>
      <c r="O463" s="326"/>
      <c r="P463" s="326"/>
      <c r="Q463" s="326"/>
      <c r="R463" s="326"/>
      <c r="S463" s="327" t="s">
        <v>1332</v>
      </c>
    </row>
    <row r="464" spans="1:19" ht="15" customHeight="1">
      <c r="A464" s="561">
        <f t="shared" si="7"/>
        <v>464</v>
      </c>
      <c r="B464" s="31">
        <v>104</v>
      </c>
      <c r="C464" s="249" t="s">
        <v>165</v>
      </c>
      <c r="D464" s="320" t="s">
        <v>180</v>
      </c>
      <c r="E464" s="321" t="s">
        <v>358</v>
      </c>
      <c r="F464" s="322" t="s">
        <v>489</v>
      </c>
      <c r="G464" s="323" t="s">
        <v>402</v>
      </c>
      <c r="H464" s="322" t="s">
        <v>109</v>
      </c>
      <c r="I464" s="324">
        <f>(5.05*3.1-0.9*1.7)*1.3</f>
        <v>18.362500000000001</v>
      </c>
      <c r="J464" s="325">
        <v>2</v>
      </c>
      <c r="K464" s="325">
        <v>43</v>
      </c>
      <c r="L464" s="325"/>
      <c r="M464" s="325"/>
      <c r="N464" s="325">
        <v>1</v>
      </c>
      <c r="O464" s="326"/>
      <c r="P464" s="326"/>
      <c r="Q464" s="326">
        <v>14</v>
      </c>
      <c r="R464" s="326"/>
      <c r="S464" s="327" t="s">
        <v>531</v>
      </c>
    </row>
    <row r="465" spans="1:19" ht="15" customHeight="1">
      <c r="A465" s="561">
        <f t="shared" si="7"/>
        <v>465</v>
      </c>
      <c r="B465" s="31">
        <v>104</v>
      </c>
      <c r="C465" s="249" t="s">
        <v>165</v>
      </c>
      <c r="D465" s="320" t="s">
        <v>180</v>
      </c>
      <c r="E465" s="321" t="s">
        <v>358</v>
      </c>
      <c r="F465" s="322" t="s">
        <v>489</v>
      </c>
      <c r="G465" s="323" t="s">
        <v>495</v>
      </c>
      <c r="H465" s="322" t="s">
        <v>176</v>
      </c>
      <c r="I465" s="324">
        <f>(2.1*2.55)*1.3</f>
        <v>6.9615</v>
      </c>
      <c r="J465" s="325">
        <v>1</v>
      </c>
      <c r="K465" s="325">
        <v>31</v>
      </c>
      <c r="L465" s="325"/>
      <c r="M465" s="325"/>
      <c r="N465" s="325"/>
      <c r="O465" s="326"/>
      <c r="P465" s="326"/>
      <c r="Q465" s="326"/>
      <c r="R465" s="326">
        <v>5</v>
      </c>
      <c r="S465" s="327" t="s">
        <v>522</v>
      </c>
    </row>
    <row r="466" spans="1:19" ht="15" customHeight="1">
      <c r="A466" s="561">
        <f t="shared" si="7"/>
        <v>466</v>
      </c>
      <c r="B466" s="31">
        <v>104</v>
      </c>
      <c r="C466" s="249" t="s">
        <v>165</v>
      </c>
      <c r="D466" s="320" t="s">
        <v>180</v>
      </c>
      <c r="E466" s="321" t="s">
        <v>358</v>
      </c>
      <c r="F466" s="322" t="s">
        <v>489</v>
      </c>
      <c r="G466" s="323" t="s">
        <v>496</v>
      </c>
      <c r="H466" s="322" t="s">
        <v>19</v>
      </c>
      <c r="I466" s="324">
        <f>(2.05*1)*1.3</f>
        <v>2.665</v>
      </c>
      <c r="J466" s="325"/>
      <c r="K466" s="325"/>
      <c r="L466" s="325">
        <v>20</v>
      </c>
      <c r="M466" s="325"/>
      <c r="N466" s="325"/>
      <c r="O466" s="326"/>
      <c r="P466" s="326"/>
      <c r="Q466" s="326">
        <v>2</v>
      </c>
      <c r="R466" s="326"/>
      <c r="S466" s="327" t="s">
        <v>522</v>
      </c>
    </row>
    <row r="467" spans="1:19" ht="15" customHeight="1">
      <c r="A467" s="561">
        <f t="shared" si="7"/>
        <v>467</v>
      </c>
      <c r="B467" s="31">
        <v>104</v>
      </c>
      <c r="C467" s="249" t="s">
        <v>165</v>
      </c>
      <c r="D467" s="320" t="s">
        <v>180</v>
      </c>
      <c r="E467" s="321" t="s">
        <v>358</v>
      </c>
      <c r="F467" s="322" t="s">
        <v>489</v>
      </c>
      <c r="G467" s="323" t="s">
        <v>497</v>
      </c>
      <c r="H467" s="322" t="s">
        <v>19</v>
      </c>
      <c r="I467" s="324">
        <f>(2.3*2.55)*1.3</f>
        <v>7.6244999999999994</v>
      </c>
      <c r="J467" s="325"/>
      <c r="K467" s="325"/>
      <c r="L467" s="325">
        <v>22</v>
      </c>
      <c r="M467" s="325"/>
      <c r="N467" s="325"/>
      <c r="O467" s="326"/>
      <c r="P467" s="326"/>
      <c r="Q467" s="326"/>
      <c r="R467" s="326">
        <v>6</v>
      </c>
      <c r="S467" s="327" t="s">
        <v>522</v>
      </c>
    </row>
    <row r="468" spans="1:19" ht="15" customHeight="1">
      <c r="A468" s="561">
        <f t="shared" si="7"/>
        <v>468</v>
      </c>
      <c r="B468" s="31">
        <v>104</v>
      </c>
      <c r="C468" s="249" t="s">
        <v>165</v>
      </c>
      <c r="D468" s="320" t="s">
        <v>180</v>
      </c>
      <c r="E468" s="321" t="s">
        <v>358</v>
      </c>
      <c r="F468" s="322" t="s">
        <v>489</v>
      </c>
      <c r="G468" s="323" t="s">
        <v>498</v>
      </c>
      <c r="H468" s="322" t="s">
        <v>19</v>
      </c>
      <c r="I468" s="324">
        <f>(7*1.5)*1.3</f>
        <v>13.65</v>
      </c>
      <c r="J468" s="325"/>
      <c r="K468" s="325"/>
      <c r="L468" s="325">
        <v>26</v>
      </c>
      <c r="M468" s="325"/>
      <c r="N468" s="325"/>
      <c r="O468" s="326"/>
      <c r="P468" s="326">
        <v>11</v>
      </c>
      <c r="Q468" s="326"/>
      <c r="R468" s="326"/>
      <c r="S468" s="327"/>
    </row>
    <row r="469" spans="1:19" ht="15" customHeight="1">
      <c r="A469" s="561">
        <f t="shared" si="7"/>
        <v>469</v>
      </c>
      <c r="B469" s="31">
        <v>104</v>
      </c>
      <c r="C469" s="249" t="s">
        <v>165</v>
      </c>
      <c r="D469" s="320" t="s">
        <v>180</v>
      </c>
      <c r="E469" s="321" t="s">
        <v>358</v>
      </c>
      <c r="F469" s="322" t="s">
        <v>489</v>
      </c>
      <c r="G469" s="323" t="s">
        <v>499</v>
      </c>
      <c r="H469" s="322" t="s">
        <v>19</v>
      </c>
      <c r="I469" s="324">
        <f>(3.25*1.15+4.5*2.6+1.15*2.6+(1.25+2.6)/2*1.2+4.95*8+1*6)*1.3</f>
        <v>86.23875000000001</v>
      </c>
      <c r="J469" s="325"/>
      <c r="K469" s="325">
        <v>112</v>
      </c>
      <c r="L469" s="325"/>
      <c r="M469" s="325"/>
      <c r="N469" s="325"/>
      <c r="O469" s="326"/>
      <c r="P469" s="326"/>
      <c r="Q469" s="326">
        <v>53</v>
      </c>
      <c r="R469" s="326"/>
      <c r="S469" s="327"/>
    </row>
    <row r="470" spans="1:19" ht="15" customHeight="1">
      <c r="A470" s="561">
        <f t="shared" si="7"/>
        <v>470</v>
      </c>
      <c r="B470" s="31">
        <v>104</v>
      </c>
      <c r="C470" s="249" t="s">
        <v>165</v>
      </c>
      <c r="D470" s="320" t="s">
        <v>180</v>
      </c>
      <c r="E470" s="321" t="s">
        <v>358</v>
      </c>
      <c r="F470" s="322" t="s">
        <v>489</v>
      </c>
      <c r="G470" s="323" t="s">
        <v>500</v>
      </c>
      <c r="H470" s="322" t="s">
        <v>19</v>
      </c>
      <c r="I470" s="324">
        <f>(4*2-0.5*2*3.2)*1.3</f>
        <v>6.24</v>
      </c>
      <c r="J470" s="325"/>
      <c r="K470" s="325"/>
      <c r="L470" s="325">
        <v>40</v>
      </c>
      <c r="M470" s="325"/>
      <c r="N470" s="325"/>
      <c r="O470" s="326"/>
      <c r="P470" s="326"/>
      <c r="Q470" s="326">
        <v>5</v>
      </c>
      <c r="R470" s="326"/>
      <c r="S470" s="327" t="s">
        <v>522</v>
      </c>
    </row>
    <row r="471" spans="1:19" ht="15" customHeight="1">
      <c r="A471" s="561">
        <f t="shared" si="7"/>
        <v>471</v>
      </c>
      <c r="B471" s="31">
        <v>104</v>
      </c>
      <c r="C471" s="249" t="s">
        <v>165</v>
      </c>
      <c r="D471" s="320" t="s">
        <v>180</v>
      </c>
      <c r="E471" s="321" t="s">
        <v>358</v>
      </c>
      <c r="F471" s="322" t="s">
        <v>489</v>
      </c>
      <c r="G471" s="323" t="s">
        <v>501</v>
      </c>
      <c r="H471" s="322" t="s">
        <v>19</v>
      </c>
      <c r="I471" s="324">
        <f>(6.35*6.1-0.5*0.9*1.3-1.1*1.1)*1.3</f>
        <v>48.021999999999991</v>
      </c>
      <c r="J471" s="325"/>
      <c r="K471" s="325"/>
      <c r="L471" s="325">
        <v>80</v>
      </c>
      <c r="M471" s="325"/>
      <c r="N471" s="325"/>
      <c r="O471" s="326"/>
      <c r="P471" s="326">
        <v>37</v>
      </c>
      <c r="Q471" s="326"/>
      <c r="R471" s="326"/>
      <c r="S471" s="327"/>
    </row>
    <row r="472" spans="1:19" ht="15" customHeight="1">
      <c r="A472" s="561">
        <f t="shared" si="7"/>
        <v>472</v>
      </c>
      <c r="B472" s="31">
        <v>104</v>
      </c>
      <c r="C472" s="249" t="s">
        <v>165</v>
      </c>
      <c r="D472" s="320" t="s">
        <v>180</v>
      </c>
      <c r="E472" s="321" t="s">
        <v>358</v>
      </c>
      <c r="F472" s="322" t="s">
        <v>489</v>
      </c>
      <c r="G472" s="323" t="s">
        <v>502</v>
      </c>
      <c r="H472" s="322" t="s">
        <v>19</v>
      </c>
      <c r="I472" s="324">
        <f>(+(5.4+4.55)/2*2.05)*1.3</f>
        <v>13.258374999999999</v>
      </c>
      <c r="J472" s="325"/>
      <c r="K472" s="325"/>
      <c r="L472" s="325">
        <v>50</v>
      </c>
      <c r="M472" s="325"/>
      <c r="N472" s="325"/>
      <c r="O472" s="326"/>
      <c r="P472" s="326"/>
      <c r="Q472" s="326">
        <v>10</v>
      </c>
      <c r="R472" s="326"/>
      <c r="S472" s="327" t="s">
        <v>522</v>
      </c>
    </row>
    <row r="473" spans="1:19" ht="15" customHeight="1">
      <c r="A473" s="561">
        <f t="shared" si="7"/>
        <v>473</v>
      </c>
      <c r="B473" s="31">
        <v>104</v>
      </c>
      <c r="C473" s="249" t="s">
        <v>165</v>
      </c>
      <c r="D473" s="320" t="s">
        <v>180</v>
      </c>
      <c r="E473" s="321" t="s">
        <v>358</v>
      </c>
      <c r="F473" s="322" t="s">
        <v>489</v>
      </c>
      <c r="G473" s="323" t="s">
        <v>503</v>
      </c>
      <c r="H473" s="322" t="s">
        <v>109</v>
      </c>
      <c r="I473" s="324">
        <f>(9.3*4.35)*1.3</f>
        <v>52.591499999999996</v>
      </c>
      <c r="J473" s="325">
        <v>30</v>
      </c>
      <c r="K473" s="325">
        <v>3</v>
      </c>
      <c r="L473" s="325"/>
      <c r="M473" s="325"/>
      <c r="N473" s="325"/>
      <c r="O473" s="326"/>
      <c r="P473" s="326"/>
      <c r="Q473" s="326"/>
      <c r="R473" s="326">
        <v>40</v>
      </c>
      <c r="S473" s="327" t="s">
        <v>531</v>
      </c>
    </row>
    <row r="474" spans="1:19" ht="15" customHeight="1">
      <c r="A474" s="561">
        <f t="shared" si="7"/>
        <v>474</v>
      </c>
      <c r="B474" s="31">
        <v>104</v>
      </c>
      <c r="C474" s="249" t="s">
        <v>165</v>
      </c>
      <c r="D474" s="320" t="s">
        <v>180</v>
      </c>
      <c r="E474" s="321" t="s">
        <v>358</v>
      </c>
      <c r="F474" s="322" t="s">
        <v>489</v>
      </c>
      <c r="G474" s="323" t="s">
        <v>504</v>
      </c>
      <c r="H474" s="322" t="s">
        <v>19</v>
      </c>
      <c r="I474" s="324">
        <v>5.2</v>
      </c>
      <c r="J474" s="325"/>
      <c r="K474" s="325"/>
      <c r="L474" s="325">
        <v>22</v>
      </c>
      <c r="M474" s="325"/>
      <c r="N474" s="325"/>
      <c r="O474" s="326"/>
      <c r="P474" s="326"/>
      <c r="Q474" s="326">
        <v>4</v>
      </c>
      <c r="R474" s="326"/>
      <c r="S474" s="327" t="s">
        <v>522</v>
      </c>
    </row>
    <row r="475" spans="1:19" ht="15" customHeight="1">
      <c r="A475" s="561">
        <f t="shared" si="7"/>
        <v>475</v>
      </c>
      <c r="B475" s="31">
        <v>104</v>
      </c>
      <c r="C475" s="249" t="s">
        <v>165</v>
      </c>
      <c r="D475" s="320" t="s">
        <v>180</v>
      </c>
      <c r="E475" s="321" t="s">
        <v>358</v>
      </c>
      <c r="F475" s="322" t="s">
        <v>489</v>
      </c>
      <c r="G475" s="323" t="s">
        <v>505</v>
      </c>
      <c r="H475" s="322" t="s">
        <v>19</v>
      </c>
      <c r="I475" s="324">
        <f>(2*3.5)*1.3</f>
        <v>9.1</v>
      </c>
      <c r="J475" s="325"/>
      <c r="K475" s="325"/>
      <c r="L475" s="325">
        <v>39</v>
      </c>
      <c r="M475" s="325"/>
      <c r="N475" s="325"/>
      <c r="O475" s="326"/>
      <c r="P475" s="326"/>
      <c r="Q475" s="326">
        <v>7</v>
      </c>
      <c r="R475" s="326"/>
      <c r="S475" s="327" t="s">
        <v>522</v>
      </c>
    </row>
    <row r="476" spans="1:19" ht="15" customHeight="1">
      <c r="A476" s="561">
        <f t="shared" si="7"/>
        <v>476</v>
      </c>
      <c r="B476" s="31">
        <v>104</v>
      </c>
      <c r="C476" s="249" t="s">
        <v>165</v>
      </c>
      <c r="D476" s="320" t="s">
        <v>180</v>
      </c>
      <c r="E476" s="321" t="s">
        <v>358</v>
      </c>
      <c r="F476" s="322" t="s">
        <v>489</v>
      </c>
      <c r="G476" s="323" t="s">
        <v>506</v>
      </c>
      <c r="H476" s="322" t="s">
        <v>19</v>
      </c>
      <c r="I476" s="324">
        <f>(10.75*4+2*2)*1.3</f>
        <v>61.1</v>
      </c>
      <c r="J476" s="325"/>
      <c r="K476" s="325"/>
      <c r="L476" s="325">
        <v>120</v>
      </c>
      <c r="M476" s="325"/>
      <c r="N476" s="325"/>
      <c r="O476" s="326"/>
      <c r="P476" s="326">
        <v>47</v>
      </c>
      <c r="Q476" s="326"/>
      <c r="R476" s="326"/>
      <c r="S476" s="327"/>
    </row>
    <row r="477" spans="1:19" ht="15" customHeight="1">
      <c r="A477" s="561">
        <f t="shared" si="7"/>
        <v>477</v>
      </c>
      <c r="B477" s="31">
        <v>104</v>
      </c>
      <c r="C477" s="249" t="s">
        <v>165</v>
      </c>
      <c r="D477" s="320" t="s">
        <v>180</v>
      </c>
      <c r="E477" s="321" t="s">
        <v>358</v>
      </c>
      <c r="F477" s="322" t="s">
        <v>489</v>
      </c>
      <c r="G477" s="323" t="s">
        <v>507</v>
      </c>
      <c r="H477" s="322" t="s">
        <v>19</v>
      </c>
      <c r="I477" s="324">
        <f>(5.7*2-0.5)*1.3</f>
        <v>14.170000000000002</v>
      </c>
      <c r="J477" s="325"/>
      <c r="K477" s="325"/>
      <c r="L477" s="325">
        <v>49</v>
      </c>
      <c r="M477" s="325"/>
      <c r="N477" s="325"/>
      <c r="O477" s="326"/>
      <c r="P477" s="326"/>
      <c r="Q477" s="326">
        <v>11</v>
      </c>
      <c r="R477" s="326"/>
      <c r="S477" s="327" t="s">
        <v>522</v>
      </c>
    </row>
    <row r="478" spans="1:19" ht="15" customHeight="1">
      <c r="A478" s="561">
        <f t="shared" si="7"/>
        <v>478</v>
      </c>
      <c r="B478" s="31">
        <v>104</v>
      </c>
      <c r="C478" s="249" t="s">
        <v>165</v>
      </c>
      <c r="D478" s="320" t="s">
        <v>180</v>
      </c>
      <c r="E478" s="321" t="s">
        <v>358</v>
      </c>
      <c r="F478" s="322" t="s">
        <v>489</v>
      </c>
      <c r="G478" s="323" t="s">
        <v>508</v>
      </c>
      <c r="H478" s="322" t="s">
        <v>19</v>
      </c>
      <c r="I478" s="324">
        <f>(1.8+6.1)*1.3</f>
        <v>10.27</v>
      </c>
      <c r="J478" s="325">
        <v>1</v>
      </c>
      <c r="K478" s="325"/>
      <c r="L478" s="325">
        <v>48</v>
      </c>
      <c r="M478" s="325"/>
      <c r="N478" s="325"/>
      <c r="O478" s="326"/>
      <c r="P478" s="326"/>
      <c r="Q478" s="326">
        <v>8</v>
      </c>
      <c r="R478" s="326"/>
      <c r="S478" s="327" t="s">
        <v>522</v>
      </c>
    </row>
    <row r="479" spans="1:19" ht="15" customHeight="1">
      <c r="A479" s="561">
        <f t="shared" si="7"/>
        <v>479</v>
      </c>
      <c r="B479" s="31">
        <v>104</v>
      </c>
      <c r="C479" s="249" t="s">
        <v>165</v>
      </c>
      <c r="D479" s="320" t="s">
        <v>180</v>
      </c>
      <c r="E479" s="321" t="s">
        <v>358</v>
      </c>
      <c r="F479" s="322" t="s">
        <v>489</v>
      </c>
      <c r="G479" s="323" t="s">
        <v>509</v>
      </c>
      <c r="H479" s="322" t="s">
        <v>19</v>
      </c>
      <c r="I479" s="324">
        <f>(1.4*0.95)*1.3</f>
        <v>1.7289999999999999</v>
      </c>
      <c r="J479" s="325"/>
      <c r="K479" s="325">
        <v>11</v>
      </c>
      <c r="L479" s="325"/>
      <c r="M479" s="325"/>
      <c r="N479" s="325"/>
      <c r="O479" s="326"/>
      <c r="P479" s="326"/>
      <c r="Q479" s="326"/>
      <c r="R479" s="326">
        <v>1</v>
      </c>
      <c r="S479" s="327" t="s">
        <v>522</v>
      </c>
    </row>
    <row r="480" spans="1:19" ht="15" customHeight="1">
      <c r="A480" s="561">
        <f t="shared" si="7"/>
        <v>480</v>
      </c>
      <c r="B480" s="31">
        <v>104</v>
      </c>
      <c r="C480" s="249" t="s">
        <v>165</v>
      </c>
      <c r="D480" s="320" t="s">
        <v>180</v>
      </c>
      <c r="E480" s="321" t="s">
        <v>358</v>
      </c>
      <c r="F480" s="322" t="s">
        <v>489</v>
      </c>
      <c r="G480" s="323" t="s">
        <v>510</v>
      </c>
      <c r="H480" s="322" t="s">
        <v>19</v>
      </c>
      <c r="I480" s="324">
        <f>(8.2*2.35-1.05*1.2-0.5*1.2*1.2)*1.3</f>
        <v>22.477</v>
      </c>
      <c r="J480" s="325"/>
      <c r="K480" s="325"/>
      <c r="L480" s="325">
        <v>72</v>
      </c>
      <c r="M480" s="325"/>
      <c r="N480" s="325"/>
      <c r="O480" s="326"/>
      <c r="P480" s="326">
        <v>17</v>
      </c>
      <c r="Q480" s="326"/>
      <c r="R480" s="326"/>
      <c r="S480" s="327"/>
    </row>
    <row r="481" spans="1:19" ht="15" customHeight="1">
      <c r="A481" s="561">
        <f t="shared" si="7"/>
        <v>481</v>
      </c>
      <c r="B481" s="31">
        <v>104</v>
      </c>
      <c r="C481" s="249" t="s">
        <v>165</v>
      </c>
      <c r="D481" s="320" t="s">
        <v>180</v>
      </c>
      <c r="E481" s="321" t="s">
        <v>358</v>
      </c>
      <c r="F481" s="322" t="s">
        <v>489</v>
      </c>
      <c r="G481" s="323" t="s">
        <v>511</v>
      </c>
      <c r="H481" s="322" t="s">
        <v>19</v>
      </c>
      <c r="I481" s="324">
        <f>(6.55*4.35-1.05*1.05)*1.3</f>
        <v>35.606999999999999</v>
      </c>
      <c r="J481" s="325"/>
      <c r="K481" s="325"/>
      <c r="L481" s="325">
        <v>74</v>
      </c>
      <c r="M481" s="325"/>
      <c r="N481" s="325"/>
      <c r="O481" s="326"/>
      <c r="P481" s="326">
        <v>27</v>
      </c>
      <c r="Q481" s="326"/>
      <c r="R481" s="326"/>
      <c r="S481" s="327"/>
    </row>
    <row r="482" spans="1:19" ht="15" customHeight="1">
      <c r="A482" s="561">
        <f t="shared" si="7"/>
        <v>482</v>
      </c>
      <c r="B482" s="31">
        <v>104</v>
      </c>
      <c r="C482" s="249" t="s">
        <v>165</v>
      </c>
      <c r="D482" s="320" t="s">
        <v>180</v>
      </c>
      <c r="E482" s="321" t="s">
        <v>358</v>
      </c>
      <c r="F482" s="322" t="s">
        <v>489</v>
      </c>
      <c r="G482" s="323" t="s">
        <v>512</v>
      </c>
      <c r="H482" s="322" t="s">
        <v>19</v>
      </c>
      <c r="I482" s="324">
        <f>(2.6*4.35-2*0.22*0.22)*1.3</f>
        <v>14.577159999999999</v>
      </c>
      <c r="J482" s="325"/>
      <c r="K482" s="325"/>
      <c r="L482" s="325">
        <v>41</v>
      </c>
      <c r="M482" s="325"/>
      <c r="N482" s="325"/>
      <c r="O482" s="326"/>
      <c r="P482" s="326"/>
      <c r="Q482" s="326">
        <v>11</v>
      </c>
      <c r="R482" s="326"/>
      <c r="S482" s="327" t="s">
        <v>522</v>
      </c>
    </row>
    <row r="483" spans="1:19" ht="15" customHeight="1">
      <c r="A483" s="561">
        <f t="shared" si="7"/>
        <v>483</v>
      </c>
      <c r="B483" s="31">
        <v>104</v>
      </c>
      <c r="C483" s="249" t="s">
        <v>165</v>
      </c>
      <c r="D483" s="320" t="s">
        <v>180</v>
      </c>
      <c r="E483" s="321" t="s">
        <v>358</v>
      </c>
      <c r="F483" s="322" t="s">
        <v>489</v>
      </c>
      <c r="G483" s="323" t="s">
        <v>514</v>
      </c>
      <c r="H483" s="322" t="s">
        <v>520</v>
      </c>
      <c r="I483" s="324">
        <f>(0.9*7.2+1.6*1.6-0.45*0.25)*1.3</f>
        <v>11.60575</v>
      </c>
      <c r="J483" s="325"/>
      <c r="K483" s="325"/>
      <c r="L483" s="325">
        <v>56</v>
      </c>
      <c r="M483" s="325"/>
      <c r="N483" s="325"/>
      <c r="O483" s="326"/>
      <c r="P483" s="326">
        <v>9</v>
      </c>
      <c r="Q483" s="326"/>
      <c r="R483" s="326"/>
      <c r="S483" s="327"/>
    </row>
    <row r="484" spans="1:19" ht="15" customHeight="1">
      <c r="A484" s="561">
        <f t="shared" si="7"/>
        <v>484</v>
      </c>
      <c r="B484" s="31">
        <v>104</v>
      </c>
      <c r="C484" s="249" t="s">
        <v>165</v>
      </c>
      <c r="D484" s="320" t="s">
        <v>180</v>
      </c>
      <c r="E484" s="321" t="s">
        <v>358</v>
      </c>
      <c r="F484" s="322" t="s">
        <v>489</v>
      </c>
      <c r="G484" s="323" t="s">
        <v>515</v>
      </c>
      <c r="H484" s="322" t="s">
        <v>19</v>
      </c>
      <c r="I484" s="324">
        <v>126.10000000000001</v>
      </c>
      <c r="J484" s="325"/>
      <c r="K484" s="325">
        <v>113</v>
      </c>
      <c r="L484" s="325">
        <v>130</v>
      </c>
      <c r="M484" s="325"/>
      <c r="N484" s="325"/>
      <c r="O484" s="326"/>
      <c r="P484" s="326"/>
      <c r="Q484" s="326">
        <v>97</v>
      </c>
      <c r="R484" s="326"/>
      <c r="S484" s="327" t="s">
        <v>522</v>
      </c>
    </row>
    <row r="485" spans="1:19" ht="15" customHeight="1">
      <c r="A485" s="561">
        <f t="shared" si="7"/>
        <v>485</v>
      </c>
      <c r="B485" s="31">
        <v>104</v>
      </c>
      <c r="C485" s="249" t="s">
        <v>165</v>
      </c>
      <c r="D485" s="320" t="s">
        <v>180</v>
      </c>
      <c r="E485" s="321" t="s">
        <v>358</v>
      </c>
      <c r="F485" s="322" t="s">
        <v>489</v>
      </c>
      <c r="G485" s="323" t="s">
        <v>516</v>
      </c>
      <c r="H485" s="322" t="s">
        <v>19</v>
      </c>
      <c r="I485" s="324">
        <f>(1.55*3.7)*1.3</f>
        <v>7.4555000000000007</v>
      </c>
      <c r="J485" s="325"/>
      <c r="K485" s="325">
        <v>30</v>
      </c>
      <c r="L485" s="325"/>
      <c r="M485" s="325"/>
      <c r="N485" s="325"/>
      <c r="O485" s="326"/>
      <c r="P485" s="326"/>
      <c r="Q485" s="326">
        <v>6</v>
      </c>
      <c r="R485" s="326"/>
      <c r="S485" s="327"/>
    </row>
    <row r="486" spans="1:19" ht="15" customHeight="1">
      <c r="A486" s="561">
        <f t="shared" si="7"/>
        <v>486</v>
      </c>
      <c r="B486" s="31">
        <v>104</v>
      </c>
      <c r="C486" s="249" t="s">
        <v>165</v>
      </c>
      <c r="D486" s="320" t="s">
        <v>180</v>
      </c>
      <c r="E486" s="321" t="s">
        <v>358</v>
      </c>
      <c r="F486" s="322" t="s">
        <v>489</v>
      </c>
      <c r="G486" s="323" t="s">
        <v>169</v>
      </c>
      <c r="H486" s="322" t="s">
        <v>19</v>
      </c>
      <c r="I486" s="324">
        <f>(1.75*1.1)*1.3</f>
        <v>2.5025000000000004</v>
      </c>
      <c r="J486" s="325"/>
      <c r="K486" s="325"/>
      <c r="L486" s="325">
        <v>15</v>
      </c>
      <c r="M486" s="325"/>
      <c r="N486" s="325"/>
      <c r="O486" s="326"/>
      <c r="P486" s="326"/>
      <c r="Q486" s="326"/>
      <c r="R486" s="326"/>
      <c r="S486" s="327"/>
    </row>
    <row r="487" spans="1:19" ht="15" customHeight="1">
      <c r="A487" s="561">
        <f t="shared" si="7"/>
        <v>487</v>
      </c>
      <c r="B487" s="31">
        <v>104</v>
      </c>
      <c r="C487" s="249" t="s">
        <v>165</v>
      </c>
      <c r="D487" s="320" t="s">
        <v>180</v>
      </c>
      <c r="E487" s="321" t="s">
        <v>358</v>
      </c>
      <c r="F487" s="322" t="s">
        <v>489</v>
      </c>
      <c r="G487" s="323" t="s">
        <v>169</v>
      </c>
      <c r="H487" s="322" t="s">
        <v>19</v>
      </c>
      <c r="I487" s="324">
        <f>(1*0.5)*1.3</f>
        <v>0.65</v>
      </c>
      <c r="J487" s="325"/>
      <c r="K487" s="325"/>
      <c r="L487" s="325">
        <v>7</v>
      </c>
      <c r="M487" s="325"/>
      <c r="N487" s="325"/>
      <c r="O487" s="326"/>
      <c r="P487" s="326"/>
      <c r="Q487" s="326"/>
      <c r="R487" s="326">
        <v>1</v>
      </c>
      <c r="S487" s="327" t="s">
        <v>532</v>
      </c>
    </row>
    <row r="488" spans="1:19" ht="15" customHeight="1">
      <c r="A488" s="561">
        <f t="shared" si="7"/>
        <v>488</v>
      </c>
      <c r="B488" s="31">
        <v>104</v>
      </c>
      <c r="C488" s="249" t="s">
        <v>165</v>
      </c>
      <c r="D488" s="320" t="s">
        <v>180</v>
      </c>
      <c r="E488" s="321" t="s">
        <v>358</v>
      </c>
      <c r="F488" s="322" t="s">
        <v>517</v>
      </c>
      <c r="G488" s="323" t="s">
        <v>169</v>
      </c>
      <c r="H488" s="322" t="s">
        <v>19</v>
      </c>
      <c r="I488" s="324">
        <f>(1.85*1.1)*1.3</f>
        <v>2.6455000000000002</v>
      </c>
      <c r="J488" s="325"/>
      <c r="K488" s="325"/>
      <c r="L488" s="325">
        <v>15</v>
      </c>
      <c r="M488" s="325"/>
      <c r="N488" s="325"/>
      <c r="O488" s="326"/>
      <c r="P488" s="326"/>
      <c r="Q488" s="326"/>
      <c r="R488" s="326">
        <v>2</v>
      </c>
      <c r="S488" s="327" t="s">
        <v>533</v>
      </c>
    </row>
    <row r="489" spans="1:19" ht="15" customHeight="1">
      <c r="A489" s="561">
        <f t="shared" si="7"/>
        <v>489</v>
      </c>
      <c r="B489" s="31">
        <v>104</v>
      </c>
      <c r="C489" s="249" t="s">
        <v>165</v>
      </c>
      <c r="D489" s="320" t="s">
        <v>180</v>
      </c>
      <c r="E489" s="321" t="s">
        <v>358</v>
      </c>
      <c r="F489" s="322" t="s">
        <v>518</v>
      </c>
      <c r="G489" s="323" t="s">
        <v>169</v>
      </c>
      <c r="H489" s="322" t="s">
        <v>19</v>
      </c>
      <c r="I489" s="324">
        <f>(7.3*1.85)*1.3</f>
        <v>17.556500000000003</v>
      </c>
      <c r="J489" s="325"/>
      <c r="K489" s="325"/>
      <c r="L489" s="325">
        <v>62</v>
      </c>
      <c r="M489" s="325"/>
      <c r="N489" s="325"/>
      <c r="O489" s="326"/>
      <c r="P489" s="326">
        <v>14</v>
      </c>
      <c r="Q489" s="326"/>
      <c r="R489" s="326"/>
      <c r="S489" s="327"/>
    </row>
    <row r="490" spans="1:19" ht="15" customHeight="1">
      <c r="A490" s="561">
        <f t="shared" si="7"/>
        <v>490</v>
      </c>
      <c r="B490" s="31">
        <v>104</v>
      </c>
      <c r="C490" s="249" t="s">
        <v>165</v>
      </c>
      <c r="D490" s="320" t="s">
        <v>180</v>
      </c>
      <c r="E490" s="321" t="s">
        <v>54</v>
      </c>
      <c r="F490" s="322" t="s">
        <v>374</v>
      </c>
      <c r="G490" s="323" t="s">
        <v>534</v>
      </c>
      <c r="H490" s="322" t="s">
        <v>169</v>
      </c>
      <c r="I490" s="324"/>
      <c r="J490" s="325"/>
      <c r="K490" s="325"/>
      <c r="L490" s="325"/>
      <c r="M490" s="325"/>
      <c r="N490" s="325"/>
      <c r="O490" s="326"/>
      <c r="P490" s="326"/>
      <c r="Q490" s="326"/>
      <c r="R490" s="326"/>
      <c r="S490" s="327" t="s">
        <v>1156</v>
      </c>
    </row>
    <row r="491" spans="1:19" ht="15" customHeight="1">
      <c r="A491" s="561">
        <f t="shared" si="7"/>
        <v>491</v>
      </c>
      <c r="B491" s="31">
        <v>104</v>
      </c>
      <c r="C491" s="249" t="s">
        <v>165</v>
      </c>
      <c r="D491" s="320" t="s">
        <v>180</v>
      </c>
      <c r="E491" s="321" t="s">
        <v>54</v>
      </c>
      <c r="F491" s="322" t="s">
        <v>376</v>
      </c>
      <c r="G491" s="323" t="s">
        <v>535</v>
      </c>
      <c r="H491" s="322" t="s">
        <v>1323</v>
      </c>
      <c r="I491" s="324">
        <v>0</v>
      </c>
      <c r="J491" s="325"/>
      <c r="K491" s="325"/>
      <c r="L491" s="325"/>
      <c r="M491" s="325"/>
      <c r="N491" s="325"/>
      <c r="O491" s="326"/>
      <c r="P491" s="326"/>
      <c r="Q491" s="326"/>
      <c r="R491" s="326"/>
      <c r="S491" s="327" t="s">
        <v>610</v>
      </c>
    </row>
    <row r="492" spans="1:19" ht="15" customHeight="1">
      <c r="A492" s="561">
        <f t="shared" si="7"/>
        <v>492</v>
      </c>
      <c r="B492" s="31">
        <v>104</v>
      </c>
      <c r="C492" s="249" t="s">
        <v>165</v>
      </c>
      <c r="D492" s="320" t="s">
        <v>180</v>
      </c>
      <c r="E492" s="321" t="s">
        <v>54</v>
      </c>
      <c r="F492" s="322" t="s">
        <v>378</v>
      </c>
      <c r="G492" s="323" t="s">
        <v>536</v>
      </c>
      <c r="H492" s="322" t="s">
        <v>166</v>
      </c>
      <c r="I492" s="324">
        <v>0</v>
      </c>
      <c r="J492" s="325"/>
      <c r="K492" s="325"/>
      <c r="L492" s="325"/>
      <c r="M492" s="325"/>
      <c r="N492" s="325"/>
      <c r="O492" s="326"/>
      <c r="P492" s="326"/>
      <c r="Q492" s="326"/>
      <c r="R492" s="326"/>
      <c r="S492" s="327" t="s">
        <v>611</v>
      </c>
    </row>
    <row r="493" spans="1:19" ht="15" customHeight="1">
      <c r="A493" s="561">
        <f t="shared" si="7"/>
        <v>493</v>
      </c>
      <c r="B493" s="31">
        <v>104</v>
      </c>
      <c r="C493" s="249" t="s">
        <v>165</v>
      </c>
      <c r="D493" s="320" t="s">
        <v>180</v>
      </c>
      <c r="E493" s="321" t="s">
        <v>54</v>
      </c>
      <c r="F493" s="322" t="s">
        <v>54</v>
      </c>
      <c r="G493" s="323" t="s">
        <v>537</v>
      </c>
      <c r="H493" s="322" t="s">
        <v>109</v>
      </c>
      <c r="I493" s="324">
        <f>((6.5+2.8+32+23.8+74.8+15.5)*6.9-(32+2.8+6.5)*2.4-(2.8+6.5)*1.3-6.5*2.2-1.8*74.8-15.5*(3.6+2.4)+6*3+16.5*2.3+3.2*15+15*2)*1.3</f>
        <v>1108.9780000000001</v>
      </c>
      <c r="J493" s="325"/>
      <c r="K493" s="325">
        <v>526</v>
      </c>
      <c r="L493" s="325"/>
      <c r="M493" s="325">
        <v>6</v>
      </c>
      <c r="N493" s="325">
        <v>47</v>
      </c>
      <c r="O493" s="326"/>
      <c r="P493" s="326"/>
      <c r="Q493" s="326">
        <v>853</v>
      </c>
      <c r="R493" s="326"/>
      <c r="S493" s="327" t="s">
        <v>522</v>
      </c>
    </row>
    <row r="494" spans="1:19" ht="15" customHeight="1">
      <c r="A494" s="561">
        <f t="shared" si="7"/>
        <v>494</v>
      </c>
      <c r="B494" s="31">
        <v>104</v>
      </c>
      <c r="C494" s="249" t="s">
        <v>165</v>
      </c>
      <c r="D494" s="320" t="s">
        <v>180</v>
      </c>
      <c r="E494" s="321" t="s">
        <v>54</v>
      </c>
      <c r="F494" s="322" t="s">
        <v>374</v>
      </c>
      <c r="G494" s="323" t="s">
        <v>538</v>
      </c>
      <c r="H494" s="322" t="s">
        <v>169</v>
      </c>
      <c r="I494" s="324"/>
      <c r="J494" s="325"/>
      <c r="K494" s="325"/>
      <c r="L494" s="325"/>
      <c r="M494" s="325"/>
      <c r="N494" s="325"/>
      <c r="O494" s="326"/>
      <c r="P494" s="326"/>
      <c r="Q494" s="326"/>
      <c r="R494" s="326"/>
      <c r="S494" s="327" t="s">
        <v>1161</v>
      </c>
    </row>
    <row r="495" spans="1:19" ht="15" customHeight="1">
      <c r="A495" s="561">
        <f t="shared" si="7"/>
        <v>495</v>
      </c>
      <c r="B495" s="31">
        <v>104</v>
      </c>
      <c r="C495" s="249" t="s">
        <v>165</v>
      </c>
      <c r="D495" s="320" t="s">
        <v>180</v>
      </c>
      <c r="E495" s="321" t="s">
        <v>54</v>
      </c>
      <c r="F495" s="322" t="s">
        <v>376</v>
      </c>
      <c r="G495" s="323" t="s">
        <v>539</v>
      </c>
      <c r="H495" s="322" t="s">
        <v>1323</v>
      </c>
      <c r="I495" s="324">
        <v>0</v>
      </c>
      <c r="J495" s="325"/>
      <c r="K495" s="325"/>
      <c r="L495" s="325"/>
      <c r="M495" s="325"/>
      <c r="N495" s="325"/>
      <c r="O495" s="326"/>
      <c r="P495" s="326"/>
      <c r="Q495" s="326"/>
      <c r="R495" s="326"/>
      <c r="S495" s="327" t="s">
        <v>612</v>
      </c>
    </row>
    <row r="496" spans="1:19" ht="15" customHeight="1">
      <c r="A496" s="561">
        <f t="shared" si="7"/>
        <v>496</v>
      </c>
      <c r="B496" s="31">
        <v>104</v>
      </c>
      <c r="C496" s="249" t="s">
        <v>165</v>
      </c>
      <c r="D496" s="320" t="s">
        <v>180</v>
      </c>
      <c r="E496" s="321" t="s">
        <v>54</v>
      </c>
      <c r="F496" s="322" t="s">
        <v>378</v>
      </c>
      <c r="G496" s="323" t="s">
        <v>540</v>
      </c>
      <c r="H496" s="322" t="s">
        <v>166</v>
      </c>
      <c r="I496" s="324">
        <v>0</v>
      </c>
      <c r="J496" s="325"/>
      <c r="K496" s="325"/>
      <c r="L496" s="325"/>
      <c r="M496" s="325"/>
      <c r="N496" s="325"/>
      <c r="O496" s="326"/>
      <c r="P496" s="326"/>
      <c r="Q496" s="326"/>
      <c r="R496" s="326"/>
      <c r="S496" s="327" t="s">
        <v>613</v>
      </c>
    </row>
    <row r="497" spans="1:19" ht="15" customHeight="1">
      <c r="A497" s="561">
        <f t="shared" si="7"/>
        <v>497</v>
      </c>
      <c r="B497" s="31">
        <v>104</v>
      </c>
      <c r="C497" s="249" t="s">
        <v>165</v>
      </c>
      <c r="D497" s="320" t="s">
        <v>180</v>
      </c>
      <c r="E497" s="321" t="s">
        <v>54</v>
      </c>
      <c r="F497" s="322" t="s">
        <v>54</v>
      </c>
      <c r="G497" s="323" t="s">
        <v>541</v>
      </c>
      <c r="H497" s="322" t="s">
        <v>109</v>
      </c>
      <c r="I497" s="324">
        <f>(7.3*0.9+35.5*4.5+(2.5+4.5)*(2.6+6+2.4+14.5)+2.8*6+5.3*14.3+75*4.5+12.6*0.9)*1.3</f>
        <v>1022.1250000000002</v>
      </c>
      <c r="J497" s="325"/>
      <c r="K497" s="325">
        <v>504</v>
      </c>
      <c r="L497" s="325"/>
      <c r="M497" s="325">
        <v>6</v>
      </c>
      <c r="N497" s="325">
        <v>47</v>
      </c>
      <c r="O497" s="326"/>
      <c r="P497" s="326"/>
      <c r="Q497" s="326">
        <v>786</v>
      </c>
      <c r="R497" s="326"/>
      <c r="S497" s="327" t="s">
        <v>522</v>
      </c>
    </row>
    <row r="498" spans="1:19" ht="15" customHeight="1">
      <c r="A498" s="561">
        <f t="shared" si="7"/>
        <v>498</v>
      </c>
      <c r="B498" s="31">
        <v>104</v>
      </c>
      <c r="C498" s="249" t="s">
        <v>165</v>
      </c>
      <c r="D498" s="320" t="s">
        <v>180</v>
      </c>
      <c r="E498" s="321" t="s">
        <v>54</v>
      </c>
      <c r="F498" s="322" t="s">
        <v>386</v>
      </c>
      <c r="G498" s="323" t="s">
        <v>387</v>
      </c>
      <c r="H498" s="322" t="s">
        <v>299</v>
      </c>
      <c r="I498" s="324">
        <v>0</v>
      </c>
      <c r="J498" s="325"/>
      <c r="K498" s="325"/>
      <c r="L498" s="325"/>
      <c r="M498" s="325"/>
      <c r="N498" s="325"/>
      <c r="O498" s="326"/>
      <c r="P498" s="326"/>
      <c r="Q498" s="326"/>
      <c r="R498" s="326"/>
      <c r="S498" s="327" t="s">
        <v>614</v>
      </c>
    </row>
    <row r="499" spans="1:19" ht="15" customHeight="1">
      <c r="A499" s="561">
        <f t="shared" si="7"/>
        <v>499</v>
      </c>
      <c r="B499" s="31">
        <v>104</v>
      </c>
      <c r="C499" s="249" t="s">
        <v>165</v>
      </c>
      <c r="D499" s="320" t="s">
        <v>180</v>
      </c>
      <c r="E499" s="321" t="s">
        <v>54</v>
      </c>
      <c r="F499" s="322" t="s">
        <v>388</v>
      </c>
      <c r="G499" s="323" t="s">
        <v>389</v>
      </c>
      <c r="H499" s="322" t="s">
        <v>299</v>
      </c>
      <c r="I499" s="324">
        <v>0</v>
      </c>
      <c r="J499" s="325"/>
      <c r="K499" s="325"/>
      <c r="L499" s="325"/>
      <c r="M499" s="325"/>
      <c r="N499" s="325"/>
      <c r="O499" s="326"/>
      <c r="P499" s="326"/>
      <c r="Q499" s="326"/>
      <c r="R499" s="326"/>
      <c r="S499" s="327" t="s">
        <v>614</v>
      </c>
    </row>
    <row r="500" spans="1:19" ht="15" customHeight="1">
      <c r="A500" s="561">
        <f t="shared" si="7"/>
        <v>500</v>
      </c>
      <c r="B500" s="31">
        <v>104</v>
      </c>
      <c r="C500" s="249" t="s">
        <v>165</v>
      </c>
      <c r="D500" s="320" t="s">
        <v>180</v>
      </c>
      <c r="E500" s="321" t="s">
        <v>54</v>
      </c>
      <c r="F500" s="322" t="s">
        <v>175</v>
      </c>
      <c r="G500" s="323" t="s">
        <v>543</v>
      </c>
      <c r="H500" s="322" t="s">
        <v>19</v>
      </c>
      <c r="I500" s="324">
        <f>(2.35*2.3+1.8*1.35)*1.3</f>
        <v>10.185499999999999</v>
      </c>
      <c r="J500" s="325"/>
      <c r="K500" s="325"/>
      <c r="L500" s="325">
        <v>60</v>
      </c>
      <c r="M500" s="325"/>
      <c r="N500" s="325"/>
      <c r="O500" s="326"/>
      <c r="P500" s="326"/>
      <c r="Q500" s="326">
        <v>15</v>
      </c>
      <c r="R500" s="326"/>
      <c r="S500" s="327"/>
    </row>
    <row r="501" spans="1:19" ht="15" customHeight="1">
      <c r="A501" s="561">
        <f t="shared" si="7"/>
        <v>501</v>
      </c>
      <c r="B501" s="31">
        <v>104</v>
      </c>
      <c r="C501" s="249" t="s">
        <v>165</v>
      </c>
      <c r="D501" s="320" t="s">
        <v>180</v>
      </c>
      <c r="E501" s="321" t="s">
        <v>54</v>
      </c>
      <c r="F501" s="322" t="s">
        <v>544</v>
      </c>
      <c r="G501" s="323" t="s">
        <v>545</v>
      </c>
      <c r="H501" s="322" t="s">
        <v>166</v>
      </c>
      <c r="I501" s="324">
        <v>2.6</v>
      </c>
      <c r="J501" s="325"/>
      <c r="K501" s="325"/>
      <c r="L501" s="325"/>
      <c r="M501" s="325"/>
      <c r="N501" s="325"/>
      <c r="O501" s="326"/>
      <c r="P501" s="326"/>
      <c r="Q501" s="326"/>
      <c r="R501" s="326"/>
      <c r="S501" s="327"/>
    </row>
    <row r="502" spans="1:19" ht="15" customHeight="1">
      <c r="A502" s="561">
        <f t="shared" si="7"/>
        <v>502</v>
      </c>
      <c r="B502" s="31">
        <v>104</v>
      </c>
      <c r="C502" s="249" t="s">
        <v>165</v>
      </c>
      <c r="D502" s="320" t="s">
        <v>180</v>
      </c>
      <c r="E502" s="321" t="s">
        <v>54</v>
      </c>
      <c r="F502" s="322" t="s">
        <v>175</v>
      </c>
      <c r="G502" s="323" t="s">
        <v>546</v>
      </c>
      <c r="H502" s="322" t="s">
        <v>19</v>
      </c>
      <c r="I502" s="324">
        <v>19.5</v>
      </c>
      <c r="J502" s="325"/>
      <c r="K502" s="325"/>
      <c r="L502" s="325">
        <v>60</v>
      </c>
      <c r="M502" s="325"/>
      <c r="N502" s="325"/>
      <c r="O502" s="326"/>
      <c r="P502" s="326"/>
      <c r="Q502" s="326">
        <v>15</v>
      </c>
      <c r="R502" s="326"/>
      <c r="S502" s="327"/>
    </row>
    <row r="503" spans="1:19" ht="15" customHeight="1">
      <c r="A503" s="561">
        <f t="shared" si="7"/>
        <v>503</v>
      </c>
      <c r="B503" s="31">
        <v>104</v>
      </c>
      <c r="C503" s="249" t="s">
        <v>165</v>
      </c>
      <c r="D503" s="320" t="s">
        <v>180</v>
      </c>
      <c r="E503" s="321" t="s">
        <v>54</v>
      </c>
      <c r="F503" s="322" t="s">
        <v>547</v>
      </c>
      <c r="G503" s="323" t="s">
        <v>548</v>
      </c>
      <c r="H503" s="322" t="s">
        <v>166</v>
      </c>
      <c r="I503" s="324">
        <v>2.6</v>
      </c>
      <c r="J503" s="325"/>
      <c r="K503" s="325"/>
      <c r="L503" s="325"/>
      <c r="M503" s="325"/>
      <c r="N503" s="325"/>
      <c r="O503" s="326"/>
      <c r="P503" s="326"/>
      <c r="Q503" s="326"/>
      <c r="R503" s="326"/>
      <c r="S503" s="327"/>
    </row>
    <row r="504" spans="1:19" ht="15" customHeight="1">
      <c r="A504" s="561">
        <f t="shared" si="7"/>
        <v>504</v>
      </c>
      <c r="B504" s="31">
        <v>104</v>
      </c>
      <c r="C504" s="249" t="s">
        <v>165</v>
      </c>
      <c r="D504" s="320" t="s">
        <v>180</v>
      </c>
      <c r="E504" s="321" t="s">
        <v>54</v>
      </c>
      <c r="F504" s="322" t="s">
        <v>167</v>
      </c>
      <c r="G504" s="323" t="s">
        <v>549</v>
      </c>
      <c r="H504" s="322" t="s">
        <v>44</v>
      </c>
      <c r="I504" s="324">
        <f>(+(2.75+3.95)/2*7.15)*1.3</f>
        <v>31.138250000000003</v>
      </c>
      <c r="J504" s="325"/>
      <c r="K504" s="325"/>
      <c r="L504" s="325">
        <v>69</v>
      </c>
      <c r="M504" s="325"/>
      <c r="N504" s="325"/>
      <c r="O504" s="326"/>
      <c r="P504" s="326"/>
      <c r="Q504" s="326">
        <v>24</v>
      </c>
      <c r="R504" s="326"/>
      <c r="S504" s="327" t="s">
        <v>522</v>
      </c>
    </row>
    <row r="505" spans="1:19" ht="15" customHeight="1">
      <c r="A505" s="561">
        <f t="shared" si="7"/>
        <v>505</v>
      </c>
      <c r="B505" s="31">
        <v>104</v>
      </c>
      <c r="C505" s="249" t="s">
        <v>165</v>
      </c>
      <c r="D505" s="320" t="s">
        <v>180</v>
      </c>
      <c r="E505" s="321" t="s">
        <v>54</v>
      </c>
      <c r="F505" s="322" t="s">
        <v>167</v>
      </c>
      <c r="G505" s="323" t="s">
        <v>551</v>
      </c>
      <c r="H505" s="322" t="s">
        <v>608</v>
      </c>
      <c r="I505" s="324">
        <f>(2*4+22*2.5+6.75*3.35+2.35*2.65)*1.3</f>
        <v>119.39200000000001</v>
      </c>
      <c r="J505" s="325"/>
      <c r="K505" s="325"/>
      <c r="L505" s="325">
        <v>244</v>
      </c>
      <c r="M505" s="325"/>
      <c r="N505" s="325"/>
      <c r="O505" s="326"/>
      <c r="P505" s="326"/>
      <c r="Q505" s="326">
        <v>92</v>
      </c>
      <c r="R505" s="326"/>
      <c r="S505" s="327"/>
    </row>
    <row r="506" spans="1:19" ht="15" customHeight="1">
      <c r="A506" s="561">
        <f t="shared" si="7"/>
        <v>506</v>
      </c>
      <c r="B506" s="31">
        <v>104</v>
      </c>
      <c r="C506" s="249" t="s">
        <v>165</v>
      </c>
      <c r="D506" s="320" t="s">
        <v>180</v>
      </c>
      <c r="E506" s="321" t="s">
        <v>54</v>
      </c>
      <c r="F506" s="322" t="s">
        <v>175</v>
      </c>
      <c r="G506" s="323" t="s">
        <v>552</v>
      </c>
      <c r="H506" s="322" t="s">
        <v>19</v>
      </c>
      <c r="I506" s="324">
        <v>33.800000000000004</v>
      </c>
      <c r="J506" s="325"/>
      <c r="K506" s="325"/>
      <c r="L506" s="325"/>
      <c r="M506" s="325"/>
      <c r="N506" s="325"/>
      <c r="O506" s="326"/>
      <c r="P506" s="326"/>
      <c r="Q506" s="326"/>
      <c r="R506" s="326"/>
      <c r="S506" s="327"/>
    </row>
    <row r="507" spans="1:19" ht="15" customHeight="1">
      <c r="A507" s="561">
        <f t="shared" si="7"/>
        <v>507</v>
      </c>
      <c r="B507" s="31">
        <v>104</v>
      </c>
      <c r="C507" s="249" t="s">
        <v>165</v>
      </c>
      <c r="D507" s="320" t="s">
        <v>180</v>
      </c>
      <c r="E507" s="321" t="s">
        <v>54</v>
      </c>
      <c r="F507" s="322" t="s">
        <v>553</v>
      </c>
      <c r="G507" s="323" t="s">
        <v>554</v>
      </c>
      <c r="H507" s="322" t="s">
        <v>166</v>
      </c>
      <c r="I507" s="324">
        <v>0</v>
      </c>
      <c r="J507" s="325"/>
      <c r="K507" s="325"/>
      <c r="L507" s="325"/>
      <c r="M507" s="325"/>
      <c r="N507" s="325"/>
      <c r="O507" s="326"/>
      <c r="P507" s="326"/>
      <c r="Q507" s="326"/>
      <c r="R507" s="326"/>
      <c r="S507" s="327" t="s">
        <v>615</v>
      </c>
    </row>
    <row r="508" spans="1:19" ht="15" customHeight="1">
      <c r="A508" s="561">
        <f t="shared" si="7"/>
        <v>508</v>
      </c>
      <c r="B508" s="31">
        <v>104</v>
      </c>
      <c r="C508" s="249" t="s">
        <v>165</v>
      </c>
      <c r="D508" s="320" t="s">
        <v>180</v>
      </c>
      <c r="E508" s="321" t="s">
        <v>54</v>
      </c>
      <c r="F508" s="322" t="s">
        <v>553</v>
      </c>
      <c r="G508" s="323" t="s">
        <v>555</v>
      </c>
      <c r="H508" s="322" t="s">
        <v>166</v>
      </c>
      <c r="I508" s="324">
        <v>0</v>
      </c>
      <c r="J508" s="325"/>
      <c r="K508" s="325"/>
      <c r="L508" s="325"/>
      <c r="M508" s="325"/>
      <c r="N508" s="325"/>
      <c r="O508" s="326"/>
      <c r="P508" s="326"/>
      <c r="Q508" s="326"/>
      <c r="R508" s="326"/>
      <c r="S508" s="327" t="s">
        <v>616</v>
      </c>
    </row>
    <row r="509" spans="1:19" ht="15" customHeight="1">
      <c r="A509" s="561">
        <f t="shared" si="7"/>
        <v>509</v>
      </c>
      <c r="B509" s="31">
        <v>104</v>
      </c>
      <c r="C509" s="249" t="s">
        <v>165</v>
      </c>
      <c r="D509" s="320" t="s">
        <v>180</v>
      </c>
      <c r="E509" s="321" t="s">
        <v>54</v>
      </c>
      <c r="F509" s="322" t="s">
        <v>556</v>
      </c>
      <c r="G509" s="323" t="s">
        <v>557</v>
      </c>
      <c r="H509" s="322" t="s">
        <v>166</v>
      </c>
      <c r="I509" s="324">
        <v>2.6</v>
      </c>
      <c r="J509" s="325"/>
      <c r="K509" s="325"/>
      <c r="L509" s="325"/>
      <c r="M509" s="325"/>
      <c r="N509" s="325"/>
      <c r="O509" s="326"/>
      <c r="P509" s="326"/>
      <c r="Q509" s="326"/>
      <c r="R509" s="326"/>
      <c r="S509" s="327"/>
    </row>
    <row r="510" spans="1:19" ht="15" customHeight="1">
      <c r="A510" s="561">
        <f t="shared" si="7"/>
        <v>510</v>
      </c>
      <c r="B510" s="31">
        <v>104</v>
      </c>
      <c r="C510" s="249" t="s">
        <v>165</v>
      </c>
      <c r="D510" s="320" t="s">
        <v>180</v>
      </c>
      <c r="E510" s="321" t="s">
        <v>54</v>
      </c>
      <c r="F510" s="322" t="s">
        <v>167</v>
      </c>
      <c r="G510" s="323" t="s">
        <v>558</v>
      </c>
      <c r="H510" s="322" t="s">
        <v>19</v>
      </c>
      <c r="I510" s="324">
        <v>13</v>
      </c>
      <c r="J510" s="325"/>
      <c r="K510" s="325"/>
      <c r="L510" s="325">
        <v>50</v>
      </c>
      <c r="M510" s="325"/>
      <c r="N510" s="325"/>
      <c r="O510" s="326"/>
      <c r="P510" s="326"/>
      <c r="Q510" s="326"/>
      <c r="R510" s="326">
        <v>7</v>
      </c>
      <c r="S510" s="327" t="s">
        <v>617</v>
      </c>
    </row>
    <row r="511" spans="1:19" ht="15" customHeight="1">
      <c r="A511" s="561">
        <f t="shared" si="7"/>
        <v>511</v>
      </c>
      <c r="B511" s="31">
        <v>104</v>
      </c>
      <c r="C511" s="249" t="s">
        <v>165</v>
      </c>
      <c r="D511" s="320" t="s">
        <v>180</v>
      </c>
      <c r="E511" s="321" t="s">
        <v>54</v>
      </c>
      <c r="F511" s="322" t="s">
        <v>167</v>
      </c>
      <c r="G511" s="323" t="s">
        <v>559</v>
      </c>
      <c r="H511" s="322" t="s">
        <v>44</v>
      </c>
      <c r="I511" s="324">
        <v>32.5</v>
      </c>
      <c r="J511" s="325"/>
      <c r="K511" s="325"/>
      <c r="L511" s="325">
        <f>(4.25+9+3.15+0.2+9+1.15)*3.25</f>
        <v>86.937499999999986</v>
      </c>
      <c r="M511" s="325"/>
      <c r="N511" s="325"/>
      <c r="O511" s="326"/>
      <c r="P511" s="326"/>
      <c r="Q511" s="326">
        <v>25</v>
      </c>
      <c r="R511" s="326"/>
      <c r="S511" s="327"/>
    </row>
    <row r="512" spans="1:19" ht="15" customHeight="1">
      <c r="A512" s="561">
        <f t="shared" si="7"/>
        <v>512</v>
      </c>
      <c r="B512" s="31">
        <v>104</v>
      </c>
      <c r="C512" s="249" t="s">
        <v>165</v>
      </c>
      <c r="D512" s="320" t="s">
        <v>180</v>
      </c>
      <c r="E512" s="321" t="s">
        <v>54</v>
      </c>
      <c r="F512" s="322" t="s">
        <v>560</v>
      </c>
      <c r="G512" s="323" t="s">
        <v>561</v>
      </c>
      <c r="H512" s="322" t="s">
        <v>166</v>
      </c>
      <c r="I512" s="324">
        <v>3.9000000000000004</v>
      </c>
      <c r="J512" s="325"/>
      <c r="K512" s="325"/>
      <c r="L512" s="325"/>
      <c r="M512" s="325"/>
      <c r="N512" s="325"/>
      <c r="O512" s="326"/>
      <c r="P512" s="326"/>
      <c r="Q512" s="326"/>
      <c r="R512" s="326"/>
      <c r="S512" s="327"/>
    </row>
    <row r="513" spans="1:19" ht="15" customHeight="1">
      <c r="A513" s="561">
        <f t="shared" si="7"/>
        <v>513</v>
      </c>
      <c r="B513" s="31">
        <v>104</v>
      </c>
      <c r="C513" s="249" t="s">
        <v>165</v>
      </c>
      <c r="D513" s="320" t="s">
        <v>180</v>
      </c>
      <c r="E513" s="321" t="s">
        <v>54</v>
      </c>
      <c r="F513" s="322" t="s">
        <v>562</v>
      </c>
      <c r="G513" s="323" t="s">
        <v>563</v>
      </c>
      <c r="H513" s="322" t="s">
        <v>166</v>
      </c>
      <c r="I513" s="324">
        <v>0</v>
      </c>
      <c r="J513" s="325"/>
      <c r="K513" s="325"/>
      <c r="L513" s="325"/>
      <c r="M513" s="325"/>
      <c r="N513" s="325"/>
      <c r="O513" s="326"/>
      <c r="P513" s="326"/>
      <c r="Q513" s="326"/>
      <c r="R513" s="326"/>
      <c r="S513" s="327" t="s">
        <v>618</v>
      </c>
    </row>
    <row r="514" spans="1:19" ht="15" customHeight="1">
      <c r="A514" s="561">
        <f t="shared" si="7"/>
        <v>514</v>
      </c>
      <c r="B514" s="31">
        <v>104</v>
      </c>
      <c r="C514" s="249" t="s">
        <v>165</v>
      </c>
      <c r="D514" s="320" t="s">
        <v>180</v>
      </c>
      <c r="E514" s="321" t="s">
        <v>54</v>
      </c>
      <c r="F514" s="322" t="s">
        <v>167</v>
      </c>
      <c r="G514" s="323" t="s">
        <v>564</v>
      </c>
      <c r="H514" s="322" t="s">
        <v>520</v>
      </c>
      <c r="I514" s="324">
        <v>74.100000000000009</v>
      </c>
      <c r="J514" s="325"/>
      <c r="K514" s="325"/>
      <c r="L514" s="325">
        <v>114</v>
      </c>
      <c r="M514" s="325"/>
      <c r="N514" s="325"/>
      <c r="O514" s="326"/>
      <c r="P514" s="326"/>
      <c r="Q514" s="326">
        <v>57</v>
      </c>
      <c r="R514" s="326"/>
      <c r="S514" s="327" t="s">
        <v>522</v>
      </c>
    </row>
    <row r="515" spans="1:19" ht="15" customHeight="1">
      <c r="A515" s="561">
        <f t="shared" ref="A515:A578" si="8">1+A514</f>
        <v>515</v>
      </c>
      <c r="B515" s="31">
        <v>104</v>
      </c>
      <c r="C515" s="249" t="s">
        <v>165</v>
      </c>
      <c r="D515" s="320" t="s">
        <v>180</v>
      </c>
      <c r="E515" s="321" t="s">
        <v>54</v>
      </c>
      <c r="F515" s="322" t="s">
        <v>175</v>
      </c>
      <c r="G515" s="323" t="s">
        <v>565</v>
      </c>
      <c r="H515" s="322" t="s">
        <v>19</v>
      </c>
      <c r="I515" s="324">
        <f>(2.9*8-5.3*1.55)*1.3</f>
        <v>19.480499999999999</v>
      </c>
      <c r="J515" s="325"/>
      <c r="K515" s="325"/>
      <c r="L515" s="325">
        <v>81</v>
      </c>
      <c r="M515" s="325"/>
      <c r="N515" s="325"/>
      <c r="O515" s="326"/>
      <c r="P515" s="326">
        <v>15</v>
      </c>
      <c r="Q515" s="326"/>
      <c r="R515" s="326"/>
      <c r="S515" s="327"/>
    </row>
    <row r="516" spans="1:19" ht="15" customHeight="1">
      <c r="A516" s="561">
        <f t="shared" si="8"/>
        <v>516</v>
      </c>
      <c r="B516" s="31">
        <v>104</v>
      </c>
      <c r="C516" s="249" t="s">
        <v>165</v>
      </c>
      <c r="D516" s="320" t="s">
        <v>180</v>
      </c>
      <c r="E516" s="321" t="s">
        <v>54</v>
      </c>
      <c r="F516" s="322" t="s">
        <v>544</v>
      </c>
      <c r="G516" s="323" t="s">
        <v>566</v>
      </c>
      <c r="H516" s="322" t="s">
        <v>166</v>
      </c>
      <c r="I516" s="324">
        <v>2.6</v>
      </c>
      <c r="J516" s="325"/>
      <c r="K516" s="325"/>
      <c r="L516" s="325"/>
      <c r="M516" s="325"/>
      <c r="N516" s="325"/>
      <c r="O516" s="326"/>
      <c r="P516" s="326"/>
      <c r="Q516" s="326"/>
      <c r="R516" s="326"/>
      <c r="S516" s="327"/>
    </row>
    <row r="517" spans="1:19" ht="15" customHeight="1">
      <c r="A517" s="561">
        <f t="shared" si="8"/>
        <v>517</v>
      </c>
      <c r="B517" s="31">
        <v>104</v>
      </c>
      <c r="C517" s="249" t="s">
        <v>165</v>
      </c>
      <c r="D517" s="320" t="s">
        <v>180</v>
      </c>
      <c r="E517" s="321" t="s">
        <v>54</v>
      </c>
      <c r="F517" s="322" t="s">
        <v>544</v>
      </c>
      <c r="G517" s="323" t="s">
        <v>567</v>
      </c>
      <c r="H517" s="322" t="s">
        <v>166</v>
      </c>
      <c r="I517" s="324">
        <v>1.3</v>
      </c>
      <c r="J517" s="325"/>
      <c r="K517" s="325"/>
      <c r="L517" s="325"/>
      <c r="M517" s="325"/>
      <c r="N517" s="325"/>
      <c r="O517" s="326"/>
      <c r="P517" s="326"/>
      <c r="Q517" s="326"/>
      <c r="R517" s="326"/>
      <c r="S517" s="327"/>
    </row>
    <row r="518" spans="1:19" ht="15" customHeight="1">
      <c r="A518" s="561">
        <f t="shared" si="8"/>
        <v>518</v>
      </c>
      <c r="B518" s="31">
        <v>104</v>
      </c>
      <c r="C518" s="249" t="s">
        <v>165</v>
      </c>
      <c r="D518" s="320" t="s">
        <v>180</v>
      </c>
      <c r="E518" s="321" t="s">
        <v>54</v>
      </c>
      <c r="F518" s="322" t="s">
        <v>544</v>
      </c>
      <c r="G518" s="323" t="s">
        <v>568</v>
      </c>
      <c r="H518" s="322" t="s">
        <v>166</v>
      </c>
      <c r="I518" s="324">
        <v>3.9000000000000004</v>
      </c>
      <c r="J518" s="325"/>
      <c r="K518" s="325"/>
      <c r="L518" s="325"/>
      <c r="M518" s="325"/>
      <c r="N518" s="325"/>
      <c r="O518" s="326"/>
      <c r="P518" s="326"/>
      <c r="Q518" s="326"/>
      <c r="R518" s="326"/>
      <c r="S518" s="327"/>
    </row>
    <row r="519" spans="1:19" ht="15" customHeight="1">
      <c r="A519" s="561">
        <f t="shared" si="8"/>
        <v>519</v>
      </c>
      <c r="B519" s="31">
        <v>104</v>
      </c>
      <c r="C519" s="249" t="s">
        <v>165</v>
      </c>
      <c r="D519" s="320" t="s">
        <v>180</v>
      </c>
      <c r="E519" s="321" t="s">
        <v>54</v>
      </c>
      <c r="F519" s="322" t="s">
        <v>175</v>
      </c>
      <c r="G519" s="323" t="s">
        <v>569</v>
      </c>
      <c r="H519" s="322" t="s">
        <v>19</v>
      </c>
      <c r="I519" s="324">
        <v>5.2</v>
      </c>
      <c r="J519" s="325"/>
      <c r="K519" s="325"/>
      <c r="L519" s="325">
        <v>24</v>
      </c>
      <c r="M519" s="325"/>
      <c r="N519" s="325"/>
      <c r="O519" s="326"/>
      <c r="P519" s="326"/>
      <c r="Q519" s="326"/>
      <c r="R519" s="326"/>
      <c r="S519" s="327"/>
    </row>
    <row r="520" spans="1:19" ht="15" customHeight="1">
      <c r="A520" s="561">
        <f t="shared" si="8"/>
        <v>520</v>
      </c>
      <c r="B520" s="31">
        <v>104</v>
      </c>
      <c r="C520" s="249" t="s">
        <v>165</v>
      </c>
      <c r="D520" s="320" t="s">
        <v>180</v>
      </c>
      <c r="E520" s="321" t="s">
        <v>54</v>
      </c>
      <c r="F520" s="322" t="s">
        <v>167</v>
      </c>
      <c r="G520" s="323" t="s">
        <v>570</v>
      </c>
      <c r="H520" s="322" t="s">
        <v>44</v>
      </c>
      <c r="I520" s="324">
        <f>(2.35*6.9)*1.3</f>
        <v>21.079499999999999</v>
      </c>
      <c r="J520" s="325"/>
      <c r="K520" s="325"/>
      <c r="L520" s="325">
        <f>6.9*2*3.2+2*2.35*2</f>
        <v>53.56</v>
      </c>
      <c r="M520" s="325">
        <v>3</v>
      </c>
      <c r="N520" s="325"/>
      <c r="O520" s="326"/>
      <c r="P520" s="326"/>
      <c r="Q520" s="326">
        <v>16</v>
      </c>
      <c r="R520" s="326"/>
      <c r="S520" s="327" t="s">
        <v>522</v>
      </c>
    </row>
    <row r="521" spans="1:19" ht="15" customHeight="1">
      <c r="A521" s="561">
        <f t="shared" si="8"/>
        <v>521</v>
      </c>
      <c r="B521" s="31">
        <v>104</v>
      </c>
      <c r="C521" s="249" t="s">
        <v>165</v>
      </c>
      <c r="D521" s="320" t="s">
        <v>180</v>
      </c>
      <c r="E521" s="321" t="s">
        <v>54</v>
      </c>
      <c r="F521" s="322" t="s">
        <v>167</v>
      </c>
      <c r="G521" s="323" t="s">
        <v>571</v>
      </c>
      <c r="H521" s="322" t="s">
        <v>44</v>
      </c>
      <c r="I521" s="324">
        <v>3.25</v>
      </c>
      <c r="J521" s="325"/>
      <c r="K521" s="325"/>
      <c r="L521" s="325">
        <f>2*2*3.25+1.2*3.25</f>
        <v>16.899999999999999</v>
      </c>
      <c r="M521" s="325"/>
      <c r="N521" s="325"/>
      <c r="O521" s="326"/>
      <c r="P521" s="326">
        <v>3</v>
      </c>
      <c r="Q521" s="326"/>
      <c r="R521" s="326"/>
      <c r="S521" s="327"/>
    </row>
    <row r="522" spans="1:19" ht="15" customHeight="1">
      <c r="A522" s="561">
        <f t="shared" si="8"/>
        <v>522</v>
      </c>
      <c r="B522" s="31">
        <v>104</v>
      </c>
      <c r="C522" s="249" t="s">
        <v>165</v>
      </c>
      <c r="D522" s="320" t="s">
        <v>180</v>
      </c>
      <c r="E522" s="321" t="s">
        <v>54</v>
      </c>
      <c r="F522" s="322" t="s">
        <v>413</v>
      </c>
      <c r="G522" s="323" t="s">
        <v>572</v>
      </c>
      <c r="H522" s="322" t="s">
        <v>166</v>
      </c>
      <c r="I522" s="324">
        <v>0</v>
      </c>
      <c r="J522" s="325"/>
      <c r="K522" s="325"/>
      <c r="L522" s="325"/>
      <c r="M522" s="325"/>
      <c r="N522" s="325"/>
      <c r="O522" s="326"/>
      <c r="P522" s="326"/>
      <c r="Q522" s="326"/>
      <c r="R522" s="326"/>
      <c r="S522" s="327" t="s">
        <v>619</v>
      </c>
    </row>
    <row r="523" spans="1:19" ht="15" customHeight="1">
      <c r="A523" s="561">
        <f t="shared" si="8"/>
        <v>523</v>
      </c>
      <c r="B523" s="31">
        <v>104</v>
      </c>
      <c r="C523" s="249" t="s">
        <v>165</v>
      </c>
      <c r="D523" s="320" t="s">
        <v>180</v>
      </c>
      <c r="E523" s="321" t="s">
        <v>54</v>
      </c>
      <c r="F523" s="322" t="s">
        <v>413</v>
      </c>
      <c r="G523" s="323" t="s">
        <v>573</v>
      </c>
      <c r="H523" s="322" t="s">
        <v>166</v>
      </c>
      <c r="I523" s="324">
        <v>0</v>
      </c>
      <c r="J523" s="325"/>
      <c r="K523" s="325"/>
      <c r="L523" s="325"/>
      <c r="M523" s="325"/>
      <c r="N523" s="325"/>
      <c r="O523" s="326"/>
      <c r="P523" s="326"/>
      <c r="Q523" s="326"/>
      <c r="R523" s="326"/>
      <c r="S523" s="327" t="s">
        <v>620</v>
      </c>
    </row>
    <row r="524" spans="1:19" ht="15" customHeight="1">
      <c r="A524" s="561">
        <f t="shared" si="8"/>
        <v>524</v>
      </c>
      <c r="B524" s="31">
        <v>104</v>
      </c>
      <c r="C524" s="249" t="s">
        <v>165</v>
      </c>
      <c r="D524" s="320" t="s">
        <v>180</v>
      </c>
      <c r="E524" s="321" t="s">
        <v>54</v>
      </c>
      <c r="F524" s="322" t="s">
        <v>167</v>
      </c>
      <c r="G524" s="323" t="s">
        <v>574</v>
      </c>
      <c r="H524" s="322" t="s">
        <v>44</v>
      </c>
      <c r="I524" s="324">
        <v>2.6</v>
      </c>
      <c r="J524" s="325"/>
      <c r="K524" s="325"/>
      <c r="L524" s="325">
        <v>15</v>
      </c>
      <c r="M524" s="325"/>
      <c r="N524" s="325"/>
      <c r="O524" s="326"/>
      <c r="P524" s="326">
        <v>2</v>
      </c>
      <c r="Q524" s="326"/>
      <c r="R524" s="326"/>
      <c r="S524" s="327"/>
    </row>
    <row r="525" spans="1:19" ht="15" customHeight="1">
      <c r="A525" s="561">
        <f t="shared" si="8"/>
        <v>525</v>
      </c>
      <c r="B525" s="31">
        <v>104</v>
      </c>
      <c r="C525" s="249" t="s">
        <v>165</v>
      </c>
      <c r="D525" s="320" t="s">
        <v>180</v>
      </c>
      <c r="E525" s="321" t="s">
        <v>54</v>
      </c>
      <c r="F525" s="322" t="s">
        <v>167</v>
      </c>
      <c r="G525" s="323" t="s">
        <v>575</v>
      </c>
      <c r="H525" s="322" t="s">
        <v>44</v>
      </c>
      <c r="I525" s="324">
        <f>(2.3*6.7)*1.3</f>
        <v>20.032999999999998</v>
      </c>
      <c r="J525" s="325"/>
      <c r="K525" s="325"/>
      <c r="L525" s="325">
        <f>(2.3+6.7)*2*3.2-1.3*3.2</f>
        <v>53.44</v>
      </c>
      <c r="M525" s="325">
        <f>1.3*3.2</f>
        <v>4.16</v>
      </c>
      <c r="N525" s="325"/>
      <c r="O525" s="326"/>
      <c r="P525" s="326"/>
      <c r="Q525" s="326">
        <v>15</v>
      </c>
      <c r="R525" s="326"/>
      <c r="S525" s="327" t="s">
        <v>522</v>
      </c>
    </row>
    <row r="526" spans="1:19" ht="15" customHeight="1">
      <c r="A526" s="561">
        <f t="shared" si="8"/>
        <v>526</v>
      </c>
      <c r="B526" s="31">
        <v>104</v>
      </c>
      <c r="C526" s="249" t="s">
        <v>165</v>
      </c>
      <c r="D526" s="320" t="s">
        <v>180</v>
      </c>
      <c r="E526" s="321" t="s">
        <v>54</v>
      </c>
      <c r="F526" s="322" t="s">
        <v>175</v>
      </c>
      <c r="G526" s="323" t="s">
        <v>576</v>
      </c>
      <c r="H526" s="322" t="s">
        <v>19</v>
      </c>
      <c r="I526" s="324">
        <v>5.2</v>
      </c>
      <c r="J526" s="325"/>
      <c r="K526" s="325"/>
      <c r="L526" s="325">
        <v>24</v>
      </c>
      <c r="M526" s="325"/>
      <c r="N526" s="325"/>
      <c r="O526" s="326"/>
      <c r="P526" s="326"/>
      <c r="Q526" s="326"/>
      <c r="R526" s="326"/>
      <c r="S526" s="327"/>
    </row>
    <row r="527" spans="1:19" ht="15" customHeight="1">
      <c r="A527" s="561">
        <f t="shared" si="8"/>
        <v>527</v>
      </c>
      <c r="B527" s="31">
        <v>104</v>
      </c>
      <c r="C527" s="249" t="s">
        <v>165</v>
      </c>
      <c r="D527" s="320" t="s">
        <v>180</v>
      </c>
      <c r="E527" s="321" t="s">
        <v>54</v>
      </c>
      <c r="F527" s="322" t="s">
        <v>577</v>
      </c>
      <c r="G527" s="323" t="s">
        <v>578</v>
      </c>
      <c r="H527" s="322" t="s">
        <v>609</v>
      </c>
      <c r="I527" s="324">
        <f>(7.3*1.85)*1.3</f>
        <v>17.556500000000003</v>
      </c>
      <c r="J527" s="325"/>
      <c r="K527" s="325"/>
      <c r="L527" s="325">
        <v>62</v>
      </c>
      <c r="M527" s="325"/>
      <c r="N527" s="325"/>
      <c r="O527" s="326"/>
      <c r="P527" s="326">
        <v>14</v>
      </c>
      <c r="Q527" s="326"/>
      <c r="R527" s="326"/>
      <c r="S527" s="327"/>
    </row>
    <row r="528" spans="1:19" ht="15" customHeight="1">
      <c r="A528" s="561">
        <f t="shared" si="8"/>
        <v>528</v>
      </c>
      <c r="B528" s="31">
        <v>104</v>
      </c>
      <c r="C528" s="249" t="s">
        <v>165</v>
      </c>
      <c r="D528" s="320" t="s">
        <v>180</v>
      </c>
      <c r="E528" s="321" t="s">
        <v>54</v>
      </c>
      <c r="F528" s="322" t="s">
        <v>177</v>
      </c>
      <c r="G528" s="323" t="s">
        <v>579</v>
      </c>
      <c r="H528" s="322" t="s">
        <v>19</v>
      </c>
      <c r="I528" s="324">
        <v>2.6</v>
      </c>
      <c r="J528" s="325">
        <v>2</v>
      </c>
      <c r="K528" s="325"/>
      <c r="L528" s="325">
        <v>11</v>
      </c>
      <c r="M528" s="325"/>
      <c r="N528" s="325"/>
      <c r="O528" s="326"/>
      <c r="P528" s="326"/>
      <c r="Q528" s="326">
        <v>2</v>
      </c>
      <c r="R528" s="326"/>
      <c r="S528" s="327"/>
    </row>
    <row r="529" spans="1:19" ht="15" customHeight="1">
      <c r="A529" s="561">
        <f t="shared" si="8"/>
        <v>529</v>
      </c>
      <c r="B529" s="31">
        <v>104</v>
      </c>
      <c r="C529" s="249" t="s">
        <v>165</v>
      </c>
      <c r="D529" s="320" t="s">
        <v>180</v>
      </c>
      <c r="E529" s="321" t="s">
        <v>54</v>
      </c>
      <c r="F529" s="322" t="s">
        <v>177</v>
      </c>
      <c r="G529" s="323" t="s">
        <v>580</v>
      </c>
      <c r="H529" s="322" t="s">
        <v>109</v>
      </c>
      <c r="I529" s="324">
        <v>11.700000000000001</v>
      </c>
      <c r="J529" s="325"/>
      <c r="K529" s="325">
        <v>29</v>
      </c>
      <c r="L529" s="325">
        <v>19</v>
      </c>
      <c r="M529" s="325"/>
      <c r="N529" s="325"/>
      <c r="O529" s="326"/>
      <c r="P529" s="326"/>
      <c r="Q529" s="326">
        <v>9</v>
      </c>
      <c r="R529" s="326"/>
      <c r="S529" s="327" t="s">
        <v>522</v>
      </c>
    </row>
    <row r="530" spans="1:19" ht="15" customHeight="1">
      <c r="A530" s="561">
        <f t="shared" si="8"/>
        <v>530</v>
      </c>
      <c r="B530" s="31">
        <v>104</v>
      </c>
      <c r="C530" s="249" t="s">
        <v>165</v>
      </c>
      <c r="D530" s="320" t="s">
        <v>180</v>
      </c>
      <c r="E530" s="321" t="s">
        <v>54</v>
      </c>
      <c r="F530" s="322" t="s">
        <v>177</v>
      </c>
      <c r="G530" s="323" t="s">
        <v>581</v>
      </c>
      <c r="H530" s="322" t="s">
        <v>44</v>
      </c>
      <c r="I530" s="324">
        <f>(4.05*(2.95+2.3)/2)*1.3</f>
        <v>13.820625</v>
      </c>
      <c r="J530" s="325"/>
      <c r="K530" s="325">
        <v>43</v>
      </c>
      <c r="L530" s="325"/>
      <c r="M530" s="325"/>
      <c r="N530" s="325"/>
      <c r="O530" s="326"/>
      <c r="P530" s="326"/>
      <c r="Q530" s="326">
        <v>11</v>
      </c>
      <c r="R530" s="326"/>
      <c r="S530" s="327"/>
    </row>
    <row r="531" spans="1:19" ht="15" customHeight="1">
      <c r="A531" s="561">
        <f t="shared" si="8"/>
        <v>531</v>
      </c>
      <c r="B531" s="31">
        <v>104</v>
      </c>
      <c r="C531" s="249" t="s">
        <v>165</v>
      </c>
      <c r="D531" s="320" t="s">
        <v>180</v>
      </c>
      <c r="E531" s="321" t="s">
        <v>54</v>
      </c>
      <c r="F531" s="322" t="s">
        <v>177</v>
      </c>
      <c r="G531" s="323" t="s">
        <v>582</v>
      </c>
      <c r="H531" s="322" t="s">
        <v>44</v>
      </c>
      <c r="I531" s="324">
        <f>(+(1.15+1.1+2.5)*(3.85+3.1)/2-0.85*1.1)*1.3</f>
        <v>20.242625</v>
      </c>
      <c r="J531" s="325"/>
      <c r="K531" s="325">
        <v>59</v>
      </c>
      <c r="L531" s="325"/>
      <c r="M531" s="325"/>
      <c r="N531" s="325"/>
      <c r="O531" s="326"/>
      <c r="P531" s="326"/>
      <c r="Q531" s="326">
        <v>16</v>
      </c>
      <c r="R531" s="326"/>
      <c r="S531" s="327"/>
    </row>
    <row r="532" spans="1:19" ht="15" customHeight="1">
      <c r="A532" s="561">
        <f t="shared" si="8"/>
        <v>532</v>
      </c>
      <c r="B532" s="31">
        <v>104</v>
      </c>
      <c r="C532" s="249" t="s">
        <v>165</v>
      </c>
      <c r="D532" s="320" t="s">
        <v>180</v>
      </c>
      <c r="E532" s="321" t="s">
        <v>54</v>
      </c>
      <c r="F532" s="322" t="s">
        <v>177</v>
      </c>
      <c r="G532" s="323" t="s">
        <v>583</v>
      </c>
      <c r="H532" s="322" t="s">
        <v>44</v>
      </c>
      <c r="I532" s="324">
        <f>(4.25*2.15)*1.3</f>
        <v>11.87875</v>
      </c>
      <c r="J532" s="325"/>
      <c r="K532" s="325">
        <v>45</v>
      </c>
      <c r="L532" s="325"/>
      <c r="M532" s="325"/>
      <c r="N532" s="325"/>
      <c r="O532" s="326"/>
      <c r="P532" s="326"/>
      <c r="Q532" s="326">
        <v>9</v>
      </c>
      <c r="R532" s="326"/>
      <c r="S532" s="327"/>
    </row>
    <row r="533" spans="1:19" ht="15" customHeight="1">
      <c r="A533" s="561">
        <f t="shared" si="8"/>
        <v>533</v>
      </c>
      <c r="B533" s="31">
        <v>104</v>
      </c>
      <c r="C533" s="249" t="s">
        <v>165</v>
      </c>
      <c r="D533" s="320" t="s">
        <v>180</v>
      </c>
      <c r="E533" s="321" t="s">
        <v>54</v>
      </c>
      <c r="F533" s="322" t="s">
        <v>584</v>
      </c>
      <c r="G533" s="323" t="s">
        <v>585</v>
      </c>
      <c r="H533" s="322" t="s">
        <v>176</v>
      </c>
      <c r="I533" s="324">
        <f>(3.9*6.05)*1.3</f>
        <v>30.673500000000001</v>
      </c>
      <c r="J533" s="325"/>
      <c r="K533" s="325">
        <v>59</v>
      </c>
      <c r="L533" s="325"/>
      <c r="M533" s="325"/>
      <c r="N533" s="325"/>
      <c r="O533" s="326"/>
      <c r="P533" s="326"/>
      <c r="Q533" s="326">
        <v>24</v>
      </c>
      <c r="R533" s="326"/>
      <c r="S533" s="327"/>
    </row>
    <row r="534" spans="1:19" ht="15" customHeight="1">
      <c r="A534" s="561">
        <f t="shared" si="8"/>
        <v>534</v>
      </c>
      <c r="B534" s="31">
        <v>104</v>
      </c>
      <c r="C534" s="249" t="s">
        <v>165</v>
      </c>
      <c r="D534" s="320" t="s">
        <v>180</v>
      </c>
      <c r="E534" s="321" t="s">
        <v>54</v>
      </c>
      <c r="F534" s="322" t="s">
        <v>178</v>
      </c>
      <c r="G534" s="323" t="s">
        <v>586</v>
      </c>
      <c r="H534" s="322" t="s">
        <v>176</v>
      </c>
      <c r="I534" s="324">
        <f>(4.05*15.75)*1.3</f>
        <v>82.923749999999998</v>
      </c>
      <c r="J534" s="325"/>
      <c r="K534" s="325">
        <v>129</v>
      </c>
      <c r="L534" s="325"/>
      <c r="M534" s="325"/>
      <c r="N534" s="325"/>
      <c r="O534" s="326"/>
      <c r="P534" s="326"/>
      <c r="Q534" s="326">
        <v>64</v>
      </c>
      <c r="R534" s="326"/>
      <c r="S534" s="327"/>
    </row>
    <row r="535" spans="1:19" ht="15" customHeight="1">
      <c r="A535" s="561">
        <f t="shared" si="8"/>
        <v>535</v>
      </c>
      <c r="B535" s="31">
        <v>104</v>
      </c>
      <c r="C535" s="249" t="s">
        <v>165</v>
      </c>
      <c r="D535" s="320" t="s">
        <v>180</v>
      </c>
      <c r="E535" s="321" t="s">
        <v>54</v>
      </c>
      <c r="F535" s="322" t="s">
        <v>587</v>
      </c>
      <c r="G535" s="323" t="s">
        <v>588</v>
      </c>
      <c r="H535" s="322" t="s">
        <v>19</v>
      </c>
      <c r="I535" s="324">
        <v>14.3</v>
      </c>
      <c r="J535" s="325"/>
      <c r="K535" s="325"/>
      <c r="L535" s="325">
        <f>8*4.3</f>
        <v>34.4</v>
      </c>
      <c r="M535" s="325"/>
      <c r="N535" s="325"/>
      <c r="O535" s="326"/>
      <c r="P535" s="326">
        <v>11</v>
      </c>
      <c r="Q535" s="326"/>
      <c r="R535" s="326"/>
      <c r="S535" s="327"/>
    </row>
    <row r="536" spans="1:19" ht="15" customHeight="1">
      <c r="A536" s="561">
        <f t="shared" si="8"/>
        <v>536</v>
      </c>
      <c r="B536" s="31">
        <v>104</v>
      </c>
      <c r="C536" s="249" t="s">
        <v>165</v>
      </c>
      <c r="D536" s="320" t="s">
        <v>180</v>
      </c>
      <c r="E536" s="321" t="s">
        <v>54</v>
      </c>
      <c r="F536" s="322" t="s">
        <v>589</v>
      </c>
      <c r="G536" s="323" t="s">
        <v>590</v>
      </c>
      <c r="H536" s="322" t="s">
        <v>19</v>
      </c>
      <c r="I536" s="324">
        <v>13</v>
      </c>
      <c r="J536" s="325"/>
      <c r="K536" s="325"/>
      <c r="L536" s="325">
        <f>4*4.3</f>
        <v>17.2</v>
      </c>
      <c r="M536" s="325"/>
      <c r="N536" s="325"/>
      <c r="O536" s="326"/>
      <c r="P536" s="326">
        <v>10</v>
      </c>
      <c r="Q536" s="326"/>
      <c r="R536" s="326"/>
      <c r="S536" s="327"/>
    </row>
    <row r="537" spans="1:19" ht="15" customHeight="1">
      <c r="A537" s="561">
        <f t="shared" si="8"/>
        <v>537</v>
      </c>
      <c r="B537" s="31">
        <v>104</v>
      </c>
      <c r="C537" s="249" t="s">
        <v>165</v>
      </c>
      <c r="D537" s="320" t="s">
        <v>180</v>
      </c>
      <c r="E537" s="321" t="s">
        <v>54</v>
      </c>
      <c r="F537" s="322" t="s">
        <v>591</v>
      </c>
      <c r="G537" s="323" t="s">
        <v>592</v>
      </c>
      <c r="H537" s="322" t="s">
        <v>19</v>
      </c>
      <c r="I537" s="324">
        <v>11.700000000000001</v>
      </c>
      <c r="J537" s="325"/>
      <c r="K537" s="325"/>
      <c r="L537" s="325">
        <f>4*4.3</f>
        <v>17.2</v>
      </c>
      <c r="M537" s="325"/>
      <c r="N537" s="325"/>
      <c r="O537" s="326"/>
      <c r="P537" s="326">
        <v>9</v>
      </c>
      <c r="Q537" s="326"/>
      <c r="R537" s="326"/>
      <c r="S537" s="327"/>
    </row>
    <row r="538" spans="1:19" ht="15" customHeight="1">
      <c r="A538" s="561">
        <f t="shared" si="8"/>
        <v>538</v>
      </c>
      <c r="B538" s="31">
        <v>104</v>
      </c>
      <c r="C538" s="249" t="s">
        <v>165</v>
      </c>
      <c r="D538" s="320" t="s">
        <v>180</v>
      </c>
      <c r="E538" s="321" t="s">
        <v>54</v>
      </c>
      <c r="F538" s="322" t="s">
        <v>593</v>
      </c>
      <c r="G538" s="323" t="s">
        <v>594</v>
      </c>
      <c r="H538" s="322" t="s">
        <v>176</v>
      </c>
      <c r="I538" s="324">
        <f>(3.2*6)*1.3</f>
        <v>24.960000000000004</v>
      </c>
      <c r="J538" s="325"/>
      <c r="K538" s="325">
        <v>79</v>
      </c>
      <c r="L538" s="325"/>
      <c r="M538" s="325"/>
      <c r="N538" s="325"/>
      <c r="O538" s="326"/>
      <c r="P538" s="326">
        <v>19</v>
      </c>
      <c r="Q538" s="326"/>
      <c r="R538" s="326"/>
      <c r="S538" s="327"/>
    </row>
    <row r="539" spans="1:19" ht="15" customHeight="1">
      <c r="A539" s="561">
        <f t="shared" si="8"/>
        <v>539</v>
      </c>
      <c r="B539" s="31">
        <v>104</v>
      </c>
      <c r="C539" s="249" t="s">
        <v>165</v>
      </c>
      <c r="D539" s="320" t="s">
        <v>180</v>
      </c>
      <c r="E539" s="321" t="s">
        <v>54</v>
      </c>
      <c r="F539" s="322" t="s">
        <v>595</v>
      </c>
      <c r="G539" s="323" t="s">
        <v>596</v>
      </c>
      <c r="H539" s="322" t="s">
        <v>19</v>
      </c>
      <c r="I539" s="324">
        <f>(2.9*3)*1.3</f>
        <v>11.309999999999999</v>
      </c>
      <c r="J539" s="325"/>
      <c r="K539" s="325">
        <v>51</v>
      </c>
      <c r="L539" s="325"/>
      <c r="M539" s="325"/>
      <c r="N539" s="325"/>
      <c r="O539" s="326"/>
      <c r="P539" s="326">
        <v>9</v>
      </c>
      <c r="Q539" s="326"/>
      <c r="R539" s="326"/>
      <c r="S539" s="327"/>
    </row>
    <row r="540" spans="1:19" ht="15" customHeight="1">
      <c r="A540" s="561">
        <f t="shared" si="8"/>
        <v>540</v>
      </c>
      <c r="B540" s="31">
        <v>104</v>
      </c>
      <c r="C540" s="249" t="s">
        <v>165</v>
      </c>
      <c r="D540" s="320" t="s">
        <v>180</v>
      </c>
      <c r="E540" s="321" t="s">
        <v>54</v>
      </c>
      <c r="F540" s="322" t="s">
        <v>440</v>
      </c>
      <c r="G540" s="323" t="s">
        <v>597</v>
      </c>
      <c r="H540" s="322" t="s">
        <v>176</v>
      </c>
      <c r="I540" s="324">
        <v>10.4</v>
      </c>
      <c r="J540" s="325"/>
      <c r="K540" s="325">
        <v>46</v>
      </c>
      <c r="L540" s="325"/>
      <c r="M540" s="325"/>
      <c r="N540" s="325"/>
      <c r="O540" s="326"/>
      <c r="P540" s="326"/>
      <c r="Q540" s="326">
        <v>8</v>
      </c>
      <c r="R540" s="326"/>
      <c r="S540" s="327"/>
    </row>
    <row r="541" spans="1:19" ht="15" customHeight="1">
      <c r="A541" s="561">
        <f t="shared" si="8"/>
        <v>541</v>
      </c>
      <c r="B541" s="31">
        <v>104</v>
      </c>
      <c r="C541" s="249" t="s">
        <v>165</v>
      </c>
      <c r="D541" s="320" t="s">
        <v>180</v>
      </c>
      <c r="E541" s="321" t="s">
        <v>54</v>
      </c>
      <c r="F541" s="322" t="s">
        <v>598</v>
      </c>
      <c r="G541" s="323" t="s">
        <v>599</v>
      </c>
      <c r="H541" s="322" t="s">
        <v>19</v>
      </c>
      <c r="I541" s="324">
        <f>(2.8*3.8+1.5)*1.3</f>
        <v>15.781999999999998</v>
      </c>
      <c r="J541" s="325"/>
      <c r="K541" s="325"/>
      <c r="L541" s="325">
        <v>65</v>
      </c>
      <c r="M541" s="325"/>
      <c r="N541" s="325"/>
      <c r="O541" s="326"/>
      <c r="P541" s="326"/>
      <c r="Q541" s="326">
        <v>12</v>
      </c>
      <c r="R541" s="326"/>
      <c r="S541" s="327" t="s">
        <v>522</v>
      </c>
    </row>
    <row r="542" spans="1:19" ht="15" customHeight="1">
      <c r="A542" s="561">
        <f t="shared" si="8"/>
        <v>542</v>
      </c>
      <c r="B542" s="31">
        <v>104</v>
      </c>
      <c r="C542" s="249" t="s">
        <v>165</v>
      </c>
      <c r="D542" s="320" t="s">
        <v>180</v>
      </c>
      <c r="E542" s="321" t="s">
        <v>54</v>
      </c>
      <c r="F542" s="322" t="s">
        <v>462</v>
      </c>
      <c r="G542" s="323" t="s">
        <v>600</v>
      </c>
      <c r="H542" s="322" t="s">
        <v>176</v>
      </c>
      <c r="I542" s="324">
        <f>(3.8*3.5)*1.3</f>
        <v>17.29</v>
      </c>
      <c r="J542" s="325"/>
      <c r="K542" s="325"/>
      <c r="L542" s="325">
        <v>47</v>
      </c>
      <c r="M542" s="325"/>
      <c r="N542" s="325"/>
      <c r="O542" s="326"/>
      <c r="P542" s="326"/>
      <c r="Q542" s="326">
        <v>13</v>
      </c>
      <c r="R542" s="326"/>
      <c r="S542" s="327"/>
    </row>
    <row r="543" spans="1:19" ht="15" customHeight="1">
      <c r="A543" s="561">
        <f t="shared" si="8"/>
        <v>543</v>
      </c>
      <c r="B543" s="31">
        <v>104</v>
      </c>
      <c r="C543" s="249" t="s">
        <v>165</v>
      </c>
      <c r="D543" s="320" t="s">
        <v>180</v>
      </c>
      <c r="E543" s="321" t="s">
        <v>54</v>
      </c>
      <c r="F543" s="322" t="s">
        <v>462</v>
      </c>
      <c r="G543" s="323" t="s">
        <v>601</v>
      </c>
      <c r="H543" s="322" t="s">
        <v>19</v>
      </c>
      <c r="I543" s="324">
        <f>(5.2*2.25-0.5*3.3*1.15)*1.3</f>
        <v>12.743250000000003</v>
      </c>
      <c r="J543" s="325"/>
      <c r="K543" s="325"/>
      <c r="L543" s="325">
        <v>60</v>
      </c>
      <c r="M543" s="325"/>
      <c r="N543" s="325"/>
      <c r="O543" s="326"/>
      <c r="P543" s="326">
        <v>10</v>
      </c>
      <c r="Q543" s="326"/>
      <c r="R543" s="326"/>
      <c r="S543" s="327"/>
    </row>
    <row r="544" spans="1:19" ht="15" customHeight="1">
      <c r="A544" s="561">
        <f t="shared" si="8"/>
        <v>544</v>
      </c>
      <c r="B544" s="31">
        <v>104</v>
      </c>
      <c r="C544" s="249" t="s">
        <v>165</v>
      </c>
      <c r="D544" s="320" t="s">
        <v>180</v>
      </c>
      <c r="E544" s="321" t="s">
        <v>54</v>
      </c>
      <c r="F544" s="322" t="s">
        <v>168</v>
      </c>
      <c r="G544" s="323" t="s">
        <v>602</v>
      </c>
      <c r="H544" s="322" t="s">
        <v>608</v>
      </c>
      <c r="I544" s="324">
        <f>(6.2*9.65+(3.8*5.5-0.55*1))*1.3</f>
        <v>104.23400000000001</v>
      </c>
      <c r="J544" s="325"/>
      <c r="K544" s="325">
        <v>100</v>
      </c>
      <c r="L544" s="325"/>
      <c r="M544" s="325"/>
      <c r="N544" s="325"/>
      <c r="O544" s="326"/>
      <c r="P544" s="326"/>
      <c r="Q544" s="326">
        <v>60</v>
      </c>
      <c r="R544" s="326"/>
      <c r="S544" s="327" t="s">
        <v>621</v>
      </c>
    </row>
    <row r="545" spans="1:19" ht="15" customHeight="1">
      <c r="A545" s="561">
        <f t="shared" si="8"/>
        <v>545</v>
      </c>
      <c r="B545" s="31">
        <v>104</v>
      </c>
      <c r="C545" s="249" t="s">
        <v>165</v>
      </c>
      <c r="D545" s="320" t="s">
        <v>180</v>
      </c>
      <c r="E545" s="321" t="s">
        <v>54</v>
      </c>
      <c r="F545" s="322" t="s">
        <v>168</v>
      </c>
      <c r="G545" s="323" t="s">
        <v>603</v>
      </c>
      <c r="H545" s="322" t="s">
        <v>608</v>
      </c>
      <c r="I545" s="324">
        <f>(3.4*4.6+6.2*9.65)*1.3</f>
        <v>98.111000000000004</v>
      </c>
      <c r="J545" s="325"/>
      <c r="K545" s="325">
        <v>110</v>
      </c>
      <c r="L545" s="325"/>
      <c r="M545" s="325"/>
      <c r="N545" s="325"/>
      <c r="O545" s="326"/>
      <c r="P545" s="326"/>
      <c r="Q545" s="326">
        <v>57</v>
      </c>
      <c r="R545" s="326"/>
      <c r="S545" s="327"/>
    </row>
    <row r="546" spans="1:19" ht="15" customHeight="1">
      <c r="A546" s="561">
        <f t="shared" si="8"/>
        <v>546</v>
      </c>
      <c r="B546" s="31">
        <v>104</v>
      </c>
      <c r="C546" s="249" t="s">
        <v>165</v>
      </c>
      <c r="D546" s="320" t="s">
        <v>180</v>
      </c>
      <c r="E546" s="321" t="s">
        <v>54</v>
      </c>
      <c r="F546" s="322" t="s">
        <v>489</v>
      </c>
      <c r="G546" s="323" t="s">
        <v>605</v>
      </c>
      <c r="H546" s="322" t="s">
        <v>19</v>
      </c>
      <c r="I546" s="324">
        <v>9.1</v>
      </c>
      <c r="J546" s="325"/>
      <c r="K546" s="325"/>
      <c r="L546" s="325">
        <v>24</v>
      </c>
      <c r="M546" s="325"/>
      <c r="N546" s="325"/>
      <c r="O546" s="326"/>
      <c r="P546" s="326"/>
      <c r="Q546" s="326"/>
      <c r="R546" s="326"/>
      <c r="S546" s="327"/>
    </row>
    <row r="547" spans="1:19" ht="15" customHeight="1">
      <c r="A547" s="561">
        <f t="shared" si="8"/>
        <v>547</v>
      </c>
      <c r="B547" s="31">
        <v>104</v>
      </c>
      <c r="C547" s="249" t="s">
        <v>165</v>
      </c>
      <c r="D547" s="320" t="s">
        <v>180</v>
      </c>
      <c r="E547" s="321" t="s">
        <v>54</v>
      </c>
      <c r="F547" s="322" t="s">
        <v>489</v>
      </c>
      <c r="G547" s="323" t="s">
        <v>607</v>
      </c>
      <c r="H547" s="322" t="s">
        <v>19</v>
      </c>
      <c r="I547" s="324">
        <v>9.1</v>
      </c>
      <c r="J547" s="325"/>
      <c r="K547" s="325"/>
      <c r="L547" s="325">
        <v>24</v>
      </c>
      <c r="M547" s="325"/>
      <c r="N547" s="325"/>
      <c r="O547" s="326"/>
      <c r="P547" s="326"/>
      <c r="Q547" s="326"/>
      <c r="R547" s="326"/>
      <c r="S547" s="327"/>
    </row>
    <row r="548" spans="1:19" ht="15" customHeight="1">
      <c r="A548" s="561">
        <f t="shared" si="8"/>
        <v>548</v>
      </c>
      <c r="B548" s="31">
        <v>104</v>
      </c>
      <c r="C548" s="249" t="s">
        <v>165</v>
      </c>
      <c r="D548" s="320" t="s">
        <v>180</v>
      </c>
      <c r="E548" s="321" t="s">
        <v>622</v>
      </c>
      <c r="F548" s="322" t="s">
        <v>623</v>
      </c>
      <c r="G548" s="323" t="s">
        <v>387</v>
      </c>
      <c r="H548" s="322" t="s">
        <v>299</v>
      </c>
      <c r="I548" s="324">
        <v>0</v>
      </c>
      <c r="J548" s="325"/>
      <c r="K548" s="325"/>
      <c r="L548" s="325"/>
      <c r="M548" s="325"/>
      <c r="N548" s="325"/>
      <c r="O548" s="326"/>
      <c r="P548" s="326"/>
      <c r="Q548" s="326"/>
      <c r="R548" s="326"/>
      <c r="S548" s="327" t="s">
        <v>614</v>
      </c>
    </row>
    <row r="549" spans="1:19" ht="15" customHeight="1">
      <c r="A549" s="561">
        <f t="shared" si="8"/>
        <v>549</v>
      </c>
      <c r="B549" s="31">
        <v>104</v>
      </c>
      <c r="C549" s="249" t="s">
        <v>165</v>
      </c>
      <c r="D549" s="320" t="s">
        <v>180</v>
      </c>
      <c r="E549" s="321" t="s">
        <v>622</v>
      </c>
      <c r="F549" s="322" t="s">
        <v>624</v>
      </c>
      <c r="G549" s="323" t="s">
        <v>389</v>
      </c>
      <c r="H549" s="322" t="s">
        <v>299</v>
      </c>
      <c r="I549" s="324">
        <v>0</v>
      </c>
      <c r="J549" s="325"/>
      <c r="K549" s="325"/>
      <c r="L549" s="325"/>
      <c r="M549" s="325"/>
      <c r="N549" s="325"/>
      <c r="O549" s="326"/>
      <c r="P549" s="326"/>
      <c r="Q549" s="326"/>
      <c r="R549" s="326"/>
      <c r="S549" s="327" t="s">
        <v>614</v>
      </c>
    </row>
    <row r="550" spans="1:19" ht="15" customHeight="1">
      <c r="A550" s="561">
        <f t="shared" si="8"/>
        <v>550</v>
      </c>
      <c r="B550" s="31">
        <v>104</v>
      </c>
      <c r="C550" s="249" t="s">
        <v>165</v>
      </c>
      <c r="D550" s="320" t="s">
        <v>180</v>
      </c>
      <c r="E550" s="321" t="s">
        <v>622</v>
      </c>
      <c r="F550" s="322" t="s">
        <v>175</v>
      </c>
      <c r="G550" s="323" t="s">
        <v>625</v>
      </c>
      <c r="H550" s="322" t="s">
        <v>19</v>
      </c>
      <c r="I550" s="324">
        <v>6.5</v>
      </c>
      <c r="J550" s="325"/>
      <c r="K550" s="325"/>
      <c r="L550" s="325">
        <v>55</v>
      </c>
      <c r="M550" s="325"/>
      <c r="N550" s="325"/>
      <c r="O550" s="326"/>
      <c r="P550" s="326"/>
      <c r="Q550" s="326">
        <v>12</v>
      </c>
      <c r="R550" s="326"/>
      <c r="S550" s="327"/>
    </row>
    <row r="551" spans="1:19" ht="15" customHeight="1">
      <c r="A551" s="561">
        <f t="shared" si="8"/>
        <v>551</v>
      </c>
      <c r="B551" s="31">
        <v>104</v>
      </c>
      <c r="C551" s="249" t="s">
        <v>165</v>
      </c>
      <c r="D551" s="320" t="s">
        <v>180</v>
      </c>
      <c r="E551" s="321" t="s">
        <v>622</v>
      </c>
      <c r="F551" s="322" t="s">
        <v>626</v>
      </c>
      <c r="G551" s="323" t="s">
        <v>627</v>
      </c>
      <c r="H551" s="322" t="s">
        <v>166</v>
      </c>
      <c r="I551" s="324">
        <v>11.700000000000001</v>
      </c>
      <c r="J551" s="325"/>
      <c r="K551" s="325"/>
      <c r="L551" s="325"/>
      <c r="M551" s="325"/>
      <c r="N551" s="325"/>
      <c r="O551" s="326"/>
      <c r="P551" s="326"/>
      <c r="Q551" s="326"/>
      <c r="R551" s="326"/>
      <c r="S551" s="327"/>
    </row>
    <row r="552" spans="1:19" ht="15" customHeight="1">
      <c r="A552" s="561">
        <f t="shared" si="8"/>
        <v>552</v>
      </c>
      <c r="B552" s="31">
        <v>104</v>
      </c>
      <c r="C552" s="249" t="s">
        <v>165</v>
      </c>
      <c r="D552" s="320" t="s">
        <v>180</v>
      </c>
      <c r="E552" s="321" t="s">
        <v>622</v>
      </c>
      <c r="F552" s="322" t="s">
        <v>628</v>
      </c>
      <c r="G552" s="323" t="s">
        <v>629</v>
      </c>
      <c r="H552" s="322" t="s">
        <v>19</v>
      </c>
      <c r="I552" s="324">
        <v>94</v>
      </c>
      <c r="J552" s="325"/>
      <c r="K552" s="325"/>
      <c r="L552" s="325">
        <v>330</v>
      </c>
      <c r="M552" s="325"/>
      <c r="N552" s="325"/>
      <c r="O552" s="326"/>
      <c r="P552" s="326">
        <v>94</v>
      </c>
      <c r="Q552" s="326"/>
      <c r="R552" s="326"/>
      <c r="S552" s="327"/>
    </row>
    <row r="553" spans="1:19" ht="15" customHeight="1">
      <c r="A553" s="561">
        <f t="shared" si="8"/>
        <v>553</v>
      </c>
      <c r="B553" s="31">
        <v>104</v>
      </c>
      <c r="C553" s="249" t="s">
        <v>165</v>
      </c>
      <c r="D553" s="320" t="s">
        <v>180</v>
      </c>
      <c r="E553" s="321" t="s">
        <v>622</v>
      </c>
      <c r="F553" s="322" t="s">
        <v>628</v>
      </c>
      <c r="G553" s="323" t="s">
        <v>630</v>
      </c>
      <c r="H553" s="322" t="s">
        <v>19</v>
      </c>
      <c r="I553" s="324">
        <v>9</v>
      </c>
      <c r="J553" s="325"/>
      <c r="K553" s="325"/>
      <c r="L553" s="325">
        <v>32</v>
      </c>
      <c r="M553" s="325"/>
      <c r="N553" s="325"/>
      <c r="O553" s="326"/>
      <c r="P553" s="326">
        <v>9</v>
      </c>
      <c r="Q553" s="326"/>
      <c r="R553" s="326"/>
      <c r="S553" s="327"/>
    </row>
    <row r="554" spans="1:19" ht="15" customHeight="1">
      <c r="A554" s="561">
        <f t="shared" si="8"/>
        <v>554</v>
      </c>
      <c r="B554" s="31">
        <v>104</v>
      </c>
      <c r="C554" s="249" t="s">
        <v>165</v>
      </c>
      <c r="D554" s="320" t="s">
        <v>180</v>
      </c>
      <c r="E554" s="321" t="s">
        <v>622</v>
      </c>
      <c r="F554" s="322" t="s">
        <v>631</v>
      </c>
      <c r="G554" s="323" t="s">
        <v>632</v>
      </c>
      <c r="H554" s="322" t="s">
        <v>19</v>
      </c>
      <c r="I554" s="324">
        <v>237</v>
      </c>
      <c r="J554" s="325"/>
      <c r="K554" s="325"/>
      <c r="L554" s="325">
        <v>355</v>
      </c>
      <c r="M554" s="325"/>
      <c r="N554" s="325"/>
      <c r="O554" s="326"/>
      <c r="P554" s="326">
        <v>237</v>
      </c>
      <c r="Q554" s="326"/>
      <c r="R554" s="326"/>
      <c r="S554" s="327"/>
    </row>
    <row r="555" spans="1:19" ht="15" customHeight="1">
      <c r="A555" s="561">
        <f t="shared" si="8"/>
        <v>555</v>
      </c>
      <c r="B555" s="31">
        <v>104</v>
      </c>
      <c r="C555" s="249" t="s">
        <v>165</v>
      </c>
      <c r="D555" s="320" t="s">
        <v>180</v>
      </c>
      <c r="E555" s="321" t="s">
        <v>622</v>
      </c>
      <c r="F555" s="322" t="s">
        <v>560</v>
      </c>
      <c r="G555" s="323" t="s">
        <v>633</v>
      </c>
      <c r="H555" s="322" t="s">
        <v>166</v>
      </c>
      <c r="I555" s="324">
        <v>0</v>
      </c>
      <c r="J555" s="325"/>
      <c r="K555" s="325"/>
      <c r="L555" s="325"/>
      <c r="M555" s="325"/>
      <c r="N555" s="325"/>
      <c r="O555" s="326"/>
      <c r="P555" s="326"/>
      <c r="Q555" s="326"/>
      <c r="R555" s="326"/>
      <c r="S555" s="327" t="s">
        <v>669</v>
      </c>
    </row>
    <row r="556" spans="1:19" ht="15" customHeight="1">
      <c r="A556" s="561">
        <f t="shared" si="8"/>
        <v>556</v>
      </c>
      <c r="B556" s="31">
        <v>104</v>
      </c>
      <c r="C556" s="249" t="s">
        <v>165</v>
      </c>
      <c r="D556" s="320" t="s">
        <v>180</v>
      </c>
      <c r="E556" s="321" t="s">
        <v>622</v>
      </c>
      <c r="F556" s="322" t="s">
        <v>175</v>
      </c>
      <c r="G556" s="323" t="s">
        <v>634</v>
      </c>
      <c r="H556" s="322" t="s">
        <v>19</v>
      </c>
      <c r="I556" s="324">
        <v>15.600000000000001</v>
      </c>
      <c r="J556" s="325"/>
      <c r="K556" s="325"/>
      <c r="L556" s="325">
        <v>9</v>
      </c>
      <c r="M556" s="325"/>
      <c r="N556" s="325"/>
      <c r="O556" s="326"/>
      <c r="P556" s="326">
        <v>10</v>
      </c>
      <c r="Q556" s="326"/>
      <c r="R556" s="326"/>
      <c r="S556" s="327"/>
    </row>
    <row r="557" spans="1:19" ht="15" customHeight="1">
      <c r="A557" s="561">
        <f t="shared" si="8"/>
        <v>557</v>
      </c>
      <c r="B557" s="31">
        <v>104</v>
      </c>
      <c r="C557" s="249" t="s">
        <v>165</v>
      </c>
      <c r="D557" s="320" t="s">
        <v>180</v>
      </c>
      <c r="E557" s="321" t="s">
        <v>622</v>
      </c>
      <c r="F557" s="322" t="s">
        <v>635</v>
      </c>
      <c r="G557" s="323" t="s">
        <v>636</v>
      </c>
      <c r="H557" s="322" t="s">
        <v>166</v>
      </c>
      <c r="I557" s="324">
        <v>15.600000000000001</v>
      </c>
      <c r="J557" s="325"/>
      <c r="K557" s="325"/>
      <c r="L557" s="325"/>
      <c r="M557" s="325"/>
      <c r="N557" s="325"/>
      <c r="O557" s="326"/>
      <c r="P557" s="326"/>
      <c r="Q557" s="326"/>
      <c r="R557" s="326"/>
      <c r="S557" s="327"/>
    </row>
    <row r="558" spans="1:19" ht="15" customHeight="1">
      <c r="A558" s="561">
        <f t="shared" si="8"/>
        <v>558</v>
      </c>
      <c r="B558" s="31">
        <v>104</v>
      </c>
      <c r="C558" s="249" t="s">
        <v>165</v>
      </c>
      <c r="D558" s="320" t="s">
        <v>180</v>
      </c>
      <c r="E558" s="321" t="s">
        <v>622</v>
      </c>
      <c r="F558" s="322" t="s">
        <v>628</v>
      </c>
      <c r="G558" s="323" t="s">
        <v>637</v>
      </c>
      <c r="H558" s="322" t="s">
        <v>19</v>
      </c>
      <c r="I558" s="324">
        <v>11</v>
      </c>
      <c r="J558" s="325"/>
      <c r="K558" s="325"/>
      <c r="L558" s="325">
        <v>15</v>
      </c>
      <c r="M558" s="325"/>
      <c r="N558" s="325"/>
      <c r="O558" s="326"/>
      <c r="P558" s="326"/>
      <c r="Q558" s="326"/>
      <c r="R558" s="326"/>
      <c r="S558" s="327"/>
    </row>
    <row r="559" spans="1:19" ht="15" customHeight="1">
      <c r="A559" s="561">
        <f t="shared" si="8"/>
        <v>559</v>
      </c>
      <c r="B559" s="31">
        <v>104</v>
      </c>
      <c r="C559" s="249" t="s">
        <v>165</v>
      </c>
      <c r="D559" s="320" t="s">
        <v>180</v>
      </c>
      <c r="E559" s="321" t="s">
        <v>622</v>
      </c>
      <c r="F559" s="322" t="s">
        <v>628</v>
      </c>
      <c r="G559" s="323" t="s">
        <v>638</v>
      </c>
      <c r="H559" s="322" t="s">
        <v>19</v>
      </c>
      <c r="I559" s="324">
        <v>115</v>
      </c>
      <c r="J559" s="325"/>
      <c r="K559" s="325"/>
      <c r="L559" s="325">
        <v>368</v>
      </c>
      <c r="M559" s="325"/>
      <c r="N559" s="325"/>
      <c r="O559" s="326"/>
      <c r="P559" s="326">
        <v>115</v>
      </c>
      <c r="Q559" s="326"/>
      <c r="R559" s="326"/>
      <c r="S559" s="327"/>
    </row>
    <row r="560" spans="1:19" ht="15" customHeight="1">
      <c r="A560" s="561">
        <f t="shared" si="8"/>
        <v>560</v>
      </c>
      <c r="B560" s="31">
        <v>104</v>
      </c>
      <c r="C560" s="249" t="s">
        <v>165</v>
      </c>
      <c r="D560" s="320" t="s">
        <v>180</v>
      </c>
      <c r="E560" s="321" t="s">
        <v>622</v>
      </c>
      <c r="F560" s="322" t="s">
        <v>547</v>
      </c>
      <c r="G560" s="323" t="s">
        <v>639</v>
      </c>
      <c r="H560" s="322" t="s">
        <v>166</v>
      </c>
      <c r="I560" s="324">
        <v>2.6</v>
      </c>
      <c r="J560" s="325"/>
      <c r="K560" s="325"/>
      <c r="L560" s="325"/>
      <c r="M560" s="325"/>
      <c r="N560" s="325"/>
      <c r="O560" s="326"/>
      <c r="P560" s="326"/>
      <c r="Q560" s="326"/>
      <c r="R560" s="326"/>
      <c r="S560" s="327"/>
    </row>
    <row r="561" spans="1:19" ht="15" customHeight="1">
      <c r="A561" s="561">
        <f t="shared" si="8"/>
        <v>561</v>
      </c>
      <c r="B561" s="31">
        <v>104</v>
      </c>
      <c r="C561" s="249" t="s">
        <v>165</v>
      </c>
      <c r="D561" s="320" t="s">
        <v>180</v>
      </c>
      <c r="E561" s="321" t="s">
        <v>622</v>
      </c>
      <c r="F561" s="322" t="s">
        <v>175</v>
      </c>
      <c r="G561" s="323" t="s">
        <v>640</v>
      </c>
      <c r="H561" s="322" t="s">
        <v>19</v>
      </c>
      <c r="I561" s="324">
        <v>3.9000000000000004</v>
      </c>
      <c r="J561" s="325"/>
      <c r="K561" s="325"/>
      <c r="L561" s="325">
        <v>10</v>
      </c>
      <c r="M561" s="325"/>
      <c r="N561" s="325"/>
      <c r="O561" s="326"/>
      <c r="P561" s="326">
        <v>3</v>
      </c>
      <c r="Q561" s="326"/>
      <c r="R561" s="326"/>
      <c r="S561" s="327"/>
    </row>
    <row r="562" spans="1:19" ht="15" customHeight="1">
      <c r="A562" s="561">
        <f t="shared" si="8"/>
        <v>562</v>
      </c>
      <c r="B562" s="31">
        <v>104</v>
      </c>
      <c r="C562" s="249" t="s">
        <v>165</v>
      </c>
      <c r="D562" s="320" t="s">
        <v>180</v>
      </c>
      <c r="E562" s="321" t="s">
        <v>622</v>
      </c>
      <c r="F562" s="322" t="s">
        <v>635</v>
      </c>
      <c r="G562" s="323" t="s">
        <v>641</v>
      </c>
      <c r="H562" s="322" t="s">
        <v>166</v>
      </c>
      <c r="I562" s="324">
        <v>9.1</v>
      </c>
      <c r="J562" s="325"/>
      <c r="K562" s="325"/>
      <c r="L562" s="325"/>
      <c r="M562" s="325"/>
      <c r="N562" s="325"/>
      <c r="O562" s="326"/>
      <c r="P562" s="326"/>
      <c r="Q562" s="326"/>
      <c r="R562" s="326"/>
      <c r="S562" s="327"/>
    </row>
    <row r="563" spans="1:19" ht="15" customHeight="1">
      <c r="A563" s="561">
        <f t="shared" si="8"/>
        <v>563</v>
      </c>
      <c r="B563" s="31">
        <v>104</v>
      </c>
      <c r="C563" s="249" t="s">
        <v>165</v>
      </c>
      <c r="D563" s="320" t="s">
        <v>180</v>
      </c>
      <c r="E563" s="321" t="s">
        <v>622</v>
      </c>
      <c r="F563" s="322" t="s">
        <v>628</v>
      </c>
      <c r="G563" s="323" t="s">
        <v>642</v>
      </c>
      <c r="H563" s="322" t="s">
        <v>19</v>
      </c>
      <c r="I563" s="324">
        <v>68.900000000000006</v>
      </c>
      <c r="J563" s="325"/>
      <c r="K563" s="325"/>
      <c r="L563" s="325"/>
      <c r="M563" s="325"/>
      <c r="N563" s="325"/>
      <c r="O563" s="326"/>
      <c r="P563" s="326"/>
      <c r="Q563" s="326"/>
      <c r="R563" s="326"/>
      <c r="S563" s="327" t="s">
        <v>1333</v>
      </c>
    </row>
    <row r="564" spans="1:19" ht="15" customHeight="1">
      <c r="A564" s="561">
        <f t="shared" si="8"/>
        <v>564</v>
      </c>
      <c r="B564" s="31">
        <v>104</v>
      </c>
      <c r="C564" s="249" t="s">
        <v>165</v>
      </c>
      <c r="D564" s="320" t="s">
        <v>180</v>
      </c>
      <c r="E564" s="321" t="s">
        <v>622</v>
      </c>
      <c r="F564" s="322" t="s">
        <v>628</v>
      </c>
      <c r="G564" s="323" t="s">
        <v>643</v>
      </c>
      <c r="H564" s="322" t="s">
        <v>19</v>
      </c>
      <c r="I564" s="324">
        <v>55.9</v>
      </c>
      <c r="J564" s="325"/>
      <c r="K564" s="325"/>
      <c r="L564" s="325"/>
      <c r="M564" s="325"/>
      <c r="N564" s="325"/>
      <c r="O564" s="326"/>
      <c r="P564" s="326"/>
      <c r="Q564" s="326"/>
      <c r="R564" s="326"/>
      <c r="S564" s="327" t="s">
        <v>1333</v>
      </c>
    </row>
    <row r="565" spans="1:19" ht="15" customHeight="1">
      <c r="A565" s="561">
        <f t="shared" si="8"/>
        <v>565</v>
      </c>
      <c r="B565" s="31">
        <v>104</v>
      </c>
      <c r="C565" s="249" t="s">
        <v>165</v>
      </c>
      <c r="D565" s="320" t="s">
        <v>180</v>
      </c>
      <c r="E565" s="321" t="s">
        <v>622</v>
      </c>
      <c r="F565" s="322" t="s">
        <v>177</v>
      </c>
      <c r="G565" s="323" t="s">
        <v>644</v>
      </c>
      <c r="H565" s="322" t="s">
        <v>19</v>
      </c>
      <c r="I565" s="324">
        <v>0</v>
      </c>
      <c r="J565" s="325"/>
      <c r="K565" s="325"/>
      <c r="L565" s="325"/>
      <c r="M565" s="325"/>
      <c r="N565" s="325"/>
      <c r="O565" s="326"/>
      <c r="P565" s="326"/>
      <c r="Q565" s="326"/>
      <c r="R565" s="326"/>
      <c r="S565" s="327" t="s">
        <v>1350</v>
      </c>
    </row>
    <row r="566" spans="1:19" ht="15" customHeight="1">
      <c r="A566" s="561">
        <f t="shared" si="8"/>
        <v>566</v>
      </c>
      <c r="B566" s="31">
        <v>104</v>
      </c>
      <c r="C566" s="249" t="s">
        <v>165</v>
      </c>
      <c r="D566" s="320" t="s">
        <v>180</v>
      </c>
      <c r="E566" s="321" t="s">
        <v>622</v>
      </c>
      <c r="F566" s="322" t="s">
        <v>645</v>
      </c>
      <c r="G566" s="323" t="s">
        <v>646</v>
      </c>
      <c r="H566" s="322" t="s">
        <v>19</v>
      </c>
      <c r="I566" s="324">
        <v>63</v>
      </c>
      <c r="J566" s="325"/>
      <c r="K566" s="325"/>
      <c r="L566" s="325">
        <v>82</v>
      </c>
      <c r="M566" s="325"/>
      <c r="N566" s="325"/>
      <c r="O566" s="326"/>
      <c r="P566" s="326">
        <v>63</v>
      </c>
      <c r="Q566" s="326"/>
      <c r="R566" s="326"/>
      <c r="S566" s="327"/>
    </row>
    <row r="567" spans="1:19" ht="15" customHeight="1">
      <c r="A567" s="561">
        <f t="shared" si="8"/>
        <v>567</v>
      </c>
      <c r="B567" s="31">
        <v>104</v>
      </c>
      <c r="C567" s="249" t="s">
        <v>165</v>
      </c>
      <c r="D567" s="320" t="s">
        <v>180</v>
      </c>
      <c r="E567" s="321" t="s">
        <v>622</v>
      </c>
      <c r="F567" s="322" t="s">
        <v>598</v>
      </c>
      <c r="G567" s="323" t="s">
        <v>647</v>
      </c>
      <c r="H567" s="322" t="s">
        <v>44</v>
      </c>
      <c r="I567" s="324">
        <v>0</v>
      </c>
      <c r="J567" s="325"/>
      <c r="K567" s="325"/>
      <c r="L567" s="325"/>
      <c r="M567" s="325"/>
      <c r="N567" s="325"/>
      <c r="O567" s="326"/>
      <c r="P567" s="326"/>
      <c r="Q567" s="326"/>
      <c r="R567" s="326"/>
      <c r="S567" s="327" t="s">
        <v>670</v>
      </c>
    </row>
    <row r="568" spans="1:19" ht="15" customHeight="1">
      <c r="A568" s="561">
        <f t="shared" si="8"/>
        <v>568</v>
      </c>
      <c r="B568" s="31">
        <v>104</v>
      </c>
      <c r="C568" s="249" t="s">
        <v>165</v>
      </c>
      <c r="D568" s="320" t="s">
        <v>180</v>
      </c>
      <c r="E568" s="321" t="s">
        <v>622</v>
      </c>
      <c r="F568" s="322" t="s">
        <v>648</v>
      </c>
      <c r="G568" s="323" t="s">
        <v>649</v>
      </c>
      <c r="H568" s="322" t="s">
        <v>19</v>
      </c>
      <c r="I568" s="324">
        <v>7</v>
      </c>
      <c r="J568" s="325"/>
      <c r="K568" s="325"/>
      <c r="L568" s="325">
        <v>19</v>
      </c>
      <c r="M568" s="325"/>
      <c r="N568" s="325"/>
      <c r="O568" s="326"/>
      <c r="P568" s="326">
        <v>7</v>
      </c>
      <c r="Q568" s="326"/>
      <c r="R568" s="326"/>
      <c r="S568" s="327" t="s">
        <v>1162</v>
      </c>
    </row>
    <row r="569" spans="1:19" ht="15" customHeight="1">
      <c r="A569" s="561">
        <f t="shared" si="8"/>
        <v>569</v>
      </c>
      <c r="B569" s="31">
        <v>104</v>
      </c>
      <c r="C569" s="249" t="s">
        <v>165</v>
      </c>
      <c r="D569" s="320" t="s">
        <v>180</v>
      </c>
      <c r="E569" s="321" t="s">
        <v>622</v>
      </c>
      <c r="F569" s="322" t="s">
        <v>462</v>
      </c>
      <c r="G569" s="323" t="s">
        <v>650</v>
      </c>
      <c r="H569" s="322" t="s">
        <v>19</v>
      </c>
      <c r="I569" s="324">
        <v>0</v>
      </c>
      <c r="J569" s="325"/>
      <c r="K569" s="325"/>
      <c r="L569" s="325"/>
      <c r="M569" s="325"/>
      <c r="N569" s="325"/>
      <c r="O569" s="326"/>
      <c r="P569" s="326"/>
      <c r="Q569" s="326"/>
      <c r="R569" s="326"/>
      <c r="S569" s="327" t="s">
        <v>1163</v>
      </c>
    </row>
    <row r="570" spans="1:19" ht="15" customHeight="1">
      <c r="A570" s="561">
        <f t="shared" si="8"/>
        <v>570</v>
      </c>
      <c r="B570" s="31">
        <v>104</v>
      </c>
      <c r="C570" s="249" t="s">
        <v>165</v>
      </c>
      <c r="D570" s="320" t="s">
        <v>180</v>
      </c>
      <c r="E570" s="321" t="s">
        <v>622</v>
      </c>
      <c r="F570" s="322" t="s">
        <v>651</v>
      </c>
      <c r="G570" s="323" t="s">
        <v>652</v>
      </c>
      <c r="H570" s="322" t="s">
        <v>19</v>
      </c>
      <c r="I570" s="324">
        <v>72.8</v>
      </c>
      <c r="J570" s="325"/>
      <c r="K570" s="325"/>
      <c r="L570" s="325"/>
      <c r="M570" s="325"/>
      <c r="N570" s="325"/>
      <c r="O570" s="326"/>
      <c r="P570" s="326"/>
      <c r="Q570" s="326"/>
      <c r="R570" s="326"/>
      <c r="S570" s="327" t="s">
        <v>1333</v>
      </c>
    </row>
    <row r="571" spans="1:19" ht="15" customHeight="1">
      <c r="A571" s="561">
        <f t="shared" si="8"/>
        <v>571</v>
      </c>
      <c r="B571" s="31">
        <v>104</v>
      </c>
      <c r="C571" s="249" t="s">
        <v>165</v>
      </c>
      <c r="D571" s="320" t="s">
        <v>180</v>
      </c>
      <c r="E571" s="321" t="s">
        <v>622</v>
      </c>
      <c r="F571" s="322" t="s">
        <v>651</v>
      </c>
      <c r="G571" s="323" t="s">
        <v>653</v>
      </c>
      <c r="H571" s="322" t="s">
        <v>19</v>
      </c>
      <c r="I571" s="324">
        <v>115.7</v>
      </c>
      <c r="J571" s="325"/>
      <c r="K571" s="325"/>
      <c r="L571" s="325"/>
      <c r="M571" s="325"/>
      <c r="N571" s="325"/>
      <c r="O571" s="326"/>
      <c r="P571" s="326"/>
      <c r="Q571" s="326"/>
      <c r="R571" s="326"/>
      <c r="S571" s="327" t="s">
        <v>1333</v>
      </c>
    </row>
    <row r="572" spans="1:19" ht="15" customHeight="1">
      <c r="A572" s="561">
        <f t="shared" si="8"/>
        <v>572</v>
      </c>
      <c r="B572" s="31">
        <v>104</v>
      </c>
      <c r="C572" s="249" t="s">
        <v>165</v>
      </c>
      <c r="D572" s="320" t="s">
        <v>180</v>
      </c>
      <c r="E572" s="321" t="s">
        <v>622</v>
      </c>
      <c r="F572" s="322" t="s">
        <v>651</v>
      </c>
      <c r="G572" s="323" t="s">
        <v>654</v>
      </c>
      <c r="H572" s="322" t="s">
        <v>19</v>
      </c>
      <c r="I572" s="324">
        <v>0</v>
      </c>
      <c r="J572" s="325"/>
      <c r="K572" s="325"/>
      <c r="L572" s="325"/>
      <c r="M572" s="325"/>
      <c r="N572" s="325"/>
      <c r="O572" s="326"/>
      <c r="P572" s="326"/>
      <c r="Q572" s="326"/>
      <c r="R572" s="326"/>
      <c r="S572" s="327" t="s">
        <v>1333</v>
      </c>
    </row>
    <row r="573" spans="1:19" ht="15" customHeight="1">
      <c r="A573" s="561">
        <f t="shared" si="8"/>
        <v>573</v>
      </c>
      <c r="B573" s="31">
        <v>104</v>
      </c>
      <c r="C573" s="249" t="s">
        <v>165</v>
      </c>
      <c r="D573" s="320" t="s">
        <v>180</v>
      </c>
      <c r="E573" s="321" t="s">
        <v>622</v>
      </c>
      <c r="F573" s="322" t="s">
        <v>651</v>
      </c>
      <c r="G573" s="323" t="s">
        <v>655</v>
      </c>
      <c r="H573" s="322" t="s">
        <v>19</v>
      </c>
      <c r="I573" s="324">
        <v>0</v>
      </c>
      <c r="J573" s="325"/>
      <c r="K573" s="325"/>
      <c r="L573" s="325"/>
      <c r="M573" s="325"/>
      <c r="N573" s="325"/>
      <c r="O573" s="326"/>
      <c r="P573" s="326"/>
      <c r="Q573" s="326"/>
      <c r="R573" s="326"/>
      <c r="S573" s="327" t="s">
        <v>1333</v>
      </c>
    </row>
    <row r="574" spans="1:19" ht="15" customHeight="1">
      <c r="A574" s="561">
        <f t="shared" si="8"/>
        <v>574</v>
      </c>
      <c r="B574" s="31">
        <v>104</v>
      </c>
      <c r="C574" s="249" t="s">
        <v>165</v>
      </c>
      <c r="D574" s="320" t="s">
        <v>180</v>
      </c>
      <c r="E574" s="321" t="s">
        <v>622</v>
      </c>
      <c r="F574" s="322" t="s">
        <v>651</v>
      </c>
      <c r="G574" s="323" t="s">
        <v>656</v>
      </c>
      <c r="H574" s="322" t="s">
        <v>19</v>
      </c>
      <c r="I574" s="324">
        <v>105.3</v>
      </c>
      <c r="J574" s="325"/>
      <c r="K574" s="325"/>
      <c r="L574" s="325"/>
      <c r="M574" s="325"/>
      <c r="N574" s="325"/>
      <c r="O574" s="326"/>
      <c r="P574" s="326"/>
      <c r="Q574" s="326"/>
      <c r="R574" s="326"/>
      <c r="S574" s="327" t="s">
        <v>1333</v>
      </c>
    </row>
    <row r="575" spans="1:19" ht="15" customHeight="1">
      <c r="A575" s="561">
        <f t="shared" si="8"/>
        <v>575</v>
      </c>
      <c r="B575" s="31">
        <v>104</v>
      </c>
      <c r="C575" s="249" t="s">
        <v>165</v>
      </c>
      <c r="D575" s="320" t="s">
        <v>180</v>
      </c>
      <c r="E575" s="321" t="s">
        <v>622</v>
      </c>
      <c r="F575" s="322" t="s">
        <v>651</v>
      </c>
      <c r="G575" s="323" t="s">
        <v>657</v>
      </c>
      <c r="H575" s="322" t="s">
        <v>19</v>
      </c>
      <c r="I575" s="324">
        <v>0</v>
      </c>
      <c r="J575" s="325"/>
      <c r="K575" s="325"/>
      <c r="L575" s="325"/>
      <c r="M575" s="325"/>
      <c r="N575" s="325"/>
      <c r="O575" s="326"/>
      <c r="P575" s="326"/>
      <c r="Q575" s="326"/>
      <c r="R575" s="326"/>
      <c r="S575" s="327" t="s">
        <v>1333</v>
      </c>
    </row>
    <row r="576" spans="1:19" ht="15" customHeight="1">
      <c r="A576" s="561">
        <f t="shared" si="8"/>
        <v>576</v>
      </c>
      <c r="B576" s="31">
        <v>104</v>
      </c>
      <c r="C576" s="249" t="s">
        <v>165</v>
      </c>
      <c r="D576" s="320" t="s">
        <v>180</v>
      </c>
      <c r="E576" s="321" t="s">
        <v>622</v>
      </c>
      <c r="F576" s="322" t="s">
        <v>168</v>
      </c>
      <c r="G576" s="323" t="s">
        <v>658</v>
      </c>
      <c r="H576" s="322" t="s">
        <v>44</v>
      </c>
      <c r="I576" s="324">
        <v>0</v>
      </c>
      <c r="J576" s="325"/>
      <c r="K576" s="325"/>
      <c r="L576" s="325"/>
      <c r="M576" s="325"/>
      <c r="N576" s="325"/>
      <c r="O576" s="326"/>
      <c r="P576" s="326"/>
      <c r="Q576" s="326"/>
      <c r="R576" s="326"/>
      <c r="S576" s="327" t="s">
        <v>671</v>
      </c>
    </row>
    <row r="577" spans="1:19" ht="15" customHeight="1">
      <c r="A577" s="561">
        <f t="shared" si="8"/>
        <v>577</v>
      </c>
      <c r="B577" s="31">
        <v>104</v>
      </c>
      <c r="C577" s="249" t="s">
        <v>165</v>
      </c>
      <c r="D577" s="320" t="s">
        <v>180</v>
      </c>
      <c r="E577" s="321" t="s">
        <v>622</v>
      </c>
      <c r="F577" s="322" t="s">
        <v>168</v>
      </c>
      <c r="G577" s="323" t="s">
        <v>659</v>
      </c>
      <c r="H577" s="322" t="s">
        <v>44</v>
      </c>
      <c r="I577" s="324">
        <v>0</v>
      </c>
      <c r="J577" s="325"/>
      <c r="K577" s="325"/>
      <c r="L577" s="325"/>
      <c r="M577" s="325"/>
      <c r="N577" s="325"/>
      <c r="O577" s="326"/>
      <c r="P577" s="326"/>
      <c r="Q577" s="326"/>
      <c r="R577" s="326"/>
      <c r="S577" s="327" t="s">
        <v>672</v>
      </c>
    </row>
    <row r="578" spans="1:19" ht="15" customHeight="1">
      <c r="A578" s="561">
        <f t="shared" si="8"/>
        <v>578</v>
      </c>
      <c r="B578" s="31">
        <v>104</v>
      </c>
      <c r="C578" s="249" t="s">
        <v>165</v>
      </c>
      <c r="D578" s="320" t="s">
        <v>180</v>
      </c>
      <c r="E578" s="321" t="s">
        <v>622</v>
      </c>
      <c r="F578" s="322" t="s">
        <v>660</v>
      </c>
      <c r="G578" s="323" t="s">
        <v>661</v>
      </c>
      <c r="H578" s="322" t="s">
        <v>19</v>
      </c>
      <c r="I578" s="324">
        <f>(3.7*2.4)*1.3</f>
        <v>11.544000000000002</v>
      </c>
      <c r="J578" s="325"/>
      <c r="K578" s="325"/>
      <c r="L578" s="325">
        <v>30</v>
      </c>
      <c r="M578" s="325"/>
      <c r="N578" s="325"/>
      <c r="O578" s="326"/>
      <c r="P578" s="326">
        <v>9</v>
      </c>
      <c r="Q578" s="326"/>
      <c r="R578" s="326"/>
      <c r="S578" s="327"/>
    </row>
    <row r="579" spans="1:19" ht="15" customHeight="1">
      <c r="A579" s="561">
        <f t="shared" ref="A579:A642" si="9">1+A578</f>
        <v>579</v>
      </c>
      <c r="B579" s="31">
        <v>104</v>
      </c>
      <c r="C579" s="249" t="s">
        <v>165</v>
      </c>
      <c r="D579" s="320" t="s">
        <v>180</v>
      </c>
      <c r="E579" s="321" t="s">
        <v>622</v>
      </c>
      <c r="F579" s="322" t="s">
        <v>660</v>
      </c>
      <c r="G579" s="323" t="s">
        <v>662</v>
      </c>
      <c r="H579" s="322" t="s">
        <v>19</v>
      </c>
      <c r="I579" s="324">
        <f>2.1*4+1.2*1.2</f>
        <v>9.84</v>
      </c>
      <c r="J579" s="325"/>
      <c r="K579" s="325"/>
      <c r="L579" s="325">
        <v>37</v>
      </c>
      <c r="M579" s="325"/>
      <c r="N579" s="325"/>
      <c r="O579" s="326"/>
      <c r="P579" s="326">
        <v>10</v>
      </c>
      <c r="Q579" s="326"/>
      <c r="R579" s="326"/>
      <c r="S579" s="327"/>
    </row>
    <row r="580" spans="1:19" ht="15" customHeight="1">
      <c r="A580" s="561">
        <f t="shared" si="9"/>
        <v>580</v>
      </c>
      <c r="B580" s="31">
        <v>104</v>
      </c>
      <c r="C580" s="249" t="s">
        <v>165</v>
      </c>
      <c r="D580" s="320" t="s">
        <v>180</v>
      </c>
      <c r="E580" s="321" t="s">
        <v>622</v>
      </c>
      <c r="F580" s="322" t="s">
        <v>489</v>
      </c>
      <c r="G580" s="323" t="s">
        <v>663</v>
      </c>
      <c r="H580" s="322" t="s">
        <v>19</v>
      </c>
      <c r="I580" s="324">
        <v>0</v>
      </c>
      <c r="J580" s="325"/>
      <c r="K580" s="325"/>
      <c r="L580" s="325"/>
      <c r="M580" s="325"/>
      <c r="N580" s="325"/>
      <c r="O580" s="326"/>
      <c r="P580" s="326"/>
      <c r="Q580" s="326"/>
      <c r="R580" s="326"/>
      <c r="S580" s="327" t="s">
        <v>1350</v>
      </c>
    </row>
    <row r="581" spans="1:19" ht="15" customHeight="1">
      <c r="A581" s="561">
        <f t="shared" si="9"/>
        <v>581</v>
      </c>
      <c r="B581" s="31">
        <v>104</v>
      </c>
      <c r="C581" s="249" t="s">
        <v>165</v>
      </c>
      <c r="D581" s="320" t="s">
        <v>180</v>
      </c>
      <c r="E581" s="321" t="s">
        <v>622</v>
      </c>
      <c r="F581" s="322" t="s">
        <v>489</v>
      </c>
      <c r="G581" s="323" t="s">
        <v>664</v>
      </c>
      <c r="H581" s="322" t="s">
        <v>19</v>
      </c>
      <c r="I581" s="324">
        <v>317</v>
      </c>
      <c r="J581" s="325"/>
      <c r="K581" s="325"/>
      <c r="L581" s="325">
        <v>145</v>
      </c>
      <c r="M581" s="325"/>
      <c r="N581" s="325"/>
      <c r="O581" s="326"/>
      <c r="P581" s="326">
        <v>317</v>
      </c>
      <c r="Q581" s="326"/>
      <c r="R581" s="326"/>
      <c r="S581" s="327"/>
    </row>
    <row r="582" spans="1:19" ht="15" customHeight="1">
      <c r="A582" s="561">
        <f t="shared" si="9"/>
        <v>582</v>
      </c>
      <c r="B582" s="31">
        <v>104</v>
      </c>
      <c r="C582" s="249" t="s">
        <v>165</v>
      </c>
      <c r="D582" s="320" t="s">
        <v>180</v>
      </c>
      <c r="E582" s="321" t="s">
        <v>622</v>
      </c>
      <c r="F582" s="322" t="s">
        <v>489</v>
      </c>
      <c r="G582" s="323" t="s">
        <v>665</v>
      </c>
      <c r="H582" s="322" t="s">
        <v>19</v>
      </c>
      <c r="I582" s="324">
        <v>309</v>
      </c>
      <c r="J582" s="325"/>
      <c r="K582" s="325"/>
      <c r="L582" s="325">
        <v>143</v>
      </c>
      <c r="M582" s="325"/>
      <c r="N582" s="325"/>
      <c r="O582" s="326"/>
      <c r="P582" s="326"/>
      <c r="Q582" s="326"/>
      <c r="R582" s="326"/>
      <c r="S582" s="327"/>
    </row>
    <row r="583" spans="1:19" ht="15" customHeight="1">
      <c r="A583" s="561">
        <f t="shared" si="9"/>
        <v>583</v>
      </c>
      <c r="B583" s="31">
        <v>104</v>
      </c>
      <c r="C583" s="249" t="s">
        <v>165</v>
      </c>
      <c r="D583" s="320" t="s">
        <v>180</v>
      </c>
      <c r="E583" s="321" t="s">
        <v>622</v>
      </c>
      <c r="F583" s="322" t="s">
        <v>489</v>
      </c>
      <c r="G583" s="323" t="s">
        <v>666</v>
      </c>
      <c r="H583" s="322" t="s">
        <v>19</v>
      </c>
      <c r="I583" s="324">
        <f>2.7*2.7+1.5*3.3</f>
        <v>12.24</v>
      </c>
      <c r="J583" s="325"/>
      <c r="K583" s="325"/>
      <c r="L583" s="325">
        <v>26</v>
      </c>
      <c r="M583" s="325"/>
      <c r="N583" s="325"/>
      <c r="O583" s="326"/>
      <c r="P583" s="326">
        <v>12</v>
      </c>
      <c r="Q583" s="326"/>
      <c r="R583" s="326"/>
      <c r="S583" s="327"/>
    </row>
    <row r="584" spans="1:19" ht="15" customHeight="1">
      <c r="A584" s="561">
        <f t="shared" si="9"/>
        <v>584</v>
      </c>
      <c r="B584" s="31">
        <v>104</v>
      </c>
      <c r="C584" s="249" t="s">
        <v>165</v>
      </c>
      <c r="D584" s="320" t="s">
        <v>180</v>
      </c>
      <c r="E584" s="321" t="s">
        <v>622</v>
      </c>
      <c r="F584" s="322" t="s">
        <v>489</v>
      </c>
      <c r="G584" s="323" t="s">
        <v>667</v>
      </c>
      <c r="H584" s="322" t="s">
        <v>19</v>
      </c>
      <c r="I584" s="324">
        <v>7</v>
      </c>
      <c r="J584" s="325"/>
      <c r="K584" s="325"/>
      <c r="L584" s="325">
        <v>27</v>
      </c>
      <c r="M584" s="325"/>
      <c r="N584" s="325"/>
      <c r="O584" s="326"/>
      <c r="P584" s="326"/>
      <c r="Q584" s="326"/>
      <c r="R584" s="326"/>
      <c r="S584" s="327"/>
    </row>
    <row r="585" spans="1:19" ht="15" customHeight="1">
      <c r="A585" s="561">
        <f t="shared" si="9"/>
        <v>585</v>
      </c>
      <c r="B585" s="31">
        <v>104</v>
      </c>
      <c r="C585" s="249" t="s">
        <v>165</v>
      </c>
      <c r="D585" s="320" t="s">
        <v>180</v>
      </c>
      <c r="E585" s="321" t="s">
        <v>622</v>
      </c>
      <c r="F585" s="322" t="s">
        <v>489</v>
      </c>
      <c r="G585" s="323" t="s">
        <v>668</v>
      </c>
      <c r="H585" s="322" t="s">
        <v>19</v>
      </c>
      <c r="I585" s="324">
        <v>7</v>
      </c>
      <c r="J585" s="325"/>
      <c r="K585" s="325"/>
      <c r="L585" s="325">
        <v>27</v>
      </c>
      <c r="M585" s="325"/>
      <c r="N585" s="325"/>
      <c r="O585" s="326"/>
      <c r="P585" s="326"/>
      <c r="Q585" s="326"/>
      <c r="R585" s="326"/>
      <c r="S585" s="327"/>
    </row>
    <row r="586" spans="1:19" ht="15" customHeight="1">
      <c r="A586" s="561">
        <f t="shared" si="9"/>
        <v>586</v>
      </c>
      <c r="B586" s="31">
        <v>104</v>
      </c>
      <c r="C586" s="249" t="s">
        <v>165</v>
      </c>
      <c r="D586" s="320" t="s">
        <v>180</v>
      </c>
      <c r="E586" s="321" t="s">
        <v>673</v>
      </c>
      <c r="F586" s="322" t="s">
        <v>635</v>
      </c>
      <c r="G586" s="323" t="s">
        <v>674</v>
      </c>
      <c r="H586" s="322" t="s">
        <v>166</v>
      </c>
      <c r="I586" s="324">
        <v>0</v>
      </c>
      <c r="J586" s="325"/>
      <c r="K586" s="325"/>
      <c r="L586" s="325"/>
      <c r="M586" s="325"/>
      <c r="N586" s="325"/>
      <c r="O586" s="326"/>
      <c r="P586" s="326"/>
      <c r="Q586" s="326"/>
      <c r="R586" s="326"/>
      <c r="S586" s="327" t="s">
        <v>712</v>
      </c>
    </row>
    <row r="587" spans="1:19" ht="15" customHeight="1">
      <c r="A587" s="561">
        <f t="shared" si="9"/>
        <v>587</v>
      </c>
      <c r="B587" s="31">
        <v>104</v>
      </c>
      <c r="C587" s="249" t="s">
        <v>165</v>
      </c>
      <c r="D587" s="320" t="s">
        <v>180</v>
      </c>
      <c r="E587" s="321" t="s">
        <v>673</v>
      </c>
      <c r="F587" s="322" t="s">
        <v>175</v>
      </c>
      <c r="G587" s="323" t="s">
        <v>676</v>
      </c>
      <c r="H587" s="322" t="s">
        <v>19</v>
      </c>
      <c r="I587" s="324">
        <f>(32.3*1.5+5.1*2.5+6.2*2.5)*1.3</f>
        <v>99.71</v>
      </c>
      <c r="J587" s="325"/>
      <c r="K587" s="325"/>
      <c r="L587" s="325">
        <v>301</v>
      </c>
      <c r="M587" s="325"/>
      <c r="N587" s="325"/>
      <c r="O587" s="326"/>
      <c r="P587" s="326"/>
      <c r="Q587" s="326">
        <v>77</v>
      </c>
      <c r="R587" s="326"/>
      <c r="S587" s="327"/>
    </row>
    <row r="588" spans="1:19" ht="15" customHeight="1">
      <c r="A588" s="561">
        <f t="shared" si="9"/>
        <v>588</v>
      </c>
      <c r="B588" s="31">
        <v>104</v>
      </c>
      <c r="C588" s="249" t="s">
        <v>165</v>
      </c>
      <c r="D588" s="320" t="s">
        <v>180</v>
      </c>
      <c r="E588" s="321" t="s">
        <v>673</v>
      </c>
      <c r="F588" s="322" t="s">
        <v>635</v>
      </c>
      <c r="G588" s="323" t="s">
        <v>677</v>
      </c>
      <c r="H588" s="322" t="s">
        <v>166</v>
      </c>
      <c r="I588" s="324">
        <v>0</v>
      </c>
      <c r="J588" s="325"/>
      <c r="K588" s="325"/>
      <c r="L588" s="325"/>
      <c r="M588" s="325"/>
      <c r="N588" s="325"/>
      <c r="O588" s="326"/>
      <c r="P588" s="326"/>
      <c r="Q588" s="326"/>
      <c r="R588" s="326"/>
      <c r="S588" s="327" t="s">
        <v>713</v>
      </c>
    </row>
    <row r="589" spans="1:19" ht="15" customHeight="1">
      <c r="A589" s="561">
        <f t="shared" si="9"/>
        <v>589</v>
      </c>
      <c r="B589" s="31">
        <v>104</v>
      </c>
      <c r="C589" s="249" t="s">
        <v>165</v>
      </c>
      <c r="D589" s="320" t="s">
        <v>180</v>
      </c>
      <c r="E589" s="321" t="s">
        <v>673</v>
      </c>
      <c r="F589" s="322" t="s">
        <v>175</v>
      </c>
      <c r="G589" s="323" t="s">
        <v>678</v>
      </c>
      <c r="H589" s="322" t="s">
        <v>44</v>
      </c>
      <c r="I589" s="324">
        <v>158.6</v>
      </c>
      <c r="J589" s="325"/>
      <c r="K589" s="325"/>
      <c r="L589" s="325">
        <v>245</v>
      </c>
      <c r="M589" s="325"/>
      <c r="N589" s="325"/>
      <c r="O589" s="326"/>
      <c r="P589" s="326"/>
      <c r="Q589" s="326">
        <v>245</v>
      </c>
      <c r="R589" s="326"/>
      <c r="S589" s="327" t="s">
        <v>522</v>
      </c>
    </row>
    <row r="590" spans="1:19" ht="15" customHeight="1">
      <c r="A590" s="561">
        <f t="shared" si="9"/>
        <v>590</v>
      </c>
      <c r="B590" s="31">
        <v>104</v>
      </c>
      <c r="C590" s="249" t="s">
        <v>165</v>
      </c>
      <c r="D590" s="320" t="s">
        <v>180</v>
      </c>
      <c r="E590" s="321" t="s">
        <v>673</v>
      </c>
      <c r="F590" s="322" t="s">
        <v>175</v>
      </c>
      <c r="G590" s="323" t="s">
        <v>679</v>
      </c>
      <c r="H590" s="322" t="s">
        <v>44</v>
      </c>
      <c r="I590" s="324">
        <v>39</v>
      </c>
      <c r="J590" s="325"/>
      <c r="K590" s="325"/>
      <c r="L590" s="325">
        <v>120</v>
      </c>
      <c r="M590" s="325"/>
      <c r="N590" s="325"/>
      <c r="O590" s="326"/>
      <c r="P590" s="326"/>
      <c r="Q590" s="326">
        <v>30</v>
      </c>
      <c r="R590" s="326"/>
      <c r="S590" s="327" t="s">
        <v>522</v>
      </c>
    </row>
    <row r="591" spans="1:19" ht="15" customHeight="1">
      <c r="A591" s="561">
        <f t="shared" si="9"/>
        <v>591</v>
      </c>
      <c r="B591" s="31">
        <v>104</v>
      </c>
      <c r="C591" s="249" t="s">
        <v>165</v>
      </c>
      <c r="D591" s="320" t="s">
        <v>180</v>
      </c>
      <c r="E591" s="321" t="s">
        <v>673</v>
      </c>
      <c r="F591" s="322" t="s">
        <v>175</v>
      </c>
      <c r="G591" s="323" t="s">
        <v>680</v>
      </c>
      <c r="H591" s="322" t="s">
        <v>166</v>
      </c>
      <c r="I591" s="324">
        <v>0</v>
      </c>
      <c r="J591" s="325"/>
      <c r="K591" s="325"/>
      <c r="L591" s="325"/>
      <c r="M591" s="325"/>
      <c r="N591" s="325"/>
      <c r="O591" s="326"/>
      <c r="P591" s="326"/>
      <c r="Q591" s="326"/>
      <c r="R591" s="326"/>
      <c r="S591" s="327" t="s">
        <v>714</v>
      </c>
    </row>
    <row r="592" spans="1:19" ht="15" customHeight="1">
      <c r="A592" s="561">
        <f t="shared" si="9"/>
        <v>592</v>
      </c>
      <c r="B592" s="31">
        <v>104</v>
      </c>
      <c r="C592" s="249" t="s">
        <v>165</v>
      </c>
      <c r="D592" s="320" t="s">
        <v>180</v>
      </c>
      <c r="E592" s="321" t="s">
        <v>673</v>
      </c>
      <c r="F592" s="322" t="s">
        <v>598</v>
      </c>
      <c r="G592" s="323" t="s">
        <v>681</v>
      </c>
      <c r="H592" s="322" t="s">
        <v>44</v>
      </c>
      <c r="I592" s="324">
        <f>(8.5*3)*1.3</f>
        <v>33.15</v>
      </c>
      <c r="J592" s="325"/>
      <c r="K592" s="325">
        <v>115</v>
      </c>
      <c r="L592" s="325"/>
      <c r="M592" s="325"/>
      <c r="N592" s="325"/>
      <c r="O592" s="326"/>
      <c r="P592" s="326">
        <v>26</v>
      </c>
      <c r="Q592" s="326"/>
      <c r="R592" s="326"/>
      <c r="S592" s="327" t="s">
        <v>715</v>
      </c>
    </row>
    <row r="593" spans="1:19" ht="15" customHeight="1">
      <c r="A593" s="561">
        <f t="shared" si="9"/>
        <v>593</v>
      </c>
      <c r="B593" s="31">
        <v>104</v>
      </c>
      <c r="C593" s="249" t="s">
        <v>165</v>
      </c>
      <c r="D593" s="320" t="s">
        <v>180</v>
      </c>
      <c r="E593" s="321" t="s">
        <v>673</v>
      </c>
      <c r="F593" s="322" t="s">
        <v>598</v>
      </c>
      <c r="G593" s="323" t="s">
        <v>682</v>
      </c>
      <c r="H593" s="322" t="s">
        <v>44</v>
      </c>
      <c r="I593" s="324">
        <v>20.8</v>
      </c>
      <c r="J593" s="325"/>
      <c r="K593" s="325"/>
      <c r="L593" s="325">
        <f>+(0.7+6.3+0.6+4.3+5.7)*3.2</f>
        <v>56.319999999999993</v>
      </c>
      <c r="M593" s="325"/>
      <c r="N593" s="325"/>
      <c r="O593" s="326"/>
      <c r="P593" s="326"/>
      <c r="Q593" s="326">
        <v>16</v>
      </c>
      <c r="R593" s="326"/>
      <c r="S593" s="327"/>
    </row>
    <row r="594" spans="1:19" ht="15" customHeight="1">
      <c r="A594" s="561">
        <f t="shared" si="9"/>
        <v>594</v>
      </c>
      <c r="B594" s="31">
        <v>104</v>
      </c>
      <c r="C594" s="249" t="s">
        <v>165</v>
      </c>
      <c r="D594" s="320" t="s">
        <v>180</v>
      </c>
      <c r="E594" s="321" t="s">
        <v>673</v>
      </c>
      <c r="F594" s="322" t="s">
        <v>334</v>
      </c>
      <c r="G594" s="323" t="s">
        <v>683</v>
      </c>
      <c r="H594" s="322" t="s">
        <v>44</v>
      </c>
      <c r="I594" s="324">
        <v>347.1</v>
      </c>
      <c r="J594" s="325"/>
      <c r="K594" s="325"/>
      <c r="L594" s="325">
        <v>975</v>
      </c>
      <c r="M594" s="325"/>
      <c r="N594" s="325"/>
      <c r="O594" s="326"/>
      <c r="P594" s="326">
        <v>267</v>
      </c>
      <c r="Q594" s="326"/>
      <c r="R594" s="326"/>
      <c r="S594" s="327"/>
    </row>
    <row r="595" spans="1:19" ht="15" customHeight="1">
      <c r="A595" s="561">
        <f t="shared" si="9"/>
        <v>595</v>
      </c>
      <c r="B595" s="31">
        <v>104</v>
      </c>
      <c r="C595" s="249" t="s">
        <v>165</v>
      </c>
      <c r="D595" s="320" t="s">
        <v>180</v>
      </c>
      <c r="E595" s="321" t="s">
        <v>673</v>
      </c>
      <c r="F595" s="322" t="s">
        <v>334</v>
      </c>
      <c r="G595" s="323" t="s">
        <v>684</v>
      </c>
      <c r="H595" s="322" t="s">
        <v>44</v>
      </c>
      <c r="I595" s="324">
        <v>7.8000000000000007</v>
      </c>
      <c r="J595" s="325"/>
      <c r="K595" s="325"/>
      <c r="L595" s="325">
        <v>35</v>
      </c>
      <c r="M595" s="325"/>
      <c r="N595" s="325"/>
      <c r="O595" s="326"/>
      <c r="P595" s="326">
        <v>6</v>
      </c>
      <c r="Q595" s="326"/>
      <c r="R595" s="326"/>
      <c r="S595" s="327"/>
    </row>
    <row r="596" spans="1:19" ht="15" customHeight="1">
      <c r="A596" s="561">
        <f t="shared" si="9"/>
        <v>596</v>
      </c>
      <c r="B596" s="31">
        <v>104</v>
      </c>
      <c r="C596" s="249" t="s">
        <v>165</v>
      </c>
      <c r="D596" s="320" t="s">
        <v>180</v>
      </c>
      <c r="E596" s="321" t="s">
        <v>673</v>
      </c>
      <c r="F596" s="322" t="s">
        <v>332</v>
      </c>
      <c r="G596" s="323" t="s">
        <v>685</v>
      </c>
      <c r="H596" s="322" t="s">
        <v>44</v>
      </c>
      <c r="I596" s="324">
        <v>16.900000000000002</v>
      </c>
      <c r="J596" s="325"/>
      <c r="K596" s="325"/>
      <c r="L596" s="325">
        <v>51</v>
      </c>
      <c r="M596" s="325"/>
      <c r="N596" s="325"/>
      <c r="O596" s="326"/>
      <c r="P596" s="326"/>
      <c r="Q596" s="326"/>
      <c r="R596" s="326">
        <v>13</v>
      </c>
      <c r="S596" s="327" t="s">
        <v>716</v>
      </c>
    </row>
    <row r="597" spans="1:19" ht="15" customHeight="1">
      <c r="A597" s="561">
        <f t="shared" si="9"/>
        <v>597</v>
      </c>
      <c r="B597" s="31">
        <v>104</v>
      </c>
      <c r="C597" s="249" t="s">
        <v>165</v>
      </c>
      <c r="D597" s="320" t="s">
        <v>180</v>
      </c>
      <c r="E597" s="321" t="s">
        <v>673</v>
      </c>
      <c r="F597" s="322" t="s">
        <v>334</v>
      </c>
      <c r="G597" s="323" t="s">
        <v>686</v>
      </c>
      <c r="H597" s="322" t="s">
        <v>44</v>
      </c>
      <c r="I597" s="324">
        <v>16.900000000000002</v>
      </c>
      <c r="J597" s="325"/>
      <c r="K597" s="325"/>
      <c r="L597" s="325">
        <v>50</v>
      </c>
      <c r="M597" s="325"/>
      <c r="N597" s="325"/>
      <c r="O597" s="326"/>
      <c r="P597" s="326"/>
      <c r="Q597" s="326"/>
      <c r="R597" s="326">
        <v>13</v>
      </c>
      <c r="S597" s="327" t="s">
        <v>716</v>
      </c>
    </row>
    <row r="598" spans="1:19" ht="15" customHeight="1">
      <c r="A598" s="561">
        <f t="shared" si="9"/>
        <v>598</v>
      </c>
      <c r="B598" s="31">
        <v>104</v>
      </c>
      <c r="C598" s="249" t="s">
        <v>165</v>
      </c>
      <c r="D598" s="320" t="s">
        <v>180</v>
      </c>
      <c r="E598" s="321" t="s">
        <v>673</v>
      </c>
      <c r="F598" s="322" t="s">
        <v>332</v>
      </c>
      <c r="G598" s="323" t="s">
        <v>687</v>
      </c>
      <c r="H598" s="322" t="s">
        <v>44</v>
      </c>
      <c r="I598" s="324">
        <v>41.6</v>
      </c>
      <c r="J598" s="325"/>
      <c r="K598" s="325"/>
      <c r="L598" s="325">
        <v>85</v>
      </c>
      <c r="M598" s="325"/>
      <c r="N598" s="325"/>
      <c r="O598" s="326"/>
      <c r="P598" s="326">
        <v>32</v>
      </c>
      <c r="Q598" s="326"/>
      <c r="R598" s="326"/>
      <c r="S598" s="327"/>
    </row>
    <row r="599" spans="1:19" ht="15" customHeight="1">
      <c r="A599" s="561">
        <f t="shared" si="9"/>
        <v>599</v>
      </c>
      <c r="B599" s="31">
        <v>104</v>
      </c>
      <c r="C599" s="249" t="s">
        <v>165</v>
      </c>
      <c r="D599" s="320" t="s">
        <v>180</v>
      </c>
      <c r="E599" s="321" t="s">
        <v>673</v>
      </c>
      <c r="F599" s="322" t="s">
        <v>334</v>
      </c>
      <c r="G599" s="323" t="s">
        <v>688</v>
      </c>
      <c r="H599" s="322" t="s">
        <v>44</v>
      </c>
      <c r="I599" s="324">
        <v>13</v>
      </c>
      <c r="J599" s="325"/>
      <c r="K599" s="325"/>
      <c r="L599" s="325">
        <v>45</v>
      </c>
      <c r="M599" s="325"/>
      <c r="N599" s="325"/>
      <c r="O599" s="326"/>
      <c r="P599" s="326"/>
      <c r="Q599" s="326"/>
      <c r="R599" s="326">
        <v>10</v>
      </c>
      <c r="S599" s="327" t="s">
        <v>716</v>
      </c>
    </row>
    <row r="600" spans="1:19" ht="15" customHeight="1">
      <c r="A600" s="561">
        <f t="shared" si="9"/>
        <v>600</v>
      </c>
      <c r="B600" s="31">
        <v>104</v>
      </c>
      <c r="C600" s="249" t="s">
        <v>165</v>
      </c>
      <c r="D600" s="320" t="s">
        <v>180</v>
      </c>
      <c r="E600" s="321" t="s">
        <v>673</v>
      </c>
      <c r="F600" s="322" t="s">
        <v>123</v>
      </c>
      <c r="G600" s="323" t="s">
        <v>689</v>
      </c>
      <c r="H600" s="322" t="s">
        <v>44</v>
      </c>
      <c r="I600" s="324">
        <f>(4.3*3.6)*1.3</f>
        <v>20.124000000000002</v>
      </c>
      <c r="J600" s="325"/>
      <c r="K600" s="325">
        <v>40</v>
      </c>
      <c r="L600" s="325"/>
      <c r="M600" s="325"/>
      <c r="N600" s="325"/>
      <c r="O600" s="326"/>
      <c r="P600" s="326"/>
      <c r="Q600" s="326">
        <v>15</v>
      </c>
      <c r="R600" s="326"/>
      <c r="S600" s="327"/>
    </row>
    <row r="601" spans="1:19" ht="15" customHeight="1">
      <c r="A601" s="561">
        <f t="shared" si="9"/>
        <v>601</v>
      </c>
      <c r="B601" s="31">
        <v>104</v>
      </c>
      <c r="C601" s="249" t="s">
        <v>165</v>
      </c>
      <c r="D601" s="320" t="s">
        <v>180</v>
      </c>
      <c r="E601" s="321" t="s">
        <v>673</v>
      </c>
      <c r="F601" s="322" t="s">
        <v>123</v>
      </c>
      <c r="G601" s="323" t="s">
        <v>690</v>
      </c>
      <c r="H601" s="322" t="s">
        <v>44</v>
      </c>
      <c r="I601" s="324">
        <f>(4.3*3.6)*1.3</f>
        <v>20.124000000000002</v>
      </c>
      <c r="J601" s="325"/>
      <c r="K601" s="325">
        <v>40</v>
      </c>
      <c r="L601" s="325"/>
      <c r="M601" s="325"/>
      <c r="N601" s="325"/>
      <c r="O601" s="326"/>
      <c r="P601" s="326"/>
      <c r="Q601" s="326">
        <v>15</v>
      </c>
      <c r="R601" s="326"/>
      <c r="S601" s="327"/>
    </row>
    <row r="602" spans="1:19" ht="15" customHeight="1">
      <c r="A602" s="561">
        <f t="shared" si="9"/>
        <v>602</v>
      </c>
      <c r="B602" s="31">
        <v>104</v>
      </c>
      <c r="C602" s="249" t="s">
        <v>165</v>
      </c>
      <c r="D602" s="320" t="s">
        <v>180</v>
      </c>
      <c r="E602" s="321" t="s">
        <v>673</v>
      </c>
      <c r="F602" s="322" t="s">
        <v>489</v>
      </c>
      <c r="G602" s="323" t="s">
        <v>691</v>
      </c>
      <c r="H602" s="322" t="s">
        <v>19</v>
      </c>
      <c r="I602" s="324">
        <f>(6*3)*1.3</f>
        <v>23.400000000000002</v>
      </c>
      <c r="J602" s="325"/>
      <c r="K602" s="325"/>
      <c r="L602" s="325">
        <v>57</v>
      </c>
      <c r="M602" s="325"/>
      <c r="N602" s="325"/>
      <c r="O602" s="326"/>
      <c r="P602" s="326">
        <v>18</v>
      </c>
      <c r="Q602" s="326"/>
      <c r="R602" s="326"/>
      <c r="S602" s="327"/>
    </row>
    <row r="603" spans="1:19" ht="15" customHeight="1">
      <c r="A603" s="561">
        <f t="shared" si="9"/>
        <v>603</v>
      </c>
      <c r="B603" s="31">
        <v>104</v>
      </c>
      <c r="C603" s="249" t="s">
        <v>165</v>
      </c>
      <c r="D603" s="320" t="s">
        <v>180</v>
      </c>
      <c r="E603" s="321" t="s">
        <v>673</v>
      </c>
      <c r="F603" s="322" t="s">
        <v>489</v>
      </c>
      <c r="G603" s="323" t="s">
        <v>692</v>
      </c>
      <c r="H603" s="322" t="s">
        <v>44</v>
      </c>
      <c r="I603" s="324">
        <f>(6.7*8.9)*1.3</f>
        <v>77.519000000000005</v>
      </c>
      <c r="J603" s="325"/>
      <c r="K603" s="325">
        <v>100</v>
      </c>
      <c r="L603" s="325"/>
      <c r="M603" s="325"/>
      <c r="N603" s="325"/>
      <c r="O603" s="326"/>
      <c r="P603" s="326"/>
      <c r="Q603" s="326">
        <v>60</v>
      </c>
      <c r="R603" s="326"/>
      <c r="S603" s="327"/>
    </row>
    <row r="604" spans="1:19" ht="15" customHeight="1">
      <c r="A604" s="561">
        <f t="shared" si="9"/>
        <v>604</v>
      </c>
      <c r="B604" s="31">
        <v>104</v>
      </c>
      <c r="C604" s="249" t="s">
        <v>165</v>
      </c>
      <c r="D604" s="320" t="s">
        <v>180</v>
      </c>
      <c r="E604" s="321" t="s">
        <v>673</v>
      </c>
      <c r="F604" s="322" t="s">
        <v>489</v>
      </c>
      <c r="G604" s="323" t="s">
        <v>693</v>
      </c>
      <c r="H604" s="322" t="s">
        <v>19</v>
      </c>
      <c r="I604" s="324">
        <f>(6.7*8.9)*1.3</f>
        <v>77.519000000000005</v>
      </c>
      <c r="J604" s="325"/>
      <c r="K604" s="325"/>
      <c r="L604" s="325">
        <v>100</v>
      </c>
      <c r="M604" s="325"/>
      <c r="N604" s="325"/>
      <c r="O604" s="326"/>
      <c r="P604" s="326">
        <v>60</v>
      </c>
      <c r="Q604" s="326"/>
      <c r="R604" s="326"/>
      <c r="S604" s="327"/>
    </row>
    <row r="605" spans="1:19" ht="15" customHeight="1">
      <c r="A605" s="561">
        <f t="shared" si="9"/>
        <v>605</v>
      </c>
      <c r="B605" s="31">
        <v>104</v>
      </c>
      <c r="C605" s="249" t="s">
        <v>165</v>
      </c>
      <c r="D605" s="320" t="s">
        <v>180</v>
      </c>
      <c r="E605" s="321" t="s">
        <v>673</v>
      </c>
      <c r="F605" s="322" t="s">
        <v>489</v>
      </c>
      <c r="G605" s="323" t="s">
        <v>694</v>
      </c>
      <c r="H605" s="322" t="s">
        <v>19</v>
      </c>
      <c r="I605" s="324">
        <f>(6.6*6.2)*1.3</f>
        <v>53.196000000000005</v>
      </c>
      <c r="J605" s="325"/>
      <c r="K605" s="325"/>
      <c r="L605" s="325">
        <v>82</v>
      </c>
      <c r="M605" s="325"/>
      <c r="N605" s="325"/>
      <c r="O605" s="326"/>
      <c r="P605" s="326">
        <v>41</v>
      </c>
      <c r="Q605" s="326"/>
      <c r="R605" s="326"/>
      <c r="S605" s="327"/>
    </row>
    <row r="606" spans="1:19" ht="15" customHeight="1">
      <c r="A606" s="561">
        <f t="shared" si="9"/>
        <v>606</v>
      </c>
      <c r="B606" s="31">
        <v>104</v>
      </c>
      <c r="C606" s="249" t="s">
        <v>165</v>
      </c>
      <c r="D606" s="320" t="s">
        <v>180</v>
      </c>
      <c r="E606" s="321" t="s">
        <v>673</v>
      </c>
      <c r="F606" s="322" t="s">
        <v>489</v>
      </c>
      <c r="G606" s="323" t="s">
        <v>695</v>
      </c>
      <c r="H606" s="322" t="s">
        <v>19</v>
      </c>
      <c r="I606" s="324">
        <v>0</v>
      </c>
      <c r="J606" s="325"/>
      <c r="K606" s="325"/>
      <c r="L606" s="325"/>
      <c r="M606" s="325"/>
      <c r="N606" s="325"/>
      <c r="O606" s="326"/>
      <c r="P606" s="326"/>
      <c r="Q606" s="326"/>
      <c r="R606" s="326"/>
      <c r="S606" s="327"/>
    </row>
    <row r="607" spans="1:19" ht="15" customHeight="1">
      <c r="A607" s="561">
        <f t="shared" si="9"/>
        <v>607</v>
      </c>
      <c r="B607" s="31">
        <v>104</v>
      </c>
      <c r="C607" s="249" t="s">
        <v>165</v>
      </c>
      <c r="D607" s="320" t="s">
        <v>180</v>
      </c>
      <c r="E607" s="321" t="s">
        <v>673</v>
      </c>
      <c r="F607" s="322" t="s">
        <v>489</v>
      </c>
      <c r="G607" s="323" t="s">
        <v>696</v>
      </c>
      <c r="H607" s="322" t="s">
        <v>19</v>
      </c>
      <c r="I607" s="324">
        <v>0</v>
      </c>
      <c r="J607" s="325"/>
      <c r="K607" s="325"/>
      <c r="L607" s="325"/>
      <c r="M607" s="325"/>
      <c r="N607" s="325"/>
      <c r="O607" s="326"/>
      <c r="P607" s="326"/>
      <c r="Q607" s="326"/>
      <c r="R607" s="326"/>
      <c r="S607" s="327"/>
    </row>
    <row r="608" spans="1:19" ht="15" customHeight="1">
      <c r="A608" s="561">
        <f t="shared" si="9"/>
        <v>608</v>
      </c>
      <c r="B608" s="31">
        <v>104</v>
      </c>
      <c r="C608" s="249" t="s">
        <v>165</v>
      </c>
      <c r="D608" s="320" t="s">
        <v>180</v>
      </c>
      <c r="E608" s="321" t="s">
        <v>673</v>
      </c>
      <c r="F608" s="322" t="s">
        <v>489</v>
      </c>
      <c r="G608" s="323" t="s">
        <v>697</v>
      </c>
      <c r="H608" s="322" t="s">
        <v>19</v>
      </c>
      <c r="I608" s="324">
        <v>0</v>
      </c>
      <c r="J608" s="325"/>
      <c r="K608" s="325"/>
      <c r="L608" s="325"/>
      <c r="M608" s="325"/>
      <c r="N608" s="325"/>
      <c r="O608" s="326"/>
      <c r="P608" s="326"/>
      <c r="Q608" s="326"/>
      <c r="R608" s="326"/>
      <c r="S608" s="327"/>
    </row>
    <row r="609" spans="1:19" ht="15" customHeight="1">
      <c r="A609" s="561">
        <f t="shared" si="9"/>
        <v>609</v>
      </c>
      <c r="B609" s="31">
        <v>104</v>
      </c>
      <c r="C609" s="249" t="s">
        <v>165</v>
      </c>
      <c r="D609" s="320" t="s">
        <v>180</v>
      </c>
      <c r="E609" s="321" t="s">
        <v>673</v>
      </c>
      <c r="F609" s="322" t="s">
        <v>489</v>
      </c>
      <c r="G609" s="323" t="s">
        <v>698</v>
      </c>
      <c r="H609" s="322" t="s">
        <v>19</v>
      </c>
      <c r="I609" s="324">
        <v>0</v>
      </c>
      <c r="J609" s="325"/>
      <c r="K609" s="325"/>
      <c r="L609" s="325"/>
      <c r="M609" s="325"/>
      <c r="N609" s="325"/>
      <c r="O609" s="326"/>
      <c r="P609" s="326"/>
      <c r="Q609" s="326"/>
      <c r="R609" s="326"/>
      <c r="S609" s="327"/>
    </row>
    <row r="610" spans="1:19" ht="15" customHeight="1">
      <c r="A610" s="561">
        <f t="shared" si="9"/>
        <v>610</v>
      </c>
      <c r="B610" s="31">
        <v>104</v>
      </c>
      <c r="C610" s="249" t="s">
        <v>165</v>
      </c>
      <c r="D610" s="320" t="s">
        <v>180</v>
      </c>
      <c r="E610" s="321" t="s">
        <v>673</v>
      </c>
      <c r="F610" s="322" t="s">
        <v>489</v>
      </c>
      <c r="G610" s="323" t="s">
        <v>699</v>
      </c>
      <c r="H610" s="322" t="s">
        <v>19</v>
      </c>
      <c r="I610" s="324">
        <v>0</v>
      </c>
      <c r="J610" s="325"/>
      <c r="K610" s="325"/>
      <c r="L610" s="325"/>
      <c r="M610" s="325"/>
      <c r="N610" s="325"/>
      <c r="O610" s="326"/>
      <c r="P610" s="326"/>
      <c r="Q610" s="326"/>
      <c r="R610" s="326"/>
      <c r="S610" s="327"/>
    </row>
    <row r="611" spans="1:19" ht="15" customHeight="1">
      <c r="A611" s="561">
        <f t="shared" si="9"/>
        <v>611</v>
      </c>
      <c r="B611" s="31">
        <v>104</v>
      </c>
      <c r="C611" s="249" t="s">
        <v>165</v>
      </c>
      <c r="D611" s="320" t="s">
        <v>180</v>
      </c>
      <c r="E611" s="321" t="s">
        <v>673</v>
      </c>
      <c r="F611" s="322" t="s">
        <v>489</v>
      </c>
      <c r="G611" s="323" t="s">
        <v>700</v>
      </c>
      <c r="H611" s="322" t="s">
        <v>19</v>
      </c>
      <c r="I611" s="324">
        <v>0</v>
      </c>
      <c r="J611" s="325"/>
      <c r="K611" s="325"/>
      <c r="L611" s="325"/>
      <c r="M611" s="325"/>
      <c r="N611" s="325"/>
      <c r="O611" s="326"/>
      <c r="P611" s="326"/>
      <c r="Q611" s="326"/>
      <c r="R611" s="326"/>
      <c r="S611" s="327"/>
    </row>
    <row r="612" spans="1:19" ht="15" customHeight="1">
      <c r="A612" s="561">
        <f t="shared" si="9"/>
        <v>612</v>
      </c>
      <c r="B612" s="31">
        <v>104</v>
      </c>
      <c r="C612" s="249" t="s">
        <v>165</v>
      </c>
      <c r="D612" s="320" t="s">
        <v>180</v>
      </c>
      <c r="E612" s="321" t="s">
        <v>673</v>
      </c>
      <c r="F612" s="322" t="s">
        <v>489</v>
      </c>
      <c r="G612" s="323" t="s">
        <v>701</v>
      </c>
      <c r="H612" s="322" t="s">
        <v>19</v>
      </c>
      <c r="I612" s="324">
        <f>((6.5*2+9.5*2)*(21+9))*1.3</f>
        <v>1248</v>
      </c>
      <c r="J612" s="325"/>
      <c r="K612" s="325"/>
      <c r="L612" s="325">
        <v>2019</v>
      </c>
      <c r="M612" s="325"/>
      <c r="N612" s="325"/>
      <c r="O612" s="326"/>
      <c r="P612" s="326">
        <v>960</v>
      </c>
      <c r="Q612" s="326"/>
      <c r="R612" s="326"/>
      <c r="S612" s="327"/>
    </row>
    <row r="613" spans="1:19" ht="15" customHeight="1">
      <c r="A613" s="561">
        <f t="shared" si="9"/>
        <v>613</v>
      </c>
      <c r="B613" s="31">
        <v>104</v>
      </c>
      <c r="C613" s="249" t="s">
        <v>165</v>
      </c>
      <c r="D613" s="320" t="s">
        <v>180</v>
      </c>
      <c r="E613" s="321" t="s">
        <v>673</v>
      </c>
      <c r="F613" s="322" t="s">
        <v>489</v>
      </c>
      <c r="G613" s="323" t="s">
        <v>702</v>
      </c>
      <c r="H613" s="322" t="s">
        <v>19</v>
      </c>
      <c r="I613" s="324">
        <v>0</v>
      </c>
      <c r="J613" s="325"/>
      <c r="K613" s="325"/>
      <c r="L613" s="325"/>
      <c r="M613" s="325"/>
      <c r="N613" s="325"/>
      <c r="O613" s="326"/>
      <c r="P613" s="326"/>
      <c r="Q613" s="326"/>
      <c r="R613" s="326"/>
      <c r="S613" s="327"/>
    </row>
    <row r="614" spans="1:19" ht="15" customHeight="1">
      <c r="A614" s="561">
        <f t="shared" si="9"/>
        <v>614</v>
      </c>
      <c r="B614" s="31">
        <v>104</v>
      </c>
      <c r="C614" s="249" t="s">
        <v>165</v>
      </c>
      <c r="D614" s="320" t="s">
        <v>180</v>
      </c>
      <c r="E614" s="321" t="s">
        <v>673</v>
      </c>
      <c r="F614" s="322" t="s">
        <v>489</v>
      </c>
      <c r="G614" s="323" t="s">
        <v>703</v>
      </c>
      <c r="H614" s="322" t="s">
        <v>19</v>
      </c>
      <c r="I614" s="324">
        <v>0</v>
      </c>
      <c r="J614" s="325"/>
      <c r="K614" s="325"/>
      <c r="L614" s="325"/>
      <c r="M614" s="325"/>
      <c r="N614" s="325"/>
      <c r="O614" s="326"/>
      <c r="P614" s="326"/>
      <c r="Q614" s="326"/>
      <c r="R614" s="326"/>
      <c r="S614" s="327"/>
    </row>
    <row r="615" spans="1:19" ht="15" customHeight="1">
      <c r="A615" s="561">
        <f t="shared" si="9"/>
        <v>615</v>
      </c>
      <c r="B615" s="31">
        <v>104</v>
      </c>
      <c r="C615" s="249" t="s">
        <v>165</v>
      </c>
      <c r="D615" s="320" t="s">
        <v>180</v>
      </c>
      <c r="E615" s="321" t="s">
        <v>673</v>
      </c>
      <c r="F615" s="322" t="s">
        <v>489</v>
      </c>
      <c r="G615" s="323" t="s">
        <v>704</v>
      </c>
      <c r="H615" s="322" t="s">
        <v>19</v>
      </c>
      <c r="I615" s="324">
        <v>0</v>
      </c>
      <c r="J615" s="325"/>
      <c r="K615" s="325"/>
      <c r="L615" s="325"/>
      <c r="M615" s="325"/>
      <c r="N615" s="325"/>
      <c r="O615" s="326"/>
      <c r="P615" s="326"/>
      <c r="Q615" s="326"/>
      <c r="R615" s="326"/>
      <c r="S615" s="327"/>
    </row>
    <row r="616" spans="1:19" ht="15" customHeight="1">
      <c r="A616" s="561">
        <f t="shared" si="9"/>
        <v>616</v>
      </c>
      <c r="B616" s="31">
        <v>104</v>
      </c>
      <c r="C616" s="249" t="s">
        <v>165</v>
      </c>
      <c r="D616" s="320" t="s">
        <v>180</v>
      </c>
      <c r="E616" s="321" t="s">
        <v>673</v>
      </c>
      <c r="F616" s="322" t="s">
        <v>489</v>
      </c>
      <c r="G616" s="323" t="s">
        <v>705</v>
      </c>
      <c r="H616" s="322" t="s">
        <v>19</v>
      </c>
      <c r="I616" s="324">
        <v>0</v>
      </c>
      <c r="J616" s="325"/>
      <c r="K616" s="325"/>
      <c r="L616" s="325"/>
      <c r="M616" s="325"/>
      <c r="N616" s="325"/>
      <c r="O616" s="326"/>
      <c r="P616" s="326"/>
      <c r="Q616" s="326"/>
      <c r="R616" s="326"/>
      <c r="S616" s="327"/>
    </row>
    <row r="617" spans="1:19" ht="15" customHeight="1">
      <c r="A617" s="561">
        <f t="shared" si="9"/>
        <v>617</v>
      </c>
      <c r="B617" s="31">
        <v>104</v>
      </c>
      <c r="C617" s="249" t="s">
        <v>165</v>
      </c>
      <c r="D617" s="320" t="s">
        <v>180</v>
      </c>
      <c r="E617" s="321" t="s">
        <v>673</v>
      </c>
      <c r="F617" s="322" t="s">
        <v>489</v>
      </c>
      <c r="G617" s="323" t="s">
        <v>706</v>
      </c>
      <c r="H617" s="322" t="s">
        <v>19</v>
      </c>
      <c r="I617" s="324">
        <v>0</v>
      </c>
      <c r="J617" s="325"/>
      <c r="K617" s="325"/>
      <c r="L617" s="325"/>
      <c r="M617" s="325"/>
      <c r="N617" s="325"/>
      <c r="O617" s="326"/>
      <c r="P617" s="326"/>
      <c r="Q617" s="326"/>
      <c r="R617" s="326"/>
      <c r="S617" s="327"/>
    </row>
    <row r="618" spans="1:19" ht="15" customHeight="1">
      <c r="A618" s="561">
        <f t="shared" si="9"/>
        <v>618</v>
      </c>
      <c r="B618" s="31">
        <v>104</v>
      </c>
      <c r="C618" s="249" t="s">
        <v>165</v>
      </c>
      <c r="D618" s="320" t="s">
        <v>180</v>
      </c>
      <c r="E618" s="321" t="s">
        <v>673</v>
      </c>
      <c r="F618" s="322" t="s">
        <v>489</v>
      </c>
      <c r="G618" s="323" t="s">
        <v>707</v>
      </c>
      <c r="H618" s="322" t="s">
        <v>19</v>
      </c>
      <c r="I618" s="324">
        <v>0</v>
      </c>
      <c r="J618" s="325"/>
      <c r="K618" s="325"/>
      <c r="L618" s="325"/>
      <c r="M618" s="325"/>
      <c r="N618" s="325"/>
      <c r="O618" s="326"/>
      <c r="P618" s="326"/>
      <c r="Q618" s="326"/>
      <c r="R618" s="326"/>
      <c r="S618" s="327"/>
    </row>
    <row r="619" spans="1:19" ht="15" customHeight="1">
      <c r="A619" s="561">
        <f t="shared" si="9"/>
        <v>619</v>
      </c>
      <c r="B619" s="31">
        <v>104</v>
      </c>
      <c r="C619" s="249" t="s">
        <v>165</v>
      </c>
      <c r="D619" s="320" t="s">
        <v>180</v>
      </c>
      <c r="E619" s="321" t="s">
        <v>673</v>
      </c>
      <c r="F619" s="322" t="s">
        <v>489</v>
      </c>
      <c r="G619" s="323" t="s">
        <v>708</v>
      </c>
      <c r="H619" s="322" t="s">
        <v>19</v>
      </c>
      <c r="I619" s="324">
        <v>0</v>
      </c>
      <c r="J619" s="325"/>
      <c r="K619" s="325"/>
      <c r="L619" s="325"/>
      <c r="M619" s="325"/>
      <c r="N619" s="325"/>
      <c r="O619" s="326"/>
      <c r="P619" s="326"/>
      <c r="Q619" s="326"/>
      <c r="R619" s="326"/>
      <c r="S619" s="327"/>
    </row>
    <row r="620" spans="1:19" ht="15" customHeight="1">
      <c r="A620" s="561">
        <f t="shared" si="9"/>
        <v>620</v>
      </c>
      <c r="B620" s="31">
        <v>104</v>
      </c>
      <c r="C620" s="249" t="s">
        <v>165</v>
      </c>
      <c r="D620" s="320" t="s">
        <v>180</v>
      </c>
      <c r="E620" s="321" t="s">
        <v>673</v>
      </c>
      <c r="F620" s="322" t="s">
        <v>489</v>
      </c>
      <c r="G620" s="323" t="s">
        <v>709</v>
      </c>
      <c r="H620" s="322" t="s">
        <v>19</v>
      </c>
      <c r="I620" s="324">
        <v>57.2</v>
      </c>
      <c r="J620" s="325"/>
      <c r="K620" s="325"/>
      <c r="L620" s="325">
        <v>94</v>
      </c>
      <c r="M620" s="325"/>
      <c r="N620" s="325"/>
      <c r="O620" s="326"/>
      <c r="P620" s="326">
        <v>44</v>
      </c>
      <c r="Q620" s="326"/>
      <c r="R620" s="326"/>
      <c r="S620" s="327"/>
    </row>
    <row r="621" spans="1:19" ht="15" customHeight="1">
      <c r="A621" s="561">
        <f t="shared" si="9"/>
        <v>621</v>
      </c>
      <c r="B621" s="31">
        <v>104</v>
      </c>
      <c r="C621" s="249" t="s">
        <v>165</v>
      </c>
      <c r="D621" s="320" t="s">
        <v>180</v>
      </c>
      <c r="E621" s="321" t="s">
        <v>673</v>
      </c>
      <c r="F621" s="322" t="s">
        <v>489</v>
      </c>
      <c r="G621" s="323" t="s">
        <v>710</v>
      </c>
      <c r="H621" s="322" t="s">
        <v>19</v>
      </c>
      <c r="I621" s="324">
        <v>58.5</v>
      </c>
      <c r="J621" s="325"/>
      <c r="K621" s="325"/>
      <c r="L621" s="325">
        <v>100</v>
      </c>
      <c r="M621" s="325"/>
      <c r="N621" s="325"/>
      <c r="O621" s="326"/>
      <c r="P621" s="326">
        <v>45</v>
      </c>
      <c r="Q621" s="326"/>
      <c r="R621" s="326"/>
      <c r="S621" s="327"/>
    </row>
    <row r="622" spans="1:19" ht="15" customHeight="1">
      <c r="A622" s="561">
        <f t="shared" si="9"/>
        <v>622</v>
      </c>
      <c r="B622" s="31">
        <v>104</v>
      </c>
      <c r="C622" s="249" t="s">
        <v>165</v>
      </c>
      <c r="D622" s="320" t="s">
        <v>180</v>
      </c>
      <c r="E622" s="321" t="s">
        <v>673</v>
      </c>
      <c r="F622" s="322" t="s">
        <v>489</v>
      </c>
      <c r="G622" s="323" t="s">
        <v>711</v>
      </c>
      <c r="H622" s="322" t="s">
        <v>19</v>
      </c>
      <c r="I622" s="324">
        <v>28.6</v>
      </c>
      <c r="J622" s="325"/>
      <c r="K622" s="325"/>
      <c r="L622" s="325">
        <v>64</v>
      </c>
      <c r="M622" s="325"/>
      <c r="N622" s="325"/>
      <c r="O622" s="326"/>
      <c r="P622" s="326">
        <v>22</v>
      </c>
      <c r="Q622" s="326"/>
      <c r="R622" s="326"/>
      <c r="S622" s="327"/>
    </row>
    <row r="623" spans="1:19" ht="15" customHeight="1">
      <c r="A623" s="561">
        <f t="shared" si="9"/>
        <v>623</v>
      </c>
      <c r="B623" s="31">
        <v>105</v>
      </c>
      <c r="C623" s="249" t="s">
        <v>851</v>
      </c>
      <c r="D623" s="320" t="s">
        <v>180</v>
      </c>
      <c r="E623" s="321" t="s">
        <v>856</v>
      </c>
      <c r="F623" s="322" t="s">
        <v>971</v>
      </c>
      <c r="G623" s="323" t="s">
        <v>360</v>
      </c>
      <c r="H623" s="322" t="s">
        <v>1324</v>
      </c>
      <c r="I623" s="324">
        <v>21</v>
      </c>
      <c r="J623" s="325"/>
      <c r="K623" s="325"/>
      <c r="L623" s="325"/>
      <c r="M623" s="325"/>
      <c r="N623" s="325"/>
      <c r="O623" s="326"/>
      <c r="P623" s="326"/>
      <c r="Q623" s="326"/>
      <c r="R623" s="326"/>
      <c r="S623" s="327"/>
    </row>
    <row r="624" spans="1:19" ht="15" customHeight="1">
      <c r="A624" s="561">
        <f t="shared" si="9"/>
        <v>624</v>
      </c>
      <c r="B624" s="31">
        <v>105</v>
      </c>
      <c r="C624" s="249" t="s">
        <v>851</v>
      </c>
      <c r="D624" s="320" t="s">
        <v>180</v>
      </c>
      <c r="E624" s="321" t="s">
        <v>856</v>
      </c>
      <c r="F624" s="322" t="s">
        <v>972</v>
      </c>
      <c r="G624" s="323" t="s">
        <v>363</v>
      </c>
      <c r="H624" s="322" t="s">
        <v>1323</v>
      </c>
      <c r="I624" s="324">
        <f>((4.2+2+5.7)*4.25)*1.3</f>
        <v>65.747500000000002</v>
      </c>
      <c r="J624" s="325"/>
      <c r="K624" s="325">
        <v>32</v>
      </c>
      <c r="L624" s="325"/>
      <c r="M624" s="325">
        <f>(5.4*0.3)*2</f>
        <v>3.24</v>
      </c>
      <c r="N624" s="325">
        <f>(9.35+4.25+9.35)*2.7</f>
        <v>61.965000000000003</v>
      </c>
      <c r="O624" s="326"/>
      <c r="P624" s="326"/>
      <c r="Q624" s="326">
        <f>I624</f>
        <v>65.747500000000002</v>
      </c>
      <c r="R624" s="326"/>
      <c r="S624" s="327" t="s">
        <v>1164</v>
      </c>
    </row>
    <row r="625" spans="1:19" ht="15" customHeight="1">
      <c r="A625" s="561">
        <f t="shared" si="9"/>
        <v>625</v>
      </c>
      <c r="B625" s="31">
        <v>105</v>
      </c>
      <c r="C625" s="249" t="s">
        <v>851</v>
      </c>
      <c r="D625" s="320" t="s">
        <v>180</v>
      </c>
      <c r="E625" s="321" t="s">
        <v>856</v>
      </c>
      <c r="F625" s="322" t="s">
        <v>364</v>
      </c>
      <c r="G625" s="323" t="s">
        <v>362</v>
      </c>
      <c r="H625" s="322" t="s">
        <v>109</v>
      </c>
      <c r="I625" s="324">
        <v>725.4</v>
      </c>
      <c r="J625" s="325"/>
      <c r="K625" s="325"/>
      <c r="L625" s="325"/>
      <c r="M625" s="325">
        <f>0.5*(25+15)</f>
        <v>20</v>
      </c>
      <c r="N625" s="325">
        <f>((1.5+3.4+0.8+6+0.8+4.3+1.6+3.5+0.65+4+2.1+0.95+6.3+0.8+3.2+0.6+1.3+0.7+2.8+0.6+3+0.6+5+1.5+1.9+1+2.9+2.85+2+0.8+3.9+0.8+5+1.4+7+5.6+2.3+3.9+2.6+2.1+1.5+5+1.1+7.5+1.55+2+1.5+2+2.5+12.5+4.8+2.4+1.9+10.6+8.5)*3)+(37.7*3)</f>
        <v>615.30000000000007</v>
      </c>
      <c r="O625" s="326"/>
      <c r="P625" s="326">
        <f>I625+(14.8*11.5)</f>
        <v>895.6</v>
      </c>
      <c r="Q625" s="326"/>
      <c r="R625" s="326"/>
      <c r="S625" s="327" t="s">
        <v>1024</v>
      </c>
    </row>
    <row r="626" spans="1:19" ht="15" customHeight="1">
      <c r="A626" s="561">
        <f t="shared" si="9"/>
        <v>626</v>
      </c>
      <c r="B626" s="31">
        <v>105</v>
      </c>
      <c r="C626" s="249" t="s">
        <v>851</v>
      </c>
      <c r="D626" s="320" t="s">
        <v>180</v>
      </c>
      <c r="E626" s="321" t="s">
        <v>856</v>
      </c>
      <c r="F626" s="322" t="s">
        <v>973</v>
      </c>
      <c r="G626" s="323" t="s">
        <v>366</v>
      </c>
      <c r="H626" s="322" t="s">
        <v>1324</v>
      </c>
      <c r="I626" s="324">
        <v>21</v>
      </c>
      <c r="J626" s="325"/>
      <c r="K626" s="325"/>
      <c r="L626" s="325"/>
      <c r="M626" s="325"/>
      <c r="N626" s="325"/>
      <c r="O626" s="326"/>
      <c r="P626" s="326"/>
      <c r="Q626" s="326"/>
      <c r="R626" s="326"/>
      <c r="S626" s="327"/>
    </row>
    <row r="627" spans="1:19" ht="15" customHeight="1">
      <c r="A627" s="561">
        <f t="shared" si="9"/>
        <v>627</v>
      </c>
      <c r="B627" s="31">
        <v>105</v>
      </c>
      <c r="C627" s="249" t="s">
        <v>851</v>
      </c>
      <c r="D627" s="320" t="s">
        <v>180</v>
      </c>
      <c r="E627" s="321" t="s">
        <v>856</v>
      </c>
      <c r="F627" s="322" t="s">
        <v>974</v>
      </c>
      <c r="G627" s="323" t="s">
        <v>367</v>
      </c>
      <c r="H627" s="322" t="s">
        <v>1323</v>
      </c>
      <c r="I627" s="324">
        <f>((4.2+2+5.7)*4.25)*1.3</f>
        <v>65.747500000000002</v>
      </c>
      <c r="J627" s="325"/>
      <c r="K627" s="325">
        <v>32</v>
      </c>
      <c r="L627" s="325"/>
      <c r="M627" s="325">
        <f>(5.4*0.3)*2</f>
        <v>3.24</v>
      </c>
      <c r="N627" s="325">
        <f>(9.35+4.25+9.35)*2.7</f>
        <v>61.965000000000003</v>
      </c>
      <c r="O627" s="326"/>
      <c r="P627" s="326"/>
      <c r="Q627" s="326">
        <f>I627</f>
        <v>65.747500000000002</v>
      </c>
      <c r="R627" s="326"/>
      <c r="S627" s="327" t="s">
        <v>1164</v>
      </c>
    </row>
    <row r="628" spans="1:19" ht="15" customHeight="1">
      <c r="A628" s="561">
        <f t="shared" si="9"/>
        <v>628</v>
      </c>
      <c r="B628" s="31">
        <v>105</v>
      </c>
      <c r="C628" s="249" t="s">
        <v>851</v>
      </c>
      <c r="D628" s="320" t="s">
        <v>180</v>
      </c>
      <c r="E628" s="321" t="s">
        <v>856</v>
      </c>
      <c r="F628" s="322" t="s">
        <v>374</v>
      </c>
      <c r="G628" s="323" t="s">
        <v>368</v>
      </c>
      <c r="H628" s="322" t="s">
        <v>1324</v>
      </c>
      <c r="I628" s="324">
        <v>21</v>
      </c>
      <c r="J628" s="325"/>
      <c r="K628" s="325"/>
      <c r="L628" s="325"/>
      <c r="M628" s="325"/>
      <c r="N628" s="325"/>
      <c r="O628" s="326"/>
      <c r="P628" s="326"/>
      <c r="Q628" s="326"/>
      <c r="R628" s="326"/>
      <c r="S628" s="327"/>
    </row>
    <row r="629" spans="1:19" ht="15" customHeight="1">
      <c r="A629" s="561">
        <f t="shared" si="9"/>
        <v>629</v>
      </c>
      <c r="B629" s="31">
        <v>105</v>
      </c>
      <c r="C629" s="249" t="s">
        <v>851</v>
      </c>
      <c r="D629" s="320" t="s">
        <v>180</v>
      </c>
      <c r="E629" s="321" t="s">
        <v>856</v>
      </c>
      <c r="F629" s="322" t="s">
        <v>376</v>
      </c>
      <c r="G629" s="323" t="s">
        <v>370</v>
      </c>
      <c r="H629" s="322" t="s">
        <v>1323</v>
      </c>
      <c r="I629" s="324">
        <f>((5.1+1.8+2.75)*2.45)*1.3</f>
        <v>30.735249999999997</v>
      </c>
      <c r="J629" s="325"/>
      <c r="K629" s="325"/>
      <c r="L629" s="325"/>
      <c r="M629" s="325"/>
      <c r="N629" s="325"/>
      <c r="O629" s="326"/>
      <c r="P629" s="326"/>
      <c r="Q629" s="326"/>
      <c r="R629" s="326"/>
      <c r="S629" s="327"/>
    </row>
    <row r="630" spans="1:19" ht="15" customHeight="1">
      <c r="A630" s="561">
        <f t="shared" si="9"/>
        <v>630</v>
      </c>
      <c r="B630" s="31">
        <v>105</v>
      </c>
      <c r="C630" s="249" t="s">
        <v>851</v>
      </c>
      <c r="D630" s="320" t="s">
        <v>180</v>
      </c>
      <c r="E630" s="321" t="s">
        <v>856</v>
      </c>
      <c r="F630" s="322" t="s">
        <v>376</v>
      </c>
      <c r="G630" s="323" t="s">
        <v>372</v>
      </c>
      <c r="H630" s="322" t="s">
        <v>1323</v>
      </c>
      <c r="I630" s="324">
        <f>((5.1+1.8+2.75)*2.45)*1.3</f>
        <v>30.735249999999997</v>
      </c>
      <c r="J630" s="325"/>
      <c r="K630" s="325"/>
      <c r="L630" s="325"/>
      <c r="M630" s="325"/>
      <c r="N630" s="325"/>
      <c r="O630" s="326"/>
      <c r="P630" s="326"/>
      <c r="Q630" s="326"/>
      <c r="R630" s="326"/>
      <c r="S630" s="327"/>
    </row>
    <row r="631" spans="1:19" ht="15" customHeight="1">
      <c r="A631" s="561">
        <f t="shared" si="9"/>
        <v>631</v>
      </c>
      <c r="B631" s="31">
        <v>105</v>
      </c>
      <c r="C631" s="249" t="s">
        <v>851</v>
      </c>
      <c r="D631" s="320" t="s">
        <v>180</v>
      </c>
      <c r="E631" s="321" t="s">
        <v>856</v>
      </c>
      <c r="F631" s="322" t="s">
        <v>374</v>
      </c>
      <c r="G631" s="323" t="s">
        <v>373</v>
      </c>
      <c r="H631" s="322" t="s">
        <v>1324</v>
      </c>
      <c r="I631" s="324">
        <v>20</v>
      </c>
      <c r="J631" s="325"/>
      <c r="K631" s="325"/>
      <c r="L631" s="325"/>
      <c r="M631" s="325"/>
      <c r="N631" s="325"/>
      <c r="O631" s="326"/>
      <c r="P631" s="326"/>
      <c r="Q631" s="326"/>
      <c r="R631" s="326"/>
      <c r="S631" s="327"/>
    </row>
    <row r="632" spans="1:19" ht="15" customHeight="1">
      <c r="A632" s="561">
        <f t="shared" si="9"/>
        <v>632</v>
      </c>
      <c r="B632" s="31">
        <v>105</v>
      </c>
      <c r="C632" s="249" t="s">
        <v>851</v>
      </c>
      <c r="D632" s="320" t="s">
        <v>180</v>
      </c>
      <c r="E632" s="321" t="s">
        <v>856</v>
      </c>
      <c r="F632" s="322" t="s">
        <v>364</v>
      </c>
      <c r="G632" s="323" t="s">
        <v>375</v>
      </c>
      <c r="H632" s="322" t="s">
        <v>109</v>
      </c>
      <c r="I632" s="324">
        <v>620.1</v>
      </c>
      <c r="J632" s="325"/>
      <c r="K632" s="325"/>
      <c r="L632" s="325"/>
      <c r="M632" s="325">
        <f>(19+17)*0.5</f>
        <v>18</v>
      </c>
      <c r="N632" s="325">
        <f>(6.75+7.15+1.4+8.15+7.1+4.3+3.35+1.7+1+0.8+3.7+0.8+14.7+17.3+1+1.4+3.35+4.3+7.1+4.8+0.8+3+0.8+3.6+1.4+7.15+6.75+11.5+11.5+15)*3</f>
        <v>484.94999999999993</v>
      </c>
      <c r="O632" s="326"/>
      <c r="P632" s="326"/>
      <c r="Q632" s="326">
        <f>I632+(11.5*15)</f>
        <v>792.6</v>
      </c>
      <c r="R632" s="326"/>
      <c r="S632" s="327" t="s">
        <v>1024</v>
      </c>
    </row>
    <row r="633" spans="1:19" ht="15" customHeight="1">
      <c r="A633" s="561">
        <f t="shared" si="9"/>
        <v>633</v>
      </c>
      <c r="B633" s="31">
        <v>105</v>
      </c>
      <c r="C633" s="249" t="s">
        <v>851</v>
      </c>
      <c r="D633" s="320" t="s">
        <v>180</v>
      </c>
      <c r="E633" s="321" t="s">
        <v>856</v>
      </c>
      <c r="F633" s="322" t="s">
        <v>975</v>
      </c>
      <c r="G633" s="323" t="s">
        <v>377</v>
      </c>
      <c r="H633" s="322" t="s">
        <v>1323</v>
      </c>
      <c r="I633" s="324">
        <f>((4.2+2+5.7)*4.25)*1.3</f>
        <v>65.747500000000002</v>
      </c>
      <c r="J633" s="325"/>
      <c r="K633" s="325">
        <v>32</v>
      </c>
      <c r="L633" s="325"/>
      <c r="M633" s="325">
        <f>(5.4*0.3)*2</f>
        <v>3.24</v>
      </c>
      <c r="N633" s="325">
        <f>(9.35+4.25+9.35)*2.7</f>
        <v>61.965000000000003</v>
      </c>
      <c r="O633" s="326"/>
      <c r="P633" s="326"/>
      <c r="Q633" s="326">
        <f>I633</f>
        <v>65.747500000000002</v>
      </c>
      <c r="R633" s="326"/>
      <c r="S633" s="327" t="s">
        <v>1164</v>
      </c>
    </row>
    <row r="634" spans="1:19" ht="15" customHeight="1">
      <c r="A634" s="561">
        <f t="shared" si="9"/>
        <v>634</v>
      </c>
      <c r="B634" s="31">
        <v>105</v>
      </c>
      <c r="C634" s="249" t="s">
        <v>851</v>
      </c>
      <c r="D634" s="320" t="s">
        <v>180</v>
      </c>
      <c r="E634" s="321" t="s">
        <v>856</v>
      </c>
      <c r="F634" s="322" t="s">
        <v>976</v>
      </c>
      <c r="G634" s="323" t="s">
        <v>379</v>
      </c>
      <c r="H634" s="322" t="s">
        <v>1324</v>
      </c>
      <c r="I634" s="324">
        <v>22</v>
      </c>
      <c r="J634" s="325"/>
      <c r="K634" s="325"/>
      <c r="L634" s="325"/>
      <c r="M634" s="325"/>
      <c r="N634" s="325"/>
      <c r="O634" s="326"/>
      <c r="P634" s="326"/>
      <c r="Q634" s="326"/>
      <c r="R634" s="326"/>
      <c r="S634" s="327"/>
    </row>
    <row r="635" spans="1:19" ht="15" customHeight="1">
      <c r="A635" s="561">
        <f t="shared" si="9"/>
        <v>635</v>
      </c>
      <c r="B635" s="31">
        <v>105</v>
      </c>
      <c r="C635" s="249" t="s">
        <v>851</v>
      </c>
      <c r="D635" s="320" t="s">
        <v>180</v>
      </c>
      <c r="E635" s="321" t="s">
        <v>856</v>
      </c>
      <c r="F635" s="322" t="s">
        <v>977</v>
      </c>
      <c r="G635" s="323" t="s">
        <v>733</v>
      </c>
      <c r="H635" s="322" t="s">
        <v>1323</v>
      </c>
      <c r="I635" s="324">
        <f>((4.2+2+5.7)*4.25)*1.3</f>
        <v>65.747500000000002</v>
      </c>
      <c r="J635" s="325"/>
      <c r="K635" s="325">
        <v>32</v>
      </c>
      <c r="L635" s="325"/>
      <c r="M635" s="325">
        <f>(5.4*0.3)*2</f>
        <v>3.24</v>
      </c>
      <c r="N635" s="325">
        <f>(9.35+4.25+9.35)*2.7</f>
        <v>61.965000000000003</v>
      </c>
      <c r="O635" s="326"/>
      <c r="P635" s="326"/>
      <c r="Q635" s="326">
        <f>I635</f>
        <v>65.747500000000002</v>
      </c>
      <c r="R635" s="326"/>
      <c r="S635" s="327" t="s">
        <v>1164</v>
      </c>
    </row>
    <row r="636" spans="1:19" ht="15" customHeight="1">
      <c r="A636" s="561">
        <f t="shared" si="9"/>
        <v>636</v>
      </c>
      <c r="B636" s="31">
        <v>105</v>
      </c>
      <c r="C636" s="249" t="s">
        <v>851</v>
      </c>
      <c r="D636" s="320" t="s">
        <v>180</v>
      </c>
      <c r="E636" s="321" t="s">
        <v>856</v>
      </c>
      <c r="F636" s="322" t="s">
        <v>978</v>
      </c>
      <c r="G636" s="323" t="s">
        <v>381</v>
      </c>
      <c r="H636" s="322" t="s">
        <v>1324</v>
      </c>
      <c r="I636" s="324">
        <v>22</v>
      </c>
      <c r="J636" s="325"/>
      <c r="K636" s="325"/>
      <c r="L636" s="325"/>
      <c r="M636" s="325"/>
      <c r="N636" s="325"/>
      <c r="O636" s="326"/>
      <c r="P636" s="326"/>
      <c r="Q636" s="326"/>
      <c r="R636" s="326"/>
      <c r="S636" s="327"/>
    </row>
    <row r="637" spans="1:19" ht="15" customHeight="1">
      <c r="A637" s="561">
        <f t="shared" si="9"/>
        <v>637</v>
      </c>
      <c r="B637" s="31">
        <v>105</v>
      </c>
      <c r="C637" s="249" t="s">
        <v>851</v>
      </c>
      <c r="D637" s="320" t="s">
        <v>180</v>
      </c>
      <c r="E637" s="321" t="s">
        <v>856</v>
      </c>
      <c r="F637" s="322" t="s">
        <v>979</v>
      </c>
      <c r="G637" s="323" t="s">
        <v>298</v>
      </c>
      <c r="H637" s="322"/>
      <c r="I637" s="324">
        <v>2</v>
      </c>
      <c r="J637" s="325"/>
      <c r="K637" s="325">
        <v>46</v>
      </c>
      <c r="L637" s="325"/>
      <c r="M637" s="325"/>
      <c r="N637" s="325"/>
      <c r="O637" s="326"/>
      <c r="P637" s="326"/>
      <c r="Q637" s="326"/>
      <c r="R637" s="326"/>
      <c r="S637" s="327" t="s">
        <v>1164</v>
      </c>
    </row>
    <row r="638" spans="1:19" ht="15" customHeight="1">
      <c r="A638" s="561">
        <f t="shared" si="9"/>
        <v>638</v>
      </c>
      <c r="B638" s="31">
        <v>105</v>
      </c>
      <c r="C638" s="249" t="s">
        <v>851</v>
      </c>
      <c r="D638" s="320" t="s">
        <v>180</v>
      </c>
      <c r="E638" s="321" t="s">
        <v>856</v>
      </c>
      <c r="F638" s="322" t="s">
        <v>980</v>
      </c>
      <c r="G638" s="323" t="s">
        <v>385</v>
      </c>
      <c r="H638" s="322" t="s">
        <v>299</v>
      </c>
      <c r="I638" s="324">
        <v>2</v>
      </c>
      <c r="J638" s="325"/>
      <c r="K638" s="325">
        <v>46</v>
      </c>
      <c r="L638" s="325"/>
      <c r="M638" s="325"/>
      <c r="N638" s="325"/>
      <c r="O638" s="326"/>
      <c r="P638" s="326"/>
      <c r="Q638" s="326"/>
      <c r="R638" s="326"/>
      <c r="S638" s="327" t="s">
        <v>1164</v>
      </c>
    </row>
    <row r="639" spans="1:19" ht="15" customHeight="1">
      <c r="A639" s="561">
        <f t="shared" si="9"/>
        <v>639</v>
      </c>
      <c r="B639" s="31">
        <v>105</v>
      </c>
      <c r="C639" s="249" t="s">
        <v>851</v>
      </c>
      <c r="D639" s="320" t="s">
        <v>180</v>
      </c>
      <c r="E639" s="321" t="s">
        <v>856</v>
      </c>
      <c r="F639" s="322" t="s">
        <v>125</v>
      </c>
      <c r="G639" s="323" t="s">
        <v>174</v>
      </c>
      <c r="H639" s="322" t="s">
        <v>299</v>
      </c>
      <c r="I639" s="324">
        <f>(2.05*2.85)*1.3</f>
        <v>7.5952499999999992</v>
      </c>
      <c r="J639" s="325"/>
      <c r="K639" s="325"/>
      <c r="L639" s="325">
        <f>(2.85+2.05+2.85+2.05)*3</f>
        <v>29.400000000000002</v>
      </c>
      <c r="M639" s="325"/>
      <c r="N639" s="325"/>
      <c r="O639" s="326"/>
      <c r="P639" s="326">
        <f>I639</f>
        <v>7.5952499999999992</v>
      </c>
      <c r="Q639" s="326"/>
      <c r="R639" s="326"/>
      <c r="S639" s="327" t="s">
        <v>1024</v>
      </c>
    </row>
    <row r="640" spans="1:19" ht="15" customHeight="1">
      <c r="A640" s="561">
        <f t="shared" si="9"/>
        <v>640</v>
      </c>
      <c r="B640" s="31">
        <v>105</v>
      </c>
      <c r="C640" s="249" t="s">
        <v>851</v>
      </c>
      <c r="D640" s="320" t="s">
        <v>180</v>
      </c>
      <c r="E640" s="321" t="s">
        <v>856</v>
      </c>
      <c r="F640" s="322" t="s">
        <v>175</v>
      </c>
      <c r="G640" s="323" t="s">
        <v>391</v>
      </c>
      <c r="H640" s="322" t="s">
        <v>44</v>
      </c>
      <c r="I640" s="324">
        <f>((1*2.15))*1.3</f>
        <v>2.7949999999999999</v>
      </c>
      <c r="J640" s="325"/>
      <c r="K640" s="325"/>
      <c r="L640" s="325">
        <f>(1+2.15+1+2.15)*3</f>
        <v>18.900000000000002</v>
      </c>
      <c r="M640" s="325"/>
      <c r="N640" s="325"/>
      <c r="O640" s="326"/>
      <c r="P640" s="326">
        <f>I640</f>
        <v>2.7949999999999999</v>
      </c>
      <c r="Q640" s="326"/>
      <c r="R640" s="326"/>
      <c r="S640" s="327" t="s">
        <v>1024</v>
      </c>
    </row>
    <row r="641" spans="1:19" ht="15" customHeight="1">
      <c r="A641" s="561">
        <f t="shared" si="9"/>
        <v>641</v>
      </c>
      <c r="B641" s="31">
        <v>105</v>
      </c>
      <c r="C641" s="249" t="s">
        <v>851</v>
      </c>
      <c r="D641" s="320" t="s">
        <v>180</v>
      </c>
      <c r="E641" s="321" t="s">
        <v>856</v>
      </c>
      <c r="F641" s="322" t="s">
        <v>175</v>
      </c>
      <c r="G641" s="323" t="s">
        <v>390</v>
      </c>
      <c r="H641" s="322"/>
      <c r="I641" s="324">
        <v>0</v>
      </c>
      <c r="J641" s="325"/>
      <c r="K641" s="325"/>
      <c r="L641" s="325"/>
      <c r="M641" s="325"/>
      <c r="N641" s="325"/>
      <c r="O641" s="326"/>
      <c r="P641" s="326"/>
      <c r="Q641" s="326"/>
      <c r="R641" s="326"/>
      <c r="S641" s="327" t="s">
        <v>1025</v>
      </c>
    </row>
    <row r="642" spans="1:19" ht="15" customHeight="1">
      <c r="A642" s="561">
        <f t="shared" si="9"/>
        <v>642</v>
      </c>
      <c r="B642" s="31">
        <v>105</v>
      </c>
      <c r="C642" s="249" t="s">
        <v>851</v>
      </c>
      <c r="D642" s="320" t="s">
        <v>180</v>
      </c>
      <c r="E642" s="321" t="s">
        <v>856</v>
      </c>
      <c r="F642" s="322" t="s">
        <v>175</v>
      </c>
      <c r="G642" s="323" t="s">
        <v>393</v>
      </c>
      <c r="H642" s="322" t="s">
        <v>44</v>
      </c>
      <c r="I642" s="324">
        <f>(1.5*1)*1.3</f>
        <v>1.9500000000000002</v>
      </c>
      <c r="J642" s="325"/>
      <c r="K642" s="325"/>
      <c r="L642" s="325">
        <f>(1.5+1+1.5+1)*3</f>
        <v>15</v>
      </c>
      <c r="M642" s="325"/>
      <c r="N642" s="325"/>
      <c r="O642" s="326"/>
      <c r="P642" s="326">
        <f>I642</f>
        <v>1.9500000000000002</v>
      </c>
      <c r="Q642" s="326"/>
      <c r="R642" s="326"/>
      <c r="S642" s="327" t="s">
        <v>1024</v>
      </c>
    </row>
    <row r="643" spans="1:19" ht="15" customHeight="1">
      <c r="A643" s="561">
        <f t="shared" ref="A643:A706" si="10">1+A642</f>
        <v>643</v>
      </c>
      <c r="B643" s="31">
        <v>105</v>
      </c>
      <c r="C643" s="249" t="s">
        <v>851</v>
      </c>
      <c r="D643" s="320" t="s">
        <v>180</v>
      </c>
      <c r="E643" s="321" t="s">
        <v>856</v>
      </c>
      <c r="F643" s="322" t="s">
        <v>175</v>
      </c>
      <c r="G643" s="323" t="s">
        <v>981</v>
      </c>
      <c r="H643" s="322" t="s">
        <v>44</v>
      </c>
      <c r="I643" s="324">
        <f>(1.8*1.8)*1.3</f>
        <v>4.2120000000000006</v>
      </c>
      <c r="J643" s="325"/>
      <c r="K643" s="325"/>
      <c r="L643" s="325">
        <f>(1.8+1.8+1.8+1.8)*3</f>
        <v>21.6</v>
      </c>
      <c r="M643" s="325"/>
      <c r="N643" s="325"/>
      <c r="O643" s="326"/>
      <c r="P643" s="326">
        <f>I643</f>
        <v>4.2120000000000006</v>
      </c>
      <c r="Q643" s="326"/>
      <c r="R643" s="326"/>
      <c r="S643" s="327" t="s">
        <v>1024</v>
      </c>
    </row>
    <row r="644" spans="1:19" ht="15" customHeight="1">
      <c r="A644" s="561">
        <f t="shared" si="10"/>
        <v>644</v>
      </c>
      <c r="B644" s="31">
        <v>105</v>
      </c>
      <c r="C644" s="249" t="s">
        <v>851</v>
      </c>
      <c r="D644" s="320" t="s">
        <v>180</v>
      </c>
      <c r="E644" s="321" t="s">
        <v>856</v>
      </c>
      <c r="F644" s="322" t="s">
        <v>175</v>
      </c>
      <c r="G644" s="323" t="s">
        <v>982</v>
      </c>
      <c r="H644" s="322" t="s">
        <v>44</v>
      </c>
      <c r="I644" s="324">
        <f>(4.3*1.1)*1.3</f>
        <v>6.1490000000000009</v>
      </c>
      <c r="J644" s="325"/>
      <c r="K644" s="325"/>
      <c r="L644" s="325">
        <f>(4.3+1.1+4.3+1.1)*3</f>
        <v>32.4</v>
      </c>
      <c r="M644" s="325"/>
      <c r="N644" s="325"/>
      <c r="O644" s="326"/>
      <c r="P644" s="326"/>
      <c r="Q644" s="326">
        <f>I644</f>
        <v>6.1490000000000009</v>
      </c>
      <c r="R644" s="326"/>
      <c r="S644" s="327" t="s">
        <v>1026</v>
      </c>
    </row>
    <row r="645" spans="1:19" ht="15" customHeight="1">
      <c r="A645" s="561">
        <f t="shared" si="10"/>
        <v>645</v>
      </c>
      <c r="B645" s="31">
        <v>105</v>
      </c>
      <c r="C645" s="249" t="s">
        <v>851</v>
      </c>
      <c r="D645" s="320" t="s">
        <v>180</v>
      </c>
      <c r="E645" s="321" t="s">
        <v>856</v>
      </c>
      <c r="F645" s="322" t="s">
        <v>175</v>
      </c>
      <c r="G645" s="323" t="s">
        <v>983</v>
      </c>
      <c r="H645" s="322" t="s">
        <v>44</v>
      </c>
      <c r="I645" s="324">
        <f>(5.8*1.15)*1.3</f>
        <v>8.6709999999999994</v>
      </c>
      <c r="J645" s="325"/>
      <c r="K645" s="325"/>
      <c r="L645" s="325">
        <f>(5.8+1.15+5.8+1.15)*3</f>
        <v>41.7</v>
      </c>
      <c r="M645" s="325"/>
      <c r="N645" s="325"/>
      <c r="O645" s="326"/>
      <c r="P645" s="326"/>
      <c r="Q645" s="326">
        <f>0.5*I645</f>
        <v>4.3354999999999997</v>
      </c>
      <c r="R645" s="326"/>
      <c r="S645" s="327" t="s">
        <v>1024</v>
      </c>
    </row>
    <row r="646" spans="1:19" ht="15" customHeight="1">
      <c r="A646" s="561">
        <f t="shared" si="10"/>
        <v>646</v>
      </c>
      <c r="B646" s="31">
        <v>105</v>
      </c>
      <c r="C646" s="249" t="s">
        <v>851</v>
      </c>
      <c r="D646" s="320" t="s">
        <v>180</v>
      </c>
      <c r="E646" s="321" t="s">
        <v>856</v>
      </c>
      <c r="F646" s="322" t="s">
        <v>177</v>
      </c>
      <c r="G646" s="323" t="s">
        <v>426</v>
      </c>
      <c r="H646" s="322" t="s">
        <v>44</v>
      </c>
      <c r="I646" s="324">
        <f>((1.15*2.1)+(2.2*2.6))*1.3</f>
        <v>10.575500000000002</v>
      </c>
      <c r="J646" s="325"/>
      <c r="K646" s="325"/>
      <c r="L646" s="325">
        <f>(1.15+2.1+1.45+2.2+2.6+4.3)*3</f>
        <v>41.400000000000006</v>
      </c>
      <c r="M646" s="325"/>
      <c r="N646" s="325"/>
      <c r="O646" s="326"/>
      <c r="P646" s="326">
        <f t="shared" ref="P646:P659" si="11">I646</f>
        <v>10.575500000000002</v>
      </c>
      <c r="Q646" s="326"/>
      <c r="R646" s="326"/>
      <c r="S646" s="327" t="s">
        <v>1024</v>
      </c>
    </row>
    <row r="647" spans="1:19" ht="15" customHeight="1">
      <c r="A647" s="561">
        <f t="shared" si="10"/>
        <v>647</v>
      </c>
      <c r="B647" s="31">
        <v>105</v>
      </c>
      <c r="C647" s="249" t="s">
        <v>851</v>
      </c>
      <c r="D647" s="320" t="s">
        <v>180</v>
      </c>
      <c r="E647" s="321" t="s">
        <v>856</v>
      </c>
      <c r="F647" s="322" t="s">
        <v>41</v>
      </c>
      <c r="G647" s="323" t="s">
        <v>442</v>
      </c>
      <c r="H647" s="322" t="s">
        <v>44</v>
      </c>
      <c r="I647" s="324">
        <f>(4.2*2.7)*1.3</f>
        <v>14.742000000000003</v>
      </c>
      <c r="J647" s="325"/>
      <c r="K647" s="325"/>
      <c r="L647" s="325"/>
      <c r="M647" s="325"/>
      <c r="N647" s="325">
        <f>(4.2+2.7+4.2+2.7)*3</f>
        <v>41.400000000000006</v>
      </c>
      <c r="O647" s="326"/>
      <c r="P647" s="326">
        <f t="shared" si="11"/>
        <v>14.742000000000003</v>
      </c>
      <c r="Q647" s="326"/>
      <c r="R647" s="326"/>
      <c r="S647" s="327"/>
    </row>
    <row r="648" spans="1:19" ht="15" customHeight="1">
      <c r="A648" s="561">
        <f t="shared" si="10"/>
        <v>648</v>
      </c>
      <c r="B648" s="31">
        <v>105</v>
      </c>
      <c r="C648" s="249" t="s">
        <v>851</v>
      </c>
      <c r="D648" s="320" t="s">
        <v>180</v>
      </c>
      <c r="E648" s="321" t="s">
        <v>856</v>
      </c>
      <c r="F648" s="322" t="s">
        <v>41</v>
      </c>
      <c r="G648" s="323" t="s">
        <v>444</v>
      </c>
      <c r="H648" s="322" t="s">
        <v>44</v>
      </c>
      <c r="I648" s="324">
        <f>((2.15*1.55)-1)*1.3</f>
        <v>3.0322500000000003</v>
      </c>
      <c r="J648" s="325"/>
      <c r="K648" s="325"/>
      <c r="L648" s="325">
        <f>(2.15+1.55+2.15+1.55)*3</f>
        <v>22.2</v>
      </c>
      <c r="M648" s="325"/>
      <c r="N648" s="325"/>
      <c r="O648" s="326"/>
      <c r="P648" s="326">
        <f t="shared" si="11"/>
        <v>3.0322500000000003</v>
      </c>
      <c r="Q648" s="326"/>
      <c r="R648" s="326"/>
      <c r="S648" s="327"/>
    </row>
    <row r="649" spans="1:19" ht="15" customHeight="1">
      <c r="A649" s="561">
        <f t="shared" si="10"/>
        <v>649</v>
      </c>
      <c r="B649" s="31">
        <v>105</v>
      </c>
      <c r="C649" s="249" t="s">
        <v>851</v>
      </c>
      <c r="D649" s="320" t="s">
        <v>180</v>
      </c>
      <c r="E649" s="321" t="s">
        <v>856</v>
      </c>
      <c r="F649" s="322" t="s">
        <v>41</v>
      </c>
      <c r="G649" s="323" t="s">
        <v>443</v>
      </c>
      <c r="H649" s="322" t="s">
        <v>44</v>
      </c>
      <c r="I649" s="324">
        <f>(2.1*1.55)*1.3</f>
        <v>4.2315000000000005</v>
      </c>
      <c r="J649" s="325"/>
      <c r="K649" s="325"/>
      <c r="L649" s="325">
        <f>(2.1+1.55+2.1+1.55)*3</f>
        <v>21.9</v>
      </c>
      <c r="M649" s="325"/>
      <c r="N649" s="325"/>
      <c r="O649" s="326"/>
      <c r="P649" s="326">
        <f t="shared" si="11"/>
        <v>4.2315000000000005</v>
      </c>
      <c r="Q649" s="326"/>
      <c r="R649" s="326"/>
      <c r="S649" s="327"/>
    </row>
    <row r="650" spans="1:19" ht="15" customHeight="1">
      <c r="A650" s="561">
        <f t="shared" si="10"/>
        <v>650</v>
      </c>
      <c r="B650" s="31">
        <v>105</v>
      </c>
      <c r="C650" s="249" t="s">
        <v>851</v>
      </c>
      <c r="D650" s="320" t="s">
        <v>180</v>
      </c>
      <c r="E650" s="321" t="s">
        <v>856</v>
      </c>
      <c r="F650" s="322" t="s">
        <v>41</v>
      </c>
      <c r="G650" s="323" t="s">
        <v>445</v>
      </c>
      <c r="H650" s="322" t="s">
        <v>44</v>
      </c>
      <c r="I650" s="324">
        <f>(2.25*2)*1.3</f>
        <v>5.8500000000000005</v>
      </c>
      <c r="J650" s="325"/>
      <c r="K650" s="325"/>
      <c r="L650" s="325">
        <f>(2.25+2+2.25+2)*3</f>
        <v>25.5</v>
      </c>
      <c r="M650" s="325"/>
      <c r="N650" s="325"/>
      <c r="O650" s="326"/>
      <c r="P650" s="326">
        <f t="shared" si="11"/>
        <v>5.8500000000000005</v>
      </c>
      <c r="Q650" s="326"/>
      <c r="R650" s="326"/>
      <c r="S650" s="327" t="s">
        <v>1024</v>
      </c>
    </row>
    <row r="651" spans="1:19" ht="15" customHeight="1">
      <c r="A651" s="561">
        <f t="shared" si="10"/>
        <v>651</v>
      </c>
      <c r="B651" s="31">
        <v>105</v>
      </c>
      <c r="C651" s="249" t="s">
        <v>851</v>
      </c>
      <c r="D651" s="320" t="s">
        <v>180</v>
      </c>
      <c r="E651" s="321" t="s">
        <v>856</v>
      </c>
      <c r="F651" s="322" t="s">
        <v>447</v>
      </c>
      <c r="G651" s="323" t="s">
        <v>448</v>
      </c>
      <c r="H651" s="322" t="s">
        <v>148</v>
      </c>
      <c r="I651" s="324">
        <f>((3*1.9)+(0.9*1.35))*1.3</f>
        <v>8.9894999999999996</v>
      </c>
      <c r="J651" s="325">
        <f>(4.35+1.9+3+1+1.35+0.9)*2.3</f>
        <v>28.749999999999996</v>
      </c>
      <c r="K651" s="325"/>
      <c r="L651" s="325"/>
      <c r="M651" s="325"/>
      <c r="N651" s="325"/>
      <c r="O651" s="326"/>
      <c r="P651" s="326">
        <f t="shared" si="11"/>
        <v>8.9894999999999996</v>
      </c>
      <c r="Q651" s="326"/>
      <c r="R651" s="326"/>
      <c r="S651" s="327" t="s">
        <v>1027</v>
      </c>
    </row>
    <row r="652" spans="1:19" ht="15" customHeight="1">
      <c r="A652" s="561">
        <f t="shared" si="10"/>
        <v>652</v>
      </c>
      <c r="B652" s="31">
        <v>105</v>
      </c>
      <c r="C652" s="249" t="s">
        <v>851</v>
      </c>
      <c r="D652" s="320" t="s">
        <v>180</v>
      </c>
      <c r="E652" s="321" t="s">
        <v>856</v>
      </c>
      <c r="F652" s="322" t="s">
        <v>447</v>
      </c>
      <c r="G652" s="323" t="s">
        <v>449</v>
      </c>
      <c r="H652" s="322" t="s">
        <v>148</v>
      </c>
      <c r="I652" s="324">
        <f>(0.8*1.4)*1.3</f>
        <v>1.456</v>
      </c>
      <c r="J652" s="325">
        <f>(1.4+0.8+1.4+0.8)*2.45</f>
        <v>10.780000000000001</v>
      </c>
      <c r="K652" s="325"/>
      <c r="L652" s="325"/>
      <c r="M652" s="325"/>
      <c r="N652" s="325"/>
      <c r="O652" s="326"/>
      <c r="P652" s="326">
        <f t="shared" si="11"/>
        <v>1.456</v>
      </c>
      <c r="Q652" s="326"/>
      <c r="R652" s="326"/>
      <c r="S652" s="327" t="s">
        <v>1027</v>
      </c>
    </row>
    <row r="653" spans="1:19" ht="15" customHeight="1">
      <c r="A653" s="561">
        <f t="shared" si="10"/>
        <v>653</v>
      </c>
      <c r="B653" s="31">
        <v>105</v>
      </c>
      <c r="C653" s="249" t="s">
        <v>851</v>
      </c>
      <c r="D653" s="320" t="s">
        <v>180</v>
      </c>
      <c r="E653" s="321" t="s">
        <v>856</v>
      </c>
      <c r="F653" s="322" t="s">
        <v>447</v>
      </c>
      <c r="G653" s="323" t="s">
        <v>450</v>
      </c>
      <c r="H653" s="322" t="s">
        <v>148</v>
      </c>
      <c r="I653" s="324">
        <f>(1.2*1.4)*1.3</f>
        <v>2.1840000000000002</v>
      </c>
      <c r="J653" s="325">
        <f>(1.4+1.2+1.4+1.2)*2.45</f>
        <v>12.739999999999998</v>
      </c>
      <c r="K653" s="325"/>
      <c r="L653" s="325"/>
      <c r="M653" s="325"/>
      <c r="N653" s="325"/>
      <c r="O653" s="326"/>
      <c r="P653" s="326">
        <f t="shared" si="11"/>
        <v>2.1840000000000002</v>
      </c>
      <c r="Q653" s="326"/>
      <c r="R653" s="326"/>
      <c r="S653" s="327" t="s">
        <v>1027</v>
      </c>
    </row>
    <row r="654" spans="1:19" ht="15" customHeight="1">
      <c r="A654" s="561">
        <f t="shared" si="10"/>
        <v>654</v>
      </c>
      <c r="B654" s="31">
        <v>105</v>
      </c>
      <c r="C654" s="249" t="s">
        <v>851</v>
      </c>
      <c r="D654" s="320" t="s">
        <v>180</v>
      </c>
      <c r="E654" s="321" t="s">
        <v>856</v>
      </c>
      <c r="F654" s="322" t="s">
        <v>447</v>
      </c>
      <c r="G654" s="323" t="s">
        <v>451</v>
      </c>
      <c r="H654" s="322" t="s">
        <v>148</v>
      </c>
      <c r="I654" s="324">
        <f>(0.8*1.4)*1.3</f>
        <v>1.456</v>
      </c>
      <c r="J654" s="325">
        <f>(1.4+0.8+1.4+0.8)*2.45</f>
        <v>10.780000000000001</v>
      </c>
      <c r="K654" s="325"/>
      <c r="L654" s="325"/>
      <c r="M654" s="325"/>
      <c r="N654" s="325"/>
      <c r="O654" s="326"/>
      <c r="P654" s="326">
        <f t="shared" si="11"/>
        <v>1.456</v>
      </c>
      <c r="Q654" s="326"/>
      <c r="R654" s="326"/>
      <c r="S654" s="327" t="s">
        <v>1027</v>
      </c>
    </row>
    <row r="655" spans="1:19" ht="15" customHeight="1">
      <c r="A655" s="561">
        <f t="shared" si="10"/>
        <v>655</v>
      </c>
      <c r="B655" s="31">
        <v>105</v>
      </c>
      <c r="C655" s="249" t="s">
        <v>851</v>
      </c>
      <c r="D655" s="320" t="s">
        <v>180</v>
      </c>
      <c r="E655" s="321" t="s">
        <v>856</v>
      </c>
      <c r="F655" s="322" t="s">
        <v>447</v>
      </c>
      <c r="G655" s="323" t="s">
        <v>452</v>
      </c>
      <c r="H655" s="322" t="s">
        <v>148</v>
      </c>
      <c r="I655" s="324">
        <f>(1.2*1.4)*1.3</f>
        <v>2.1840000000000002</v>
      </c>
      <c r="J655" s="325">
        <f>(1.4+1.2+1.4+1.2)*2.45</f>
        <v>12.739999999999998</v>
      </c>
      <c r="K655" s="325"/>
      <c r="L655" s="325"/>
      <c r="M655" s="325"/>
      <c r="N655" s="325"/>
      <c r="O655" s="326"/>
      <c r="P655" s="326">
        <f t="shared" si="11"/>
        <v>2.1840000000000002</v>
      </c>
      <c r="Q655" s="326"/>
      <c r="R655" s="326"/>
      <c r="S655" s="327" t="s">
        <v>1027</v>
      </c>
    </row>
    <row r="656" spans="1:19" ht="15" customHeight="1">
      <c r="A656" s="561">
        <f t="shared" si="10"/>
        <v>656</v>
      </c>
      <c r="B656" s="31">
        <v>105</v>
      </c>
      <c r="C656" s="249" t="s">
        <v>851</v>
      </c>
      <c r="D656" s="320" t="s">
        <v>180</v>
      </c>
      <c r="E656" s="321" t="s">
        <v>856</v>
      </c>
      <c r="F656" s="322" t="s">
        <v>447</v>
      </c>
      <c r="G656" s="323" t="s">
        <v>453</v>
      </c>
      <c r="H656" s="322" t="s">
        <v>148</v>
      </c>
      <c r="I656" s="324">
        <f>((1.95*1.25))*1.3</f>
        <v>3.1687500000000002</v>
      </c>
      <c r="J656" s="325">
        <f>(1.95+1.25+1.95+1.25)*2.15</f>
        <v>13.76</v>
      </c>
      <c r="K656" s="325"/>
      <c r="L656" s="325"/>
      <c r="M656" s="325"/>
      <c r="N656" s="325"/>
      <c r="O656" s="326"/>
      <c r="P656" s="326">
        <f t="shared" si="11"/>
        <v>3.1687500000000002</v>
      </c>
      <c r="Q656" s="326"/>
      <c r="R656" s="326"/>
      <c r="S656" s="327" t="s">
        <v>1027</v>
      </c>
    </row>
    <row r="657" spans="1:19" ht="15" customHeight="1">
      <c r="A657" s="561">
        <f t="shared" si="10"/>
        <v>657</v>
      </c>
      <c r="B657" s="31">
        <v>105</v>
      </c>
      <c r="C657" s="249" t="s">
        <v>851</v>
      </c>
      <c r="D657" s="320" t="s">
        <v>180</v>
      </c>
      <c r="E657" s="321" t="s">
        <v>856</v>
      </c>
      <c r="F657" s="322" t="s">
        <v>447</v>
      </c>
      <c r="G657" s="323" t="s">
        <v>454</v>
      </c>
      <c r="H657" s="322" t="s">
        <v>148</v>
      </c>
      <c r="I657" s="324">
        <f>((1.2*1.25))*1.3</f>
        <v>1.9500000000000002</v>
      </c>
      <c r="J657" s="325">
        <f>(1.25+1.2+1.25+1.2)*2.15</f>
        <v>10.535</v>
      </c>
      <c r="K657" s="325"/>
      <c r="L657" s="325"/>
      <c r="M657" s="325"/>
      <c r="N657" s="325"/>
      <c r="O657" s="326"/>
      <c r="P657" s="326">
        <f t="shared" si="11"/>
        <v>1.9500000000000002</v>
      </c>
      <c r="Q657" s="326"/>
      <c r="R657" s="326"/>
      <c r="S657" s="327" t="s">
        <v>1027</v>
      </c>
    </row>
    <row r="658" spans="1:19" ht="15" customHeight="1">
      <c r="A658" s="561">
        <f t="shared" si="10"/>
        <v>658</v>
      </c>
      <c r="B658" s="31">
        <v>105</v>
      </c>
      <c r="C658" s="249" t="s">
        <v>851</v>
      </c>
      <c r="D658" s="320" t="s">
        <v>180</v>
      </c>
      <c r="E658" s="321" t="s">
        <v>856</v>
      </c>
      <c r="F658" s="322" t="s">
        <v>447</v>
      </c>
      <c r="G658" s="323" t="s">
        <v>455</v>
      </c>
      <c r="H658" s="322" t="s">
        <v>148</v>
      </c>
      <c r="I658" s="324">
        <f>((1.95*1.25))*1.3</f>
        <v>3.1687500000000002</v>
      </c>
      <c r="J658" s="325">
        <f>(1.95+1.25+1.95+1.25)*2.15</f>
        <v>13.76</v>
      </c>
      <c r="K658" s="325"/>
      <c r="L658" s="325"/>
      <c r="M658" s="325"/>
      <c r="N658" s="325"/>
      <c r="O658" s="326"/>
      <c r="P658" s="326">
        <f t="shared" si="11"/>
        <v>3.1687500000000002</v>
      </c>
      <c r="Q658" s="326"/>
      <c r="R658" s="326"/>
      <c r="S658" s="327" t="s">
        <v>1027</v>
      </c>
    </row>
    <row r="659" spans="1:19" ht="15" customHeight="1">
      <c r="A659" s="561">
        <f t="shared" si="10"/>
        <v>659</v>
      </c>
      <c r="B659" s="31">
        <v>105</v>
      </c>
      <c r="C659" s="249" t="s">
        <v>851</v>
      </c>
      <c r="D659" s="320" t="s">
        <v>180</v>
      </c>
      <c r="E659" s="321" t="s">
        <v>856</v>
      </c>
      <c r="F659" s="322" t="s">
        <v>447</v>
      </c>
      <c r="G659" s="323" t="s">
        <v>457</v>
      </c>
      <c r="H659" s="322" t="s">
        <v>148</v>
      </c>
      <c r="I659" s="324">
        <f>((1.2*1.25))*1.3</f>
        <v>1.9500000000000002</v>
      </c>
      <c r="J659" s="325">
        <f>(1.25+1.2+1.25+1.2)*2.15</f>
        <v>10.535</v>
      </c>
      <c r="K659" s="325"/>
      <c r="L659" s="325"/>
      <c r="M659" s="325"/>
      <c r="N659" s="325"/>
      <c r="O659" s="326"/>
      <c r="P659" s="326">
        <f t="shared" si="11"/>
        <v>1.9500000000000002</v>
      </c>
      <c r="Q659" s="326"/>
      <c r="R659" s="326"/>
      <c r="S659" s="327" t="s">
        <v>1027</v>
      </c>
    </row>
    <row r="660" spans="1:19" ht="15" customHeight="1">
      <c r="A660" s="561">
        <f t="shared" si="10"/>
        <v>660</v>
      </c>
      <c r="B660" s="31">
        <v>105</v>
      </c>
      <c r="C660" s="249" t="s">
        <v>851</v>
      </c>
      <c r="D660" s="320" t="s">
        <v>180</v>
      </c>
      <c r="E660" s="321" t="s">
        <v>856</v>
      </c>
      <c r="F660" s="322" t="s">
        <v>332</v>
      </c>
      <c r="G660" s="323" t="s">
        <v>755</v>
      </c>
      <c r="H660" s="322" t="s">
        <v>44</v>
      </c>
      <c r="I660" s="324">
        <f>((1.55*0.8)+(2*5.7))*1.3</f>
        <v>16.432000000000002</v>
      </c>
      <c r="J660" s="325"/>
      <c r="K660" s="325"/>
      <c r="L660" s="325">
        <f>(2.8+5.7+2+4.15+0.8+1.55)*3</f>
        <v>51</v>
      </c>
      <c r="M660" s="325"/>
      <c r="N660" s="325"/>
      <c r="O660" s="326"/>
      <c r="P660" s="326"/>
      <c r="Q660" s="326">
        <f>0.25*I660</f>
        <v>4.1080000000000005</v>
      </c>
      <c r="R660" s="326"/>
      <c r="S660" s="327"/>
    </row>
    <row r="661" spans="1:19" ht="15" customHeight="1">
      <c r="A661" s="561">
        <f t="shared" si="10"/>
        <v>661</v>
      </c>
      <c r="B661" s="31">
        <v>105</v>
      </c>
      <c r="C661" s="249" t="s">
        <v>851</v>
      </c>
      <c r="D661" s="320" t="s">
        <v>180</v>
      </c>
      <c r="E661" s="321" t="s">
        <v>856</v>
      </c>
      <c r="F661" s="322" t="s">
        <v>334</v>
      </c>
      <c r="G661" s="323" t="s">
        <v>756</v>
      </c>
      <c r="H661" s="322" t="s">
        <v>174</v>
      </c>
      <c r="I661" s="324">
        <f>((14.5*8))*1.3</f>
        <v>150.80000000000001</v>
      </c>
      <c r="J661" s="325"/>
      <c r="K661" s="325"/>
      <c r="L661" s="325">
        <f>(14.5+8+14.5+8)*2.8</f>
        <v>125.99999999999999</v>
      </c>
      <c r="M661" s="325"/>
      <c r="N661" s="325"/>
      <c r="O661" s="326"/>
      <c r="P661" s="326">
        <f>I661</f>
        <v>150.80000000000001</v>
      </c>
      <c r="Q661" s="326"/>
      <c r="R661" s="326"/>
      <c r="S661" s="327"/>
    </row>
    <row r="662" spans="1:19" ht="15" customHeight="1">
      <c r="A662" s="561">
        <f t="shared" si="10"/>
        <v>662</v>
      </c>
      <c r="B662" s="31">
        <v>105</v>
      </c>
      <c r="C662" s="249" t="s">
        <v>851</v>
      </c>
      <c r="D662" s="320" t="s">
        <v>180</v>
      </c>
      <c r="E662" s="321" t="s">
        <v>856</v>
      </c>
      <c r="F662" s="322" t="s">
        <v>332</v>
      </c>
      <c r="G662" s="323" t="s">
        <v>984</v>
      </c>
      <c r="H662" s="322" t="s">
        <v>44</v>
      </c>
      <c r="I662" s="324">
        <f>(2.3*6.8)*1.3</f>
        <v>20.332000000000001</v>
      </c>
      <c r="J662" s="325"/>
      <c r="K662" s="325"/>
      <c r="L662" s="325">
        <f>(2.3+6.8+2.3+6.8)*3</f>
        <v>54.599999999999994</v>
      </c>
      <c r="M662" s="325"/>
      <c r="N662" s="325"/>
      <c r="O662" s="326"/>
      <c r="P662" s="326">
        <f>I662</f>
        <v>20.332000000000001</v>
      </c>
      <c r="Q662" s="326"/>
      <c r="R662" s="326"/>
      <c r="S662" s="327" t="s">
        <v>1024</v>
      </c>
    </row>
    <row r="663" spans="1:19" ht="15" customHeight="1">
      <c r="A663" s="561">
        <f t="shared" si="10"/>
        <v>663</v>
      </c>
      <c r="B663" s="31">
        <v>105</v>
      </c>
      <c r="C663" s="249" t="s">
        <v>851</v>
      </c>
      <c r="D663" s="320" t="s">
        <v>180</v>
      </c>
      <c r="E663" s="321" t="s">
        <v>856</v>
      </c>
      <c r="F663" s="322" t="s">
        <v>334</v>
      </c>
      <c r="G663" s="323" t="s">
        <v>985</v>
      </c>
      <c r="H663" s="322" t="s">
        <v>174</v>
      </c>
      <c r="I663" s="324">
        <f>(7.4*15.7)*1.3</f>
        <v>151.03400000000002</v>
      </c>
      <c r="J663" s="325"/>
      <c r="K663" s="325"/>
      <c r="L663" s="325">
        <f>((7.4+15.7+7.4+15.7)*2.8)+((3.3+4.7+3.3+4.7)*8.3)</f>
        <v>262.16000000000003</v>
      </c>
      <c r="M663" s="325"/>
      <c r="N663" s="325"/>
      <c r="O663" s="326"/>
      <c r="P663" s="326">
        <f>I663</f>
        <v>151.03400000000002</v>
      </c>
      <c r="Q663" s="326"/>
      <c r="R663" s="326"/>
      <c r="S663" s="327"/>
    </row>
    <row r="664" spans="1:19" ht="15" customHeight="1">
      <c r="A664" s="561">
        <f t="shared" si="10"/>
        <v>664</v>
      </c>
      <c r="B664" s="31">
        <v>105</v>
      </c>
      <c r="C664" s="249" t="s">
        <v>851</v>
      </c>
      <c r="D664" s="320" t="s">
        <v>180</v>
      </c>
      <c r="E664" s="321" t="s">
        <v>856</v>
      </c>
      <c r="F664" s="322" t="s">
        <v>168</v>
      </c>
      <c r="G664" s="323" t="s">
        <v>758</v>
      </c>
      <c r="H664" s="322" t="s">
        <v>44</v>
      </c>
      <c r="I664" s="324">
        <f>(((8.5+7.7+4.5)*2.1)+(2*1.5))*1.3</f>
        <v>60.411000000000001</v>
      </c>
      <c r="J664" s="325"/>
      <c r="K664" s="325"/>
      <c r="L664" s="325"/>
      <c r="M664" s="325"/>
      <c r="N664" s="325">
        <f>(4.5+7.7+8.5+5.1+8.5+7.7+4.5+5.1+1.5+1.5)*2.3</f>
        <v>125.58</v>
      </c>
      <c r="O664" s="326"/>
      <c r="P664" s="326"/>
      <c r="Q664" s="326">
        <f>0.75*I664</f>
        <v>45.308250000000001</v>
      </c>
      <c r="R664" s="326"/>
      <c r="S664" s="327"/>
    </row>
    <row r="665" spans="1:19" ht="15" customHeight="1">
      <c r="A665" s="561">
        <f t="shared" si="10"/>
        <v>665</v>
      </c>
      <c r="B665" s="31">
        <v>105</v>
      </c>
      <c r="C665" s="249" t="s">
        <v>851</v>
      </c>
      <c r="D665" s="320" t="s">
        <v>180</v>
      </c>
      <c r="E665" s="321" t="s">
        <v>856</v>
      </c>
      <c r="F665" s="322" t="s">
        <v>168</v>
      </c>
      <c r="G665" s="323" t="s">
        <v>469</v>
      </c>
      <c r="H665" s="322" t="s">
        <v>44</v>
      </c>
      <c r="I665" s="324">
        <f>(13.3*5)*1.3</f>
        <v>86.45</v>
      </c>
      <c r="J665" s="325"/>
      <c r="K665" s="325"/>
      <c r="L665" s="325"/>
      <c r="M665" s="325"/>
      <c r="N665" s="325">
        <f>((7.3+5+7.3)*2.3)+((6+5+6)*2)</f>
        <v>79.08</v>
      </c>
      <c r="O665" s="326"/>
      <c r="P665" s="326"/>
      <c r="Q665" s="326">
        <f>0.75*I665</f>
        <v>64.837500000000006</v>
      </c>
      <c r="R665" s="326"/>
      <c r="S665" s="327"/>
    </row>
    <row r="666" spans="1:19" ht="15" customHeight="1">
      <c r="A666" s="561">
        <f t="shared" si="10"/>
        <v>666</v>
      </c>
      <c r="B666" s="31">
        <v>105</v>
      </c>
      <c r="C666" s="249" t="s">
        <v>851</v>
      </c>
      <c r="D666" s="320" t="s">
        <v>180</v>
      </c>
      <c r="E666" s="321" t="s">
        <v>856</v>
      </c>
      <c r="F666" s="322" t="s">
        <v>168</v>
      </c>
      <c r="G666" s="323" t="s">
        <v>888</v>
      </c>
      <c r="H666" s="322" t="s">
        <v>44</v>
      </c>
      <c r="I666" s="324">
        <f>((5*5.15)+(7.3*5.15)+(8.4*5.15))*1.3</f>
        <v>138.5865</v>
      </c>
      <c r="J666" s="325"/>
      <c r="K666" s="325"/>
      <c r="L666" s="325"/>
      <c r="M666" s="325"/>
      <c r="N666" s="325">
        <f>((5+5.15+5)*2)+((7.3+7.3)*2)+((8.4+5.15+8.4)*2.3)</f>
        <v>109.985</v>
      </c>
      <c r="O666" s="326"/>
      <c r="P666" s="326"/>
      <c r="Q666" s="326">
        <f>0.75*I666</f>
        <v>103.939875</v>
      </c>
      <c r="R666" s="326"/>
      <c r="S666" s="327"/>
    </row>
    <row r="667" spans="1:19" ht="15" customHeight="1">
      <c r="A667" s="561">
        <f t="shared" si="10"/>
        <v>667</v>
      </c>
      <c r="B667" s="31">
        <v>105</v>
      </c>
      <c r="C667" s="249" t="s">
        <v>851</v>
      </c>
      <c r="D667" s="320" t="s">
        <v>180</v>
      </c>
      <c r="E667" s="321" t="s">
        <v>856</v>
      </c>
      <c r="F667" s="322" t="s">
        <v>168</v>
      </c>
      <c r="G667" s="323" t="s">
        <v>986</v>
      </c>
      <c r="H667" s="322" t="s">
        <v>44</v>
      </c>
      <c r="I667" s="324">
        <f>((6.5+5.3+5)*4.8)*1.3</f>
        <v>104.83200000000001</v>
      </c>
      <c r="J667" s="325"/>
      <c r="K667" s="325"/>
      <c r="L667" s="325"/>
      <c r="M667" s="325"/>
      <c r="N667" s="325">
        <f>((6.5+4.8+6.5)*2.25)+((5.3+5.3)*2)+((5+4.8+5)*2)</f>
        <v>90.85</v>
      </c>
      <c r="O667" s="326"/>
      <c r="P667" s="326"/>
      <c r="Q667" s="326">
        <f>0.75*I667</f>
        <v>78.624000000000009</v>
      </c>
      <c r="R667" s="326"/>
      <c r="S667" s="327"/>
    </row>
    <row r="668" spans="1:19" ht="15" customHeight="1">
      <c r="A668" s="561">
        <f t="shared" si="10"/>
        <v>668</v>
      </c>
      <c r="B668" s="31">
        <v>105</v>
      </c>
      <c r="C668" s="249" t="s">
        <v>851</v>
      </c>
      <c r="D668" s="320" t="s">
        <v>180</v>
      </c>
      <c r="E668" s="321" t="s">
        <v>856</v>
      </c>
      <c r="F668" s="322" t="s">
        <v>123</v>
      </c>
      <c r="G668" s="323" t="s">
        <v>472</v>
      </c>
      <c r="H668" s="322" t="s">
        <v>109</v>
      </c>
      <c r="I668" s="324">
        <f>(2.7*2)*1.3</f>
        <v>7.0200000000000005</v>
      </c>
      <c r="J668" s="325"/>
      <c r="K668" s="325"/>
      <c r="L668" s="325"/>
      <c r="M668" s="325"/>
      <c r="N668" s="325">
        <f>(2.7+2+2.7+2)*3</f>
        <v>28.200000000000003</v>
      </c>
      <c r="O668" s="326"/>
      <c r="P668" s="326">
        <f>I668</f>
        <v>7.0200000000000005</v>
      </c>
      <c r="Q668" s="326"/>
      <c r="R668" s="326"/>
      <c r="S668" s="327" t="s">
        <v>1024</v>
      </c>
    </row>
    <row r="669" spans="1:19" ht="15" customHeight="1">
      <c r="A669" s="561">
        <f t="shared" si="10"/>
        <v>669</v>
      </c>
      <c r="B669" s="31">
        <v>105</v>
      </c>
      <c r="C669" s="249" t="s">
        <v>851</v>
      </c>
      <c r="D669" s="320" t="s">
        <v>180</v>
      </c>
      <c r="E669" s="321" t="s">
        <v>856</v>
      </c>
      <c r="F669" s="322" t="s">
        <v>123</v>
      </c>
      <c r="G669" s="323" t="s">
        <v>474</v>
      </c>
      <c r="H669" s="322" t="s">
        <v>19</v>
      </c>
      <c r="I669" s="324">
        <f>2.05*2.85</f>
        <v>5.8424999999999994</v>
      </c>
      <c r="J669" s="325"/>
      <c r="K669" s="325"/>
      <c r="L669" s="325">
        <f>2*(2.05+2.85)*3</f>
        <v>29.400000000000002</v>
      </c>
      <c r="M669" s="325"/>
      <c r="N669" s="325"/>
      <c r="O669" s="326"/>
      <c r="P669" s="326"/>
      <c r="Q669" s="326">
        <v>6</v>
      </c>
      <c r="R669" s="326"/>
      <c r="S669" s="327" t="s">
        <v>1024</v>
      </c>
    </row>
    <row r="670" spans="1:19" ht="15" customHeight="1">
      <c r="A670" s="561">
        <f t="shared" si="10"/>
        <v>670</v>
      </c>
      <c r="B670" s="31">
        <v>105</v>
      </c>
      <c r="C670" s="249" t="s">
        <v>851</v>
      </c>
      <c r="D670" s="320" t="s">
        <v>180</v>
      </c>
      <c r="E670" s="321" t="s">
        <v>856</v>
      </c>
      <c r="F670" s="322" t="s">
        <v>759</v>
      </c>
      <c r="G670" s="323" t="s">
        <v>760</v>
      </c>
      <c r="H670" s="322" t="s">
        <v>109</v>
      </c>
      <c r="I670" s="324">
        <f>(3.7*3)*1.3</f>
        <v>14.430000000000001</v>
      </c>
      <c r="J670" s="325"/>
      <c r="K670" s="325"/>
      <c r="L670" s="325"/>
      <c r="M670" s="325"/>
      <c r="N670" s="325">
        <f>(3.7+3+3.7+3)*3</f>
        <v>40.200000000000003</v>
      </c>
      <c r="O670" s="326"/>
      <c r="P670" s="326"/>
      <c r="Q670" s="326"/>
      <c r="R670" s="326"/>
      <c r="S670" s="327"/>
    </row>
    <row r="671" spans="1:19" ht="15" customHeight="1">
      <c r="A671" s="561">
        <f t="shared" si="10"/>
        <v>671</v>
      </c>
      <c r="B671" s="31">
        <v>105</v>
      </c>
      <c r="C671" s="249" t="s">
        <v>851</v>
      </c>
      <c r="D671" s="320" t="s">
        <v>180</v>
      </c>
      <c r="E671" s="321" t="s">
        <v>856</v>
      </c>
      <c r="F671" s="322" t="s">
        <v>892</v>
      </c>
      <c r="G671" s="323" t="s">
        <v>476</v>
      </c>
      <c r="H671" s="322" t="s">
        <v>174</v>
      </c>
      <c r="I671" s="324">
        <f>(1.5*3.1)*1.3</f>
        <v>6.0450000000000008</v>
      </c>
      <c r="J671" s="325"/>
      <c r="K671" s="325"/>
      <c r="L671" s="325">
        <f>(1.5+3.1+1.5+3.1)*3</f>
        <v>27.599999999999998</v>
      </c>
      <c r="M671" s="325"/>
      <c r="N671" s="325"/>
      <c r="O671" s="326"/>
      <c r="P671" s="326">
        <f>I671</f>
        <v>6.0450000000000008</v>
      </c>
      <c r="Q671" s="326"/>
      <c r="R671" s="326"/>
      <c r="S671" s="327" t="s">
        <v>1024</v>
      </c>
    </row>
    <row r="672" spans="1:19" ht="15" customHeight="1">
      <c r="A672" s="561">
        <f t="shared" si="10"/>
        <v>672</v>
      </c>
      <c r="B672" s="31">
        <v>105</v>
      </c>
      <c r="C672" s="249" t="s">
        <v>851</v>
      </c>
      <c r="D672" s="320" t="s">
        <v>180</v>
      </c>
      <c r="E672" s="321" t="s">
        <v>856</v>
      </c>
      <c r="F672" s="322" t="s">
        <v>479</v>
      </c>
      <c r="G672" s="323" t="s">
        <v>764</v>
      </c>
      <c r="H672" s="322"/>
      <c r="I672" s="324">
        <v>0</v>
      </c>
      <c r="J672" s="325"/>
      <c r="K672" s="325"/>
      <c r="L672" s="325"/>
      <c r="M672" s="325"/>
      <c r="N672" s="325"/>
      <c r="O672" s="326"/>
      <c r="P672" s="326"/>
      <c r="Q672" s="326"/>
      <c r="R672" s="326"/>
      <c r="S672" s="327" t="s">
        <v>1330</v>
      </c>
    </row>
    <row r="673" spans="1:19" ht="15" customHeight="1">
      <c r="A673" s="561">
        <f t="shared" si="10"/>
        <v>673</v>
      </c>
      <c r="B673" s="31">
        <v>105</v>
      </c>
      <c r="C673" s="249" t="s">
        <v>851</v>
      </c>
      <c r="D673" s="320" t="s">
        <v>180</v>
      </c>
      <c r="E673" s="321" t="s">
        <v>856</v>
      </c>
      <c r="F673" s="322" t="s">
        <v>479</v>
      </c>
      <c r="G673" s="323" t="s">
        <v>766</v>
      </c>
      <c r="H673" s="322" t="s">
        <v>174</v>
      </c>
      <c r="I673" s="324">
        <v>76.7</v>
      </c>
      <c r="J673" s="325"/>
      <c r="K673" s="325"/>
      <c r="L673" s="325">
        <f>(38+2.2)*3</f>
        <v>120.60000000000001</v>
      </c>
      <c r="M673" s="325"/>
      <c r="N673" s="325"/>
      <c r="O673" s="326"/>
      <c r="P673" s="326"/>
      <c r="Q673" s="326"/>
      <c r="R673" s="326"/>
      <c r="S673" s="327"/>
    </row>
    <row r="674" spans="1:19" ht="15" customHeight="1">
      <c r="A674" s="561">
        <f t="shared" si="10"/>
        <v>674</v>
      </c>
      <c r="B674" s="31">
        <v>105</v>
      </c>
      <c r="C674" s="249" t="s">
        <v>851</v>
      </c>
      <c r="D674" s="320" t="s">
        <v>180</v>
      </c>
      <c r="E674" s="321" t="s">
        <v>856</v>
      </c>
      <c r="F674" s="322" t="s">
        <v>489</v>
      </c>
      <c r="G674" s="323" t="s">
        <v>480</v>
      </c>
      <c r="H674" s="322" t="s">
        <v>19</v>
      </c>
      <c r="I674" s="324">
        <v>1</v>
      </c>
      <c r="J674" s="325"/>
      <c r="K674" s="325"/>
      <c r="L674" s="325">
        <v>12</v>
      </c>
      <c r="M674" s="325"/>
      <c r="N674" s="325"/>
      <c r="O674" s="326"/>
      <c r="P674" s="326">
        <v>1</v>
      </c>
      <c r="Q674" s="326"/>
      <c r="R674" s="326"/>
      <c r="S674" s="327"/>
    </row>
    <row r="675" spans="1:19" ht="15" customHeight="1">
      <c r="A675" s="561">
        <f t="shared" si="10"/>
        <v>675</v>
      </c>
      <c r="B675" s="31">
        <v>105</v>
      </c>
      <c r="C675" s="249" t="s">
        <v>851</v>
      </c>
      <c r="D675" s="320" t="s">
        <v>180</v>
      </c>
      <c r="E675" s="321" t="s">
        <v>856</v>
      </c>
      <c r="F675" s="322" t="s">
        <v>489</v>
      </c>
      <c r="G675" s="323" t="s">
        <v>771</v>
      </c>
      <c r="H675" s="322" t="s">
        <v>19</v>
      </c>
      <c r="I675" s="324">
        <v>2</v>
      </c>
      <c r="J675" s="325"/>
      <c r="K675" s="325"/>
      <c r="L675" s="325">
        <v>18</v>
      </c>
      <c r="M675" s="325"/>
      <c r="N675" s="325"/>
      <c r="O675" s="326"/>
      <c r="P675" s="326">
        <v>2</v>
      </c>
      <c r="Q675" s="326"/>
      <c r="R675" s="326"/>
      <c r="S675" s="327"/>
    </row>
    <row r="676" spans="1:19" ht="15" customHeight="1">
      <c r="A676" s="561">
        <f t="shared" si="10"/>
        <v>676</v>
      </c>
      <c r="B676" s="31">
        <v>105</v>
      </c>
      <c r="C676" s="249" t="s">
        <v>851</v>
      </c>
      <c r="D676" s="320" t="s">
        <v>180</v>
      </c>
      <c r="E676" s="321" t="s">
        <v>856</v>
      </c>
      <c r="F676" s="322" t="s">
        <v>489</v>
      </c>
      <c r="G676" s="323" t="s">
        <v>772</v>
      </c>
      <c r="H676" s="322" t="s">
        <v>44</v>
      </c>
      <c r="I676" s="324">
        <f>(6.15*1.1)*1.3</f>
        <v>8.7945000000000011</v>
      </c>
      <c r="J676" s="325"/>
      <c r="K676" s="325"/>
      <c r="L676" s="325">
        <f>(6.15+1.1+6.15+1.1)*3</f>
        <v>43.5</v>
      </c>
      <c r="M676" s="325"/>
      <c r="N676" s="325"/>
      <c r="O676" s="326"/>
      <c r="P676" s="326">
        <f>I676</f>
        <v>8.7945000000000011</v>
      </c>
      <c r="Q676" s="326"/>
      <c r="R676" s="326"/>
      <c r="S676" s="327" t="s">
        <v>1024</v>
      </c>
    </row>
    <row r="677" spans="1:19" ht="15" customHeight="1">
      <c r="A677" s="561">
        <f t="shared" si="10"/>
        <v>677</v>
      </c>
      <c r="B677" s="31">
        <v>105</v>
      </c>
      <c r="C677" s="249" t="s">
        <v>851</v>
      </c>
      <c r="D677" s="320" t="s">
        <v>180</v>
      </c>
      <c r="E677" s="321" t="s">
        <v>856</v>
      </c>
      <c r="F677" s="322" t="s">
        <v>489</v>
      </c>
      <c r="G677" s="323" t="s">
        <v>513</v>
      </c>
      <c r="H677" s="322" t="s">
        <v>174</v>
      </c>
      <c r="I677" s="324">
        <f>((10.35*6.1)+(2.5*2.15))*1.3</f>
        <v>89.062999999999988</v>
      </c>
      <c r="J677" s="325"/>
      <c r="K677" s="325"/>
      <c r="L677" s="325">
        <f>(6.1+7.65+2.15+2.5+8.25+10.35)*3</f>
        <v>111</v>
      </c>
      <c r="M677" s="325"/>
      <c r="N677" s="325"/>
      <c r="O677" s="326"/>
      <c r="P677" s="326">
        <f>I677</f>
        <v>89.062999999999988</v>
      </c>
      <c r="Q677" s="326"/>
      <c r="R677" s="326"/>
      <c r="S677" s="327" t="s">
        <v>1024</v>
      </c>
    </row>
    <row r="678" spans="1:19" ht="15" customHeight="1">
      <c r="A678" s="561">
        <f t="shared" si="10"/>
        <v>678</v>
      </c>
      <c r="B678" s="31">
        <v>105</v>
      </c>
      <c r="C678" s="249" t="s">
        <v>851</v>
      </c>
      <c r="D678" s="320" t="s">
        <v>180</v>
      </c>
      <c r="E678" s="321" t="s">
        <v>856</v>
      </c>
      <c r="F678" s="322" t="s">
        <v>489</v>
      </c>
      <c r="G678" s="323" t="s">
        <v>490</v>
      </c>
      <c r="H678" s="322" t="s">
        <v>44</v>
      </c>
      <c r="I678" s="324">
        <f>((9.7*6.35)-(3*1.25))*1.3</f>
        <v>75.198499999999996</v>
      </c>
      <c r="J678" s="325"/>
      <c r="K678" s="325"/>
      <c r="L678" s="325">
        <f>(9.7+6.35+9.7+6.35+1.25)*3.5</f>
        <v>116.72499999999998</v>
      </c>
      <c r="M678" s="325"/>
      <c r="N678" s="325"/>
      <c r="O678" s="326"/>
      <c r="P678" s="326">
        <f>I678</f>
        <v>75.198499999999996</v>
      </c>
      <c r="Q678" s="326"/>
      <c r="R678" s="326"/>
      <c r="S678" s="327" t="s">
        <v>1024</v>
      </c>
    </row>
    <row r="679" spans="1:19" ht="15" customHeight="1">
      <c r="A679" s="561">
        <f t="shared" si="10"/>
        <v>679</v>
      </c>
      <c r="B679" s="31">
        <v>105</v>
      </c>
      <c r="C679" s="249" t="s">
        <v>851</v>
      </c>
      <c r="D679" s="320" t="s">
        <v>180</v>
      </c>
      <c r="E679" s="321" t="s">
        <v>856</v>
      </c>
      <c r="F679" s="322" t="s">
        <v>489</v>
      </c>
      <c r="G679" s="323" t="s">
        <v>492</v>
      </c>
      <c r="H679" s="322" t="s">
        <v>44</v>
      </c>
      <c r="I679" s="324">
        <v>16</v>
      </c>
      <c r="J679" s="325"/>
      <c r="K679" s="325"/>
      <c r="L679" s="325"/>
      <c r="M679" s="325"/>
      <c r="N679" s="325">
        <v>55</v>
      </c>
      <c r="O679" s="326"/>
      <c r="P679" s="326"/>
      <c r="Q679" s="326">
        <v>16</v>
      </c>
      <c r="R679" s="326"/>
      <c r="S679" s="327"/>
    </row>
    <row r="680" spans="1:19" ht="15" customHeight="1">
      <c r="A680" s="561">
        <f t="shared" si="10"/>
        <v>680</v>
      </c>
      <c r="B680" s="31">
        <v>105</v>
      </c>
      <c r="C680" s="249" t="s">
        <v>851</v>
      </c>
      <c r="D680" s="320" t="s">
        <v>180</v>
      </c>
      <c r="E680" s="321" t="s">
        <v>856</v>
      </c>
      <c r="F680" s="322" t="s">
        <v>489</v>
      </c>
      <c r="G680" s="323" t="s">
        <v>493</v>
      </c>
      <c r="H680" s="322" t="s">
        <v>44</v>
      </c>
      <c r="I680" s="324">
        <f>((4.8*4.7)+(2*2.9))*1.3</f>
        <v>36.868000000000002</v>
      </c>
      <c r="J680" s="325"/>
      <c r="K680" s="325"/>
      <c r="L680" s="325">
        <f>(4.7+1.9+2+2.9+6.7+4.8)*3</f>
        <v>69</v>
      </c>
      <c r="M680" s="325"/>
      <c r="N680" s="325"/>
      <c r="O680" s="326"/>
      <c r="P680" s="326">
        <f>I680</f>
        <v>36.868000000000002</v>
      </c>
      <c r="Q680" s="326"/>
      <c r="R680" s="326"/>
      <c r="S680" s="327"/>
    </row>
    <row r="681" spans="1:19" ht="15" customHeight="1">
      <c r="A681" s="561">
        <f t="shared" si="10"/>
        <v>681</v>
      </c>
      <c r="B681" s="31">
        <v>105</v>
      </c>
      <c r="C681" s="249" t="s">
        <v>851</v>
      </c>
      <c r="D681" s="320" t="s">
        <v>180</v>
      </c>
      <c r="E681" s="321" t="s">
        <v>856</v>
      </c>
      <c r="F681" s="322" t="s">
        <v>489</v>
      </c>
      <c r="G681" s="323" t="s">
        <v>402</v>
      </c>
      <c r="H681" s="322" t="s">
        <v>174</v>
      </c>
      <c r="I681" s="324">
        <f>(2*3)*1.3</f>
        <v>7.8000000000000007</v>
      </c>
      <c r="J681" s="325"/>
      <c r="K681" s="325"/>
      <c r="L681" s="325">
        <f>(2+3+2+3)*3</f>
        <v>30</v>
      </c>
      <c r="M681" s="325"/>
      <c r="N681" s="325"/>
      <c r="O681" s="326"/>
      <c r="P681" s="326">
        <f>I681</f>
        <v>7.8000000000000007</v>
      </c>
      <c r="Q681" s="326"/>
      <c r="R681" s="326"/>
      <c r="S681" s="327" t="s">
        <v>1024</v>
      </c>
    </row>
    <row r="682" spans="1:19" ht="15" customHeight="1">
      <c r="A682" s="561">
        <f t="shared" si="10"/>
        <v>682</v>
      </c>
      <c r="B682" s="31">
        <v>105</v>
      </c>
      <c r="C682" s="249" t="s">
        <v>851</v>
      </c>
      <c r="D682" s="320" t="s">
        <v>180</v>
      </c>
      <c r="E682" s="321" t="s">
        <v>856</v>
      </c>
      <c r="F682" s="322" t="s">
        <v>489</v>
      </c>
      <c r="G682" s="323" t="s">
        <v>495</v>
      </c>
      <c r="H682" s="322" t="s">
        <v>19</v>
      </c>
      <c r="I682" s="324">
        <v>1</v>
      </c>
      <c r="J682" s="325"/>
      <c r="K682" s="325"/>
      <c r="L682" s="325">
        <v>12</v>
      </c>
      <c r="M682" s="325"/>
      <c r="N682" s="325"/>
      <c r="O682" s="326"/>
      <c r="P682" s="326">
        <v>1</v>
      </c>
      <c r="Q682" s="326"/>
      <c r="R682" s="326"/>
      <c r="S682" s="327"/>
    </row>
    <row r="683" spans="1:19" ht="15" customHeight="1">
      <c r="A683" s="561">
        <f t="shared" si="10"/>
        <v>683</v>
      </c>
      <c r="B683" s="31">
        <v>105</v>
      </c>
      <c r="C683" s="249" t="s">
        <v>851</v>
      </c>
      <c r="D683" s="320" t="s">
        <v>180</v>
      </c>
      <c r="E683" s="321" t="s">
        <v>856</v>
      </c>
      <c r="F683" s="322" t="s">
        <v>489</v>
      </c>
      <c r="G683" s="323" t="s">
        <v>496</v>
      </c>
      <c r="H683" s="322" t="s">
        <v>174</v>
      </c>
      <c r="I683" s="324">
        <f>((1*4.4)+(0.8*0.4)+(1.7*0.85)+(1.1*3.1))*1.3</f>
        <v>12.447500000000002</v>
      </c>
      <c r="J683" s="325"/>
      <c r="K683" s="325"/>
      <c r="L683" s="325">
        <f>(1+1.6+0.85+1.7+0.85+1.35+1+4+0.8+0.4+0.8+3.1+3.1)*3</f>
        <v>61.650000000000013</v>
      </c>
      <c r="M683" s="325"/>
      <c r="N683" s="325"/>
      <c r="O683" s="326"/>
      <c r="P683" s="326">
        <f>I683</f>
        <v>12.447500000000002</v>
      </c>
      <c r="Q683" s="326"/>
      <c r="R683" s="326"/>
      <c r="S683" s="327" t="s">
        <v>1024</v>
      </c>
    </row>
    <row r="684" spans="1:19" ht="15" customHeight="1">
      <c r="A684" s="561">
        <f t="shared" si="10"/>
        <v>684</v>
      </c>
      <c r="B684" s="31">
        <v>105</v>
      </c>
      <c r="C684" s="249" t="s">
        <v>851</v>
      </c>
      <c r="D684" s="320" t="s">
        <v>180</v>
      </c>
      <c r="E684" s="321" t="s">
        <v>856</v>
      </c>
      <c r="F684" s="322" t="s">
        <v>489</v>
      </c>
      <c r="G684" s="323" t="s">
        <v>497</v>
      </c>
      <c r="H684" s="322" t="s">
        <v>44</v>
      </c>
      <c r="I684" s="324">
        <f>(2*2.75)*1.3</f>
        <v>7.15</v>
      </c>
      <c r="J684" s="325"/>
      <c r="K684" s="325"/>
      <c r="L684" s="325">
        <f>(2+2.75+2+2.75)*3</f>
        <v>28.5</v>
      </c>
      <c r="M684" s="325"/>
      <c r="N684" s="325"/>
      <c r="O684" s="326"/>
      <c r="P684" s="326">
        <f>I684</f>
        <v>7.15</v>
      </c>
      <c r="Q684" s="326"/>
      <c r="R684" s="326"/>
      <c r="S684" s="327" t="s">
        <v>1024</v>
      </c>
    </row>
    <row r="685" spans="1:19" ht="15" customHeight="1">
      <c r="A685" s="561">
        <f t="shared" si="10"/>
        <v>685</v>
      </c>
      <c r="B685" s="31">
        <v>105</v>
      </c>
      <c r="C685" s="249" t="s">
        <v>851</v>
      </c>
      <c r="D685" s="320" t="s">
        <v>180</v>
      </c>
      <c r="E685" s="321" t="s">
        <v>856</v>
      </c>
      <c r="F685" s="322" t="s">
        <v>489</v>
      </c>
      <c r="G685" s="323" t="s">
        <v>498</v>
      </c>
      <c r="H685" s="322" t="s">
        <v>109</v>
      </c>
      <c r="I685" s="324">
        <f>((1.7*3.7)+(2.3*1.9))*1.3</f>
        <v>13.858000000000001</v>
      </c>
      <c r="J685" s="325"/>
      <c r="K685" s="325"/>
      <c r="L685" s="325"/>
      <c r="M685" s="325"/>
      <c r="N685" s="325">
        <f>((2.2+1.9+1.5+1.7+3.7+3.7)*2.45)+(3.2*1.8)</f>
        <v>41.774999999999999</v>
      </c>
      <c r="O685" s="326"/>
      <c r="P685" s="326">
        <f>I685</f>
        <v>13.858000000000001</v>
      </c>
      <c r="Q685" s="326"/>
      <c r="R685" s="326"/>
      <c r="S685" s="327" t="s">
        <v>1024</v>
      </c>
    </row>
    <row r="686" spans="1:19" ht="15" customHeight="1">
      <c r="A686" s="561">
        <f t="shared" si="10"/>
        <v>686</v>
      </c>
      <c r="B686" s="31">
        <v>105</v>
      </c>
      <c r="C686" s="249" t="s">
        <v>851</v>
      </c>
      <c r="D686" s="320" t="s">
        <v>180</v>
      </c>
      <c r="E686" s="321" t="s">
        <v>856</v>
      </c>
      <c r="F686" s="322" t="s">
        <v>489</v>
      </c>
      <c r="G686" s="323" t="s">
        <v>509</v>
      </c>
      <c r="H686" s="322" t="s">
        <v>44</v>
      </c>
      <c r="I686" s="324">
        <f>(1.9*1.15)*1.3</f>
        <v>2.8404999999999996</v>
      </c>
      <c r="J686" s="325"/>
      <c r="K686" s="325"/>
      <c r="L686" s="325">
        <f>(1.9+1.15+1.9+1.15)*3</f>
        <v>18.299999999999997</v>
      </c>
      <c r="M686" s="325"/>
      <c r="N686" s="325"/>
      <c r="O686" s="326"/>
      <c r="P686" s="326">
        <f>I686</f>
        <v>2.8404999999999996</v>
      </c>
      <c r="Q686" s="326"/>
      <c r="R686" s="326"/>
      <c r="S686" s="327" t="s">
        <v>1024</v>
      </c>
    </row>
    <row r="687" spans="1:19" ht="15" customHeight="1">
      <c r="A687" s="561">
        <f t="shared" si="10"/>
        <v>687</v>
      </c>
      <c r="B687" s="31">
        <v>105</v>
      </c>
      <c r="C687" s="249" t="s">
        <v>851</v>
      </c>
      <c r="D687" s="320" t="s">
        <v>180</v>
      </c>
      <c r="E687" s="321" t="s">
        <v>856</v>
      </c>
      <c r="F687" s="322" t="s">
        <v>489</v>
      </c>
      <c r="G687" s="323" t="s">
        <v>510</v>
      </c>
      <c r="H687" s="322" t="s">
        <v>44</v>
      </c>
      <c r="I687" s="324">
        <f>(2.2*1.3)*1.3</f>
        <v>3.7180000000000004</v>
      </c>
      <c r="J687" s="325"/>
      <c r="K687" s="325"/>
      <c r="L687" s="325">
        <f>(2.2+1.3+2.2+1.3)*3</f>
        <v>21</v>
      </c>
      <c r="M687" s="325"/>
      <c r="N687" s="325"/>
      <c r="O687" s="326"/>
      <c r="P687" s="326">
        <f>I687</f>
        <v>3.7180000000000004</v>
      </c>
      <c r="Q687" s="326"/>
      <c r="R687" s="326"/>
      <c r="S687" s="327" t="s">
        <v>1024</v>
      </c>
    </row>
    <row r="688" spans="1:19" ht="15" customHeight="1">
      <c r="A688" s="561">
        <f t="shared" si="10"/>
        <v>688</v>
      </c>
      <c r="B688" s="31">
        <v>105</v>
      </c>
      <c r="C688" s="249" t="s">
        <v>851</v>
      </c>
      <c r="D688" s="320" t="s">
        <v>180</v>
      </c>
      <c r="E688" s="321" t="s">
        <v>856</v>
      </c>
      <c r="F688" s="322" t="s">
        <v>489</v>
      </c>
      <c r="G688" s="323" t="s">
        <v>511</v>
      </c>
      <c r="H688" s="322" t="s">
        <v>44</v>
      </c>
      <c r="I688" s="324">
        <f>(6*1.1)*1.3</f>
        <v>8.5800000000000018</v>
      </c>
      <c r="J688" s="325"/>
      <c r="K688" s="325"/>
      <c r="L688" s="325">
        <f>(6+1.1+6+1.1)*3</f>
        <v>42.599999999999994</v>
      </c>
      <c r="M688" s="325"/>
      <c r="N688" s="325"/>
      <c r="O688" s="326"/>
      <c r="P688" s="326"/>
      <c r="Q688" s="326"/>
      <c r="R688" s="326"/>
      <c r="S688" s="327" t="s">
        <v>1024</v>
      </c>
    </row>
    <row r="689" spans="1:19" ht="15" customHeight="1">
      <c r="A689" s="561">
        <f t="shared" si="10"/>
        <v>689</v>
      </c>
      <c r="B689" s="31">
        <v>105</v>
      </c>
      <c r="C689" s="249" t="s">
        <v>851</v>
      </c>
      <c r="D689" s="320" t="s">
        <v>180</v>
      </c>
      <c r="E689" s="321" t="s">
        <v>856</v>
      </c>
      <c r="F689" s="322" t="s">
        <v>489</v>
      </c>
      <c r="G689" s="323" t="s">
        <v>512</v>
      </c>
      <c r="H689" s="322" t="s">
        <v>44</v>
      </c>
      <c r="I689" s="324">
        <v>119.60000000000001</v>
      </c>
      <c r="J689" s="325"/>
      <c r="K689" s="325"/>
      <c r="L689" s="325">
        <f>(42.8*3)+(((0.8+0.3+0.8+0.3)*3)*3)</f>
        <v>148.19999999999999</v>
      </c>
      <c r="M689" s="325"/>
      <c r="N689" s="325"/>
      <c r="O689" s="326"/>
      <c r="P689" s="326">
        <f>I689</f>
        <v>119.60000000000001</v>
      </c>
      <c r="Q689" s="326"/>
      <c r="R689" s="326"/>
      <c r="S689" s="327" t="s">
        <v>1024</v>
      </c>
    </row>
    <row r="690" spans="1:19" ht="15" customHeight="1">
      <c r="A690" s="561">
        <f t="shared" si="10"/>
        <v>690</v>
      </c>
      <c r="B690" s="31">
        <v>105</v>
      </c>
      <c r="C690" s="249" t="s">
        <v>851</v>
      </c>
      <c r="D690" s="320" t="s">
        <v>180</v>
      </c>
      <c r="E690" s="321" t="s">
        <v>856</v>
      </c>
      <c r="F690" s="322" t="s">
        <v>489</v>
      </c>
      <c r="G690" s="323" t="s">
        <v>514</v>
      </c>
      <c r="H690" s="322" t="s">
        <v>19</v>
      </c>
      <c r="I690" s="324">
        <v>1.5</v>
      </c>
      <c r="J690" s="325"/>
      <c r="K690" s="325"/>
      <c r="L690" s="325">
        <v>15</v>
      </c>
      <c r="M690" s="325"/>
      <c r="N690" s="325"/>
      <c r="O690" s="326"/>
      <c r="P690" s="326">
        <v>2</v>
      </c>
      <c r="Q690" s="326"/>
      <c r="R690" s="326"/>
      <c r="S690" s="327"/>
    </row>
    <row r="691" spans="1:19" ht="15" customHeight="1">
      <c r="A691" s="561">
        <f t="shared" si="10"/>
        <v>691</v>
      </c>
      <c r="B691" s="31">
        <v>105</v>
      </c>
      <c r="C691" s="249" t="s">
        <v>851</v>
      </c>
      <c r="D691" s="320" t="s">
        <v>180</v>
      </c>
      <c r="E691" s="321" t="s">
        <v>856</v>
      </c>
      <c r="F691" s="322" t="s">
        <v>489</v>
      </c>
      <c r="G691" s="323" t="s">
        <v>515</v>
      </c>
      <c r="H691" s="322" t="s">
        <v>19</v>
      </c>
      <c r="I691" s="324">
        <v>3</v>
      </c>
      <c r="J691" s="325"/>
      <c r="K691" s="325"/>
      <c r="L691" s="325">
        <v>24</v>
      </c>
      <c r="M691" s="325"/>
      <c r="N691" s="325"/>
      <c r="O691" s="326"/>
      <c r="P691" s="326">
        <v>3</v>
      </c>
      <c r="Q691" s="326"/>
      <c r="R691" s="326"/>
      <c r="S691" s="327"/>
    </row>
    <row r="692" spans="1:19" ht="15" customHeight="1">
      <c r="A692" s="561">
        <f t="shared" si="10"/>
        <v>692</v>
      </c>
      <c r="B692" s="31">
        <v>105</v>
      </c>
      <c r="C692" s="249" t="s">
        <v>851</v>
      </c>
      <c r="D692" s="320" t="s">
        <v>180</v>
      </c>
      <c r="E692" s="321" t="s">
        <v>856</v>
      </c>
      <c r="F692" s="322" t="s">
        <v>489</v>
      </c>
      <c r="G692" s="323" t="s">
        <v>987</v>
      </c>
      <c r="H692" s="322" t="s">
        <v>44</v>
      </c>
      <c r="I692" s="324">
        <f>((3*1.1)+(2.8*1.8))*1.3</f>
        <v>10.842000000000001</v>
      </c>
      <c r="J692" s="325"/>
      <c r="K692" s="325"/>
      <c r="L692" s="325">
        <f>(3+2.8+1.8+2.8+0.7+3+1.1)*3</f>
        <v>45.599999999999994</v>
      </c>
      <c r="M692" s="325"/>
      <c r="N692" s="325"/>
      <c r="O692" s="326"/>
      <c r="P692" s="326">
        <f>I692</f>
        <v>10.842000000000001</v>
      </c>
      <c r="Q692" s="326"/>
      <c r="R692" s="326"/>
      <c r="S692" s="327" t="s">
        <v>1024</v>
      </c>
    </row>
    <row r="693" spans="1:19" ht="15" customHeight="1">
      <c r="A693" s="561">
        <f t="shared" si="10"/>
        <v>693</v>
      </c>
      <c r="B693" s="31">
        <v>105</v>
      </c>
      <c r="C693" s="249" t="s">
        <v>851</v>
      </c>
      <c r="D693" s="320" t="s">
        <v>180</v>
      </c>
      <c r="E693" s="321" t="s">
        <v>856</v>
      </c>
      <c r="F693" s="322" t="s">
        <v>489</v>
      </c>
      <c r="G693" s="323" t="s">
        <v>988</v>
      </c>
      <c r="H693" s="322" t="s">
        <v>44</v>
      </c>
      <c r="I693" s="324">
        <f>((2.2*1)+(4*1)+(7.5*5.5))*1.3</f>
        <v>61.685000000000002</v>
      </c>
      <c r="J693" s="325"/>
      <c r="K693" s="325"/>
      <c r="L693" s="325">
        <f>(2.2+1+1.3+1+4+6.5+7.5+6.5)*3</f>
        <v>90</v>
      </c>
      <c r="M693" s="325"/>
      <c r="N693" s="325"/>
      <c r="O693" s="326"/>
      <c r="P693" s="326">
        <f>I693</f>
        <v>61.685000000000002</v>
      </c>
      <c r="Q693" s="326"/>
      <c r="R693" s="326"/>
      <c r="S693" s="327"/>
    </row>
    <row r="694" spans="1:19" ht="15" customHeight="1">
      <c r="A694" s="561">
        <f t="shared" si="10"/>
        <v>694</v>
      </c>
      <c r="B694" s="31">
        <v>105</v>
      </c>
      <c r="C694" s="249" t="s">
        <v>851</v>
      </c>
      <c r="D694" s="320" t="s">
        <v>180</v>
      </c>
      <c r="E694" s="321" t="s">
        <v>328</v>
      </c>
      <c r="F694" s="322" t="s">
        <v>894</v>
      </c>
      <c r="G694" s="323" t="s">
        <v>549</v>
      </c>
      <c r="H694" s="322" t="s">
        <v>166</v>
      </c>
      <c r="I694" s="324">
        <v>6</v>
      </c>
      <c r="J694" s="325"/>
      <c r="K694" s="325"/>
      <c r="L694" s="325"/>
      <c r="M694" s="325"/>
      <c r="N694" s="325"/>
      <c r="O694" s="326"/>
      <c r="P694" s="326"/>
      <c r="Q694" s="326"/>
      <c r="R694" s="326"/>
      <c r="S694" s="327"/>
    </row>
    <row r="695" spans="1:19" ht="15" customHeight="1">
      <c r="A695" s="561">
        <f t="shared" si="10"/>
        <v>695</v>
      </c>
      <c r="B695" s="31">
        <v>105</v>
      </c>
      <c r="C695" s="249" t="s">
        <v>851</v>
      </c>
      <c r="D695" s="320" t="s">
        <v>180</v>
      </c>
      <c r="E695" s="321" t="s">
        <v>328</v>
      </c>
      <c r="F695" s="322" t="s">
        <v>175</v>
      </c>
      <c r="G695" s="323" t="s">
        <v>989</v>
      </c>
      <c r="H695" s="322" t="s">
        <v>19</v>
      </c>
      <c r="I695" s="324">
        <v>25</v>
      </c>
      <c r="J695" s="325"/>
      <c r="K695" s="325"/>
      <c r="L695" s="325">
        <f>+(2.5+2.6+4.9+2.45+2.5+2.5+2.8+2.2+2.1)*2.75</f>
        <v>67.512500000000003</v>
      </c>
      <c r="M695" s="325"/>
      <c r="N695" s="325"/>
      <c r="O695" s="326"/>
      <c r="P695" s="326"/>
      <c r="Q695" s="326">
        <v>25</v>
      </c>
      <c r="R695" s="326"/>
      <c r="S695" s="327" t="s">
        <v>522</v>
      </c>
    </row>
    <row r="696" spans="1:19" ht="15" customHeight="1">
      <c r="A696" s="561">
        <f t="shared" si="10"/>
        <v>696</v>
      </c>
      <c r="B696" s="31">
        <v>105</v>
      </c>
      <c r="C696" s="249" t="s">
        <v>851</v>
      </c>
      <c r="D696" s="320" t="s">
        <v>180</v>
      </c>
      <c r="E696" s="321" t="s">
        <v>328</v>
      </c>
      <c r="F696" s="322" t="s">
        <v>334</v>
      </c>
      <c r="G696" s="323" t="s">
        <v>898</v>
      </c>
      <c r="H696" s="322" t="s">
        <v>19</v>
      </c>
      <c r="I696" s="324">
        <v>34</v>
      </c>
      <c r="J696" s="325"/>
      <c r="K696" s="325"/>
      <c r="L696" s="325">
        <f>+(4+4.65+4.8+2.9+4.6+2.6+2.1)*2.7</f>
        <v>69.254999999999995</v>
      </c>
      <c r="M696" s="325"/>
      <c r="N696" s="325"/>
      <c r="O696" s="326"/>
      <c r="P696" s="326"/>
      <c r="Q696" s="326">
        <v>34</v>
      </c>
      <c r="R696" s="326"/>
      <c r="S696" s="327" t="s">
        <v>522</v>
      </c>
    </row>
    <row r="697" spans="1:19" ht="15" customHeight="1">
      <c r="A697" s="561">
        <f t="shared" si="10"/>
        <v>697</v>
      </c>
      <c r="B697" s="31">
        <v>105</v>
      </c>
      <c r="C697" s="249" t="s">
        <v>851</v>
      </c>
      <c r="D697" s="320" t="s">
        <v>180</v>
      </c>
      <c r="E697" s="321" t="s">
        <v>328</v>
      </c>
      <c r="F697" s="322" t="s">
        <v>334</v>
      </c>
      <c r="G697" s="323" t="s">
        <v>784</v>
      </c>
      <c r="H697" s="322" t="s">
        <v>19</v>
      </c>
      <c r="I697" s="324">
        <v>34</v>
      </c>
      <c r="J697" s="325"/>
      <c r="K697" s="325"/>
      <c r="L697" s="325">
        <f>+(2.4+5.4+4.45+3.75+2.5+7.3*2+1.8*2)*2.75</f>
        <v>100.92500000000001</v>
      </c>
      <c r="M697" s="325"/>
      <c r="N697" s="325"/>
      <c r="O697" s="326"/>
      <c r="P697" s="326"/>
      <c r="Q697" s="326">
        <v>34</v>
      </c>
      <c r="R697" s="326"/>
      <c r="S697" s="327" t="s">
        <v>522</v>
      </c>
    </row>
    <row r="698" spans="1:19" ht="15" customHeight="1">
      <c r="A698" s="561">
        <f t="shared" si="10"/>
        <v>698</v>
      </c>
      <c r="B698" s="31">
        <v>105</v>
      </c>
      <c r="C698" s="249" t="s">
        <v>851</v>
      </c>
      <c r="D698" s="320" t="s">
        <v>180</v>
      </c>
      <c r="E698" s="321" t="s">
        <v>328</v>
      </c>
      <c r="F698" s="322" t="s">
        <v>332</v>
      </c>
      <c r="G698" s="323" t="s">
        <v>785</v>
      </c>
      <c r="H698" s="322" t="s">
        <v>19</v>
      </c>
      <c r="I698" s="324">
        <f>3.3*7.6</f>
        <v>25.08</v>
      </c>
      <c r="J698" s="325"/>
      <c r="K698" s="325"/>
      <c r="L698" s="325">
        <f>2*(7.6+3.3)*2.7</f>
        <v>58.86</v>
      </c>
      <c r="M698" s="325"/>
      <c r="N698" s="325"/>
      <c r="O698" s="326"/>
      <c r="P698" s="326"/>
      <c r="Q698" s="326">
        <v>25</v>
      </c>
      <c r="R698" s="326"/>
      <c r="S698" s="327" t="s">
        <v>522</v>
      </c>
    </row>
    <row r="699" spans="1:19" ht="15" customHeight="1">
      <c r="A699" s="561">
        <f t="shared" si="10"/>
        <v>699</v>
      </c>
      <c r="B699" s="31">
        <v>105</v>
      </c>
      <c r="C699" s="249" t="s">
        <v>851</v>
      </c>
      <c r="D699" s="320" t="s">
        <v>180</v>
      </c>
      <c r="E699" s="321" t="s">
        <v>328</v>
      </c>
      <c r="F699" s="322" t="s">
        <v>334</v>
      </c>
      <c r="G699" s="323" t="s">
        <v>786</v>
      </c>
      <c r="H699" s="322" t="s">
        <v>19</v>
      </c>
      <c r="I699" s="324">
        <v>24</v>
      </c>
      <c r="J699" s="325"/>
      <c r="K699" s="325"/>
      <c r="L699" s="325">
        <v>26</v>
      </c>
      <c r="M699" s="325"/>
      <c r="N699" s="325"/>
      <c r="O699" s="326"/>
      <c r="P699" s="326"/>
      <c r="Q699" s="326">
        <v>24</v>
      </c>
      <c r="R699" s="326"/>
      <c r="S699" s="327" t="s">
        <v>522</v>
      </c>
    </row>
    <row r="700" spans="1:19" ht="15" customHeight="1">
      <c r="A700" s="561">
        <f t="shared" si="10"/>
        <v>700</v>
      </c>
      <c r="B700" s="31">
        <v>105</v>
      </c>
      <c r="C700" s="249" t="s">
        <v>851</v>
      </c>
      <c r="D700" s="320" t="s">
        <v>180</v>
      </c>
      <c r="E700" s="321" t="s">
        <v>328</v>
      </c>
      <c r="F700" s="322" t="s">
        <v>334</v>
      </c>
      <c r="G700" s="323" t="s">
        <v>900</v>
      </c>
      <c r="H700" s="322" t="s">
        <v>19</v>
      </c>
      <c r="I700" s="324">
        <v>24</v>
      </c>
      <c r="J700" s="325"/>
      <c r="K700" s="325"/>
      <c r="L700" s="325">
        <v>26</v>
      </c>
      <c r="M700" s="325"/>
      <c r="N700" s="325"/>
      <c r="O700" s="326"/>
      <c r="P700" s="326"/>
      <c r="Q700" s="326">
        <v>24</v>
      </c>
      <c r="R700" s="326"/>
      <c r="S700" s="327" t="s">
        <v>522</v>
      </c>
    </row>
    <row r="701" spans="1:19" ht="15" customHeight="1">
      <c r="A701" s="561">
        <f t="shared" si="10"/>
        <v>701</v>
      </c>
      <c r="B701" s="31">
        <v>105</v>
      </c>
      <c r="C701" s="249" t="s">
        <v>851</v>
      </c>
      <c r="D701" s="320" t="s">
        <v>180</v>
      </c>
      <c r="E701" s="321" t="s">
        <v>328</v>
      </c>
      <c r="F701" s="322" t="s">
        <v>489</v>
      </c>
      <c r="G701" s="323" t="s">
        <v>606</v>
      </c>
      <c r="H701" s="322" t="s">
        <v>19</v>
      </c>
      <c r="I701" s="324">
        <v>24</v>
      </c>
      <c r="J701" s="325"/>
      <c r="K701" s="325"/>
      <c r="L701" s="325">
        <v>66</v>
      </c>
      <c r="M701" s="325"/>
      <c r="N701" s="325"/>
      <c r="O701" s="326"/>
      <c r="P701" s="326">
        <v>21</v>
      </c>
      <c r="Q701" s="326"/>
      <c r="R701" s="326"/>
      <c r="S701" s="327"/>
    </row>
    <row r="702" spans="1:19" ht="15" customHeight="1">
      <c r="A702" s="561">
        <f t="shared" si="10"/>
        <v>702</v>
      </c>
      <c r="B702" s="31">
        <v>105</v>
      </c>
      <c r="C702" s="249" t="s">
        <v>851</v>
      </c>
      <c r="D702" s="320" t="s">
        <v>180</v>
      </c>
      <c r="E702" s="321" t="s">
        <v>328</v>
      </c>
      <c r="F702" s="322" t="s">
        <v>489</v>
      </c>
      <c r="G702" s="323" t="s">
        <v>604</v>
      </c>
      <c r="H702" s="322" t="s">
        <v>19</v>
      </c>
      <c r="I702" s="324">
        <v>24</v>
      </c>
      <c r="J702" s="325"/>
      <c r="K702" s="325"/>
      <c r="L702" s="325">
        <v>66</v>
      </c>
      <c r="M702" s="325"/>
      <c r="N702" s="325"/>
      <c r="O702" s="326"/>
      <c r="P702" s="326">
        <v>21</v>
      </c>
      <c r="Q702" s="326"/>
      <c r="R702" s="326"/>
      <c r="S702" s="327"/>
    </row>
    <row r="703" spans="1:19" ht="15" customHeight="1">
      <c r="A703" s="561">
        <f t="shared" si="10"/>
        <v>703</v>
      </c>
      <c r="B703" s="31">
        <v>105</v>
      </c>
      <c r="C703" s="249" t="s">
        <v>851</v>
      </c>
      <c r="D703" s="320" t="s">
        <v>180</v>
      </c>
      <c r="E703" s="321" t="s">
        <v>328</v>
      </c>
      <c r="F703" s="322" t="s">
        <v>489</v>
      </c>
      <c r="G703" s="323" t="s">
        <v>905</v>
      </c>
      <c r="H703" s="322" t="s">
        <v>19</v>
      </c>
      <c r="I703" s="324">
        <v>24</v>
      </c>
      <c r="J703" s="325"/>
      <c r="K703" s="325"/>
      <c r="L703" s="325">
        <v>66</v>
      </c>
      <c r="M703" s="325"/>
      <c r="N703" s="325"/>
      <c r="O703" s="326"/>
      <c r="P703" s="326">
        <v>21</v>
      </c>
      <c r="Q703" s="326"/>
      <c r="R703" s="326"/>
      <c r="S703" s="327"/>
    </row>
    <row r="704" spans="1:19" ht="15" customHeight="1">
      <c r="A704" s="561">
        <f t="shared" si="10"/>
        <v>704</v>
      </c>
      <c r="B704" s="31">
        <v>105</v>
      </c>
      <c r="C704" s="249" t="s">
        <v>851</v>
      </c>
      <c r="D704" s="320" t="s">
        <v>180</v>
      </c>
      <c r="E704" s="321" t="s">
        <v>328</v>
      </c>
      <c r="F704" s="322" t="s">
        <v>489</v>
      </c>
      <c r="G704" s="323" t="s">
        <v>932</v>
      </c>
      <c r="H704" s="322" t="s">
        <v>19</v>
      </c>
      <c r="I704" s="324">
        <v>24</v>
      </c>
      <c r="J704" s="325"/>
      <c r="K704" s="325"/>
      <c r="L704" s="325">
        <v>66</v>
      </c>
      <c r="M704" s="325"/>
      <c r="N704" s="325"/>
      <c r="O704" s="326"/>
      <c r="P704" s="326">
        <v>21</v>
      </c>
      <c r="Q704" s="326"/>
      <c r="R704" s="326"/>
      <c r="S704" s="327"/>
    </row>
    <row r="705" spans="1:19" ht="15" customHeight="1">
      <c r="A705" s="561">
        <f t="shared" si="10"/>
        <v>705</v>
      </c>
      <c r="B705" s="31">
        <v>105</v>
      </c>
      <c r="C705" s="249" t="s">
        <v>851</v>
      </c>
      <c r="D705" s="320" t="s">
        <v>180</v>
      </c>
      <c r="E705" s="321" t="s">
        <v>328</v>
      </c>
      <c r="F705" s="322" t="s">
        <v>489</v>
      </c>
      <c r="G705" s="323" t="s">
        <v>990</v>
      </c>
      <c r="H705" s="322" t="s">
        <v>19</v>
      </c>
      <c r="I705" s="324">
        <f>7.3*2.8</f>
        <v>20.439999999999998</v>
      </c>
      <c r="J705" s="325"/>
      <c r="K705" s="325"/>
      <c r="L705" s="325">
        <f>2*(7.3+2.8)*2.75</f>
        <v>55.55</v>
      </c>
      <c r="M705" s="325"/>
      <c r="N705" s="325"/>
      <c r="O705" s="326"/>
      <c r="P705" s="326"/>
      <c r="Q705" s="326">
        <v>20</v>
      </c>
      <c r="R705" s="326"/>
      <c r="S705" s="327" t="s">
        <v>522</v>
      </c>
    </row>
    <row r="706" spans="1:19" ht="15" customHeight="1">
      <c r="A706" s="561">
        <f t="shared" si="10"/>
        <v>706</v>
      </c>
      <c r="B706" s="31">
        <v>105</v>
      </c>
      <c r="C706" s="249" t="s">
        <v>851</v>
      </c>
      <c r="D706" s="320" t="s">
        <v>180</v>
      </c>
      <c r="E706" s="321" t="s">
        <v>328</v>
      </c>
      <c r="F706" s="322" t="s">
        <v>489</v>
      </c>
      <c r="G706" s="323" t="s">
        <v>991</v>
      </c>
      <c r="H706" s="322" t="s">
        <v>19</v>
      </c>
      <c r="I706" s="324">
        <v>14</v>
      </c>
      <c r="J706" s="325"/>
      <c r="K706" s="325"/>
      <c r="L706" s="325">
        <v>43</v>
      </c>
      <c r="M706" s="325"/>
      <c r="N706" s="325"/>
      <c r="O706" s="326"/>
      <c r="P706" s="326">
        <v>14</v>
      </c>
      <c r="Q706" s="326"/>
      <c r="R706" s="326"/>
      <c r="S706" s="327"/>
    </row>
    <row r="707" spans="1:19" ht="15" customHeight="1">
      <c r="A707" s="561">
        <f t="shared" ref="A707:A770" si="12">1+A706</f>
        <v>707</v>
      </c>
      <c r="B707" s="31">
        <v>105</v>
      </c>
      <c r="C707" s="249" t="s">
        <v>851</v>
      </c>
      <c r="D707" s="320" t="s">
        <v>180</v>
      </c>
      <c r="E707" s="321" t="s">
        <v>328</v>
      </c>
      <c r="F707" s="322" t="s">
        <v>489</v>
      </c>
      <c r="G707" s="323" t="s">
        <v>992</v>
      </c>
      <c r="H707" s="322" t="s">
        <v>19</v>
      </c>
      <c r="I707" s="324">
        <v>14</v>
      </c>
      <c r="J707" s="325"/>
      <c r="K707" s="325"/>
      <c r="L707" s="325">
        <v>43</v>
      </c>
      <c r="M707" s="325"/>
      <c r="N707" s="325"/>
      <c r="O707" s="326"/>
      <c r="P707" s="326">
        <v>14</v>
      </c>
      <c r="Q707" s="326"/>
      <c r="R707" s="326"/>
      <c r="S707" s="327"/>
    </row>
    <row r="708" spans="1:19" ht="15" customHeight="1">
      <c r="A708" s="561">
        <f t="shared" si="12"/>
        <v>708</v>
      </c>
      <c r="B708" s="31">
        <v>105</v>
      </c>
      <c r="C708" s="249" t="s">
        <v>851</v>
      </c>
      <c r="D708" s="320" t="s">
        <v>180</v>
      </c>
      <c r="E708" s="321" t="s">
        <v>328</v>
      </c>
      <c r="F708" s="322" t="s">
        <v>489</v>
      </c>
      <c r="G708" s="323" t="s">
        <v>828</v>
      </c>
      <c r="H708" s="322" t="s">
        <v>19</v>
      </c>
      <c r="I708" s="324">
        <f>7.4*6.95</f>
        <v>51.430000000000007</v>
      </c>
      <c r="J708" s="325"/>
      <c r="K708" s="325"/>
      <c r="L708" s="325">
        <f>2*(6.95+7.4)*2.75</f>
        <v>78.925000000000011</v>
      </c>
      <c r="M708" s="325"/>
      <c r="N708" s="325"/>
      <c r="O708" s="326"/>
      <c r="P708" s="326"/>
      <c r="Q708" s="326">
        <v>51</v>
      </c>
      <c r="R708" s="326"/>
      <c r="S708" s="327" t="s">
        <v>522</v>
      </c>
    </row>
    <row r="709" spans="1:19" ht="15" customHeight="1">
      <c r="A709" s="561">
        <f t="shared" si="12"/>
        <v>709</v>
      </c>
      <c r="B709" s="31">
        <v>105</v>
      </c>
      <c r="C709" s="249" t="s">
        <v>851</v>
      </c>
      <c r="D709" s="320" t="s">
        <v>180</v>
      </c>
      <c r="E709" s="321" t="s">
        <v>328</v>
      </c>
      <c r="F709" s="322" t="s">
        <v>489</v>
      </c>
      <c r="G709" s="323" t="s">
        <v>993</v>
      </c>
      <c r="H709" s="322" t="s">
        <v>19</v>
      </c>
      <c r="I709" s="324">
        <f>2*7.5</f>
        <v>15</v>
      </c>
      <c r="J709" s="325"/>
      <c r="K709" s="325"/>
      <c r="L709" s="325">
        <f>2*(7.5+2)*2.8</f>
        <v>53.199999999999996</v>
      </c>
      <c r="M709" s="325"/>
      <c r="N709" s="325"/>
      <c r="O709" s="326"/>
      <c r="P709" s="326">
        <v>15</v>
      </c>
      <c r="Q709" s="326"/>
      <c r="R709" s="326"/>
      <c r="S709" s="327"/>
    </row>
    <row r="710" spans="1:19" ht="15" customHeight="1">
      <c r="A710" s="561">
        <f t="shared" si="12"/>
        <v>710</v>
      </c>
      <c r="B710" s="31">
        <v>105</v>
      </c>
      <c r="C710" s="249" t="s">
        <v>851</v>
      </c>
      <c r="D710" s="320" t="s">
        <v>180</v>
      </c>
      <c r="E710" s="321" t="s">
        <v>54</v>
      </c>
      <c r="F710" s="322" t="s">
        <v>980</v>
      </c>
      <c r="G710" s="323" t="s">
        <v>385</v>
      </c>
      <c r="H710" s="322" t="s">
        <v>299</v>
      </c>
      <c r="I710" s="324">
        <v>0</v>
      </c>
      <c r="J710" s="325"/>
      <c r="K710" s="325"/>
      <c r="L710" s="325"/>
      <c r="M710" s="325"/>
      <c r="N710" s="325"/>
      <c r="O710" s="326"/>
      <c r="P710" s="326"/>
      <c r="Q710" s="326"/>
      <c r="R710" s="326"/>
      <c r="S710" s="327"/>
    </row>
    <row r="711" spans="1:19" ht="15" customHeight="1">
      <c r="A711" s="561">
        <f t="shared" si="12"/>
        <v>711</v>
      </c>
      <c r="B711" s="31">
        <v>105</v>
      </c>
      <c r="C711" s="249" t="s">
        <v>851</v>
      </c>
      <c r="D711" s="320" t="s">
        <v>180</v>
      </c>
      <c r="E711" s="321" t="s">
        <v>54</v>
      </c>
      <c r="F711" s="322" t="s">
        <v>374</v>
      </c>
      <c r="G711" s="323" t="s">
        <v>790</v>
      </c>
      <c r="H711" s="322"/>
      <c r="I711" s="324"/>
      <c r="J711" s="325"/>
      <c r="K711" s="325"/>
      <c r="L711" s="325"/>
      <c r="M711" s="325"/>
      <c r="N711" s="325"/>
      <c r="O711" s="326"/>
      <c r="P711" s="326"/>
      <c r="Q711" s="326"/>
      <c r="R711" s="326"/>
      <c r="S711" s="327" t="s">
        <v>1033</v>
      </c>
    </row>
    <row r="712" spans="1:19" ht="15" customHeight="1">
      <c r="A712" s="561">
        <f t="shared" si="12"/>
        <v>712</v>
      </c>
      <c r="B712" s="31">
        <v>105</v>
      </c>
      <c r="C712" s="249" t="s">
        <v>851</v>
      </c>
      <c r="D712" s="320" t="s">
        <v>180</v>
      </c>
      <c r="E712" s="321" t="s">
        <v>54</v>
      </c>
      <c r="F712" s="322" t="s">
        <v>376</v>
      </c>
      <c r="G712" s="323" t="s">
        <v>791</v>
      </c>
      <c r="H712" s="322"/>
      <c r="I712" s="324">
        <v>0</v>
      </c>
      <c r="J712" s="325"/>
      <c r="K712" s="325"/>
      <c r="L712" s="325"/>
      <c r="M712" s="325"/>
      <c r="N712" s="325"/>
      <c r="O712" s="326"/>
      <c r="P712" s="326"/>
      <c r="Q712" s="326"/>
      <c r="R712" s="326"/>
      <c r="S712" s="327" t="s">
        <v>1028</v>
      </c>
    </row>
    <row r="713" spans="1:19" ht="15" customHeight="1">
      <c r="A713" s="561">
        <f t="shared" si="12"/>
        <v>713</v>
      </c>
      <c r="B713" s="31">
        <v>105</v>
      </c>
      <c r="C713" s="249" t="s">
        <v>851</v>
      </c>
      <c r="D713" s="320" t="s">
        <v>180</v>
      </c>
      <c r="E713" s="321" t="s">
        <v>54</v>
      </c>
      <c r="F713" s="322" t="s">
        <v>54</v>
      </c>
      <c r="G713" s="323" t="s">
        <v>792</v>
      </c>
      <c r="H713" s="322" t="s">
        <v>109</v>
      </c>
      <c r="I713" s="324">
        <f>((36+28+27+10+14+40.6)*8)*1.3</f>
        <v>1618.24</v>
      </c>
      <c r="J713" s="325"/>
      <c r="K713" s="325"/>
      <c r="L713" s="325"/>
      <c r="M713" s="325">
        <f>(0.5*42)+(((1.7+0.6+1.7+0.6)*1.35)*2)</f>
        <v>33.42</v>
      </c>
      <c r="N713" s="325">
        <f>((3.3+3.3+2.3)*8.2)+18+18+((2.1*6.5)*2)+(((36+28+27+10+14+40.6)*3.5)*2)+(2.5*18)+(((1.5+0.3+1.5+0.3)*2.5)*2)</f>
        <v>1288.48</v>
      </c>
      <c r="O713" s="326"/>
      <c r="P713" s="326"/>
      <c r="Q713" s="326">
        <f>(36+28+27+10+14+40.6)*15</f>
        <v>2334</v>
      </c>
      <c r="R713" s="326"/>
      <c r="S713" s="327" t="s">
        <v>1024</v>
      </c>
    </row>
    <row r="714" spans="1:19" ht="15" customHeight="1">
      <c r="A714" s="561">
        <f t="shared" si="12"/>
        <v>714</v>
      </c>
      <c r="B714" s="31">
        <v>105</v>
      </c>
      <c r="C714" s="249" t="s">
        <v>851</v>
      </c>
      <c r="D714" s="320" t="s">
        <v>180</v>
      </c>
      <c r="E714" s="321" t="s">
        <v>54</v>
      </c>
      <c r="F714" s="322" t="s">
        <v>376</v>
      </c>
      <c r="G714" s="323" t="s">
        <v>793</v>
      </c>
      <c r="H714" s="322"/>
      <c r="I714" s="324">
        <v>0</v>
      </c>
      <c r="J714" s="325"/>
      <c r="K714" s="325"/>
      <c r="L714" s="325"/>
      <c r="M714" s="325"/>
      <c r="N714" s="325"/>
      <c r="O714" s="326"/>
      <c r="P714" s="326"/>
      <c r="Q714" s="326"/>
      <c r="R714" s="326"/>
      <c r="S714" s="327" t="s">
        <v>1029</v>
      </c>
    </row>
    <row r="715" spans="1:19" ht="15" customHeight="1">
      <c r="A715" s="561">
        <f t="shared" si="12"/>
        <v>715</v>
      </c>
      <c r="B715" s="31">
        <v>105</v>
      </c>
      <c r="C715" s="249" t="s">
        <v>851</v>
      </c>
      <c r="D715" s="320" t="s">
        <v>180</v>
      </c>
      <c r="E715" s="321" t="s">
        <v>54</v>
      </c>
      <c r="F715" s="322" t="s">
        <v>374</v>
      </c>
      <c r="G715" s="323" t="s">
        <v>794</v>
      </c>
      <c r="H715" s="322"/>
      <c r="I715" s="324"/>
      <c r="J715" s="325"/>
      <c r="K715" s="325"/>
      <c r="L715" s="325"/>
      <c r="M715" s="325"/>
      <c r="N715" s="325"/>
      <c r="O715" s="326"/>
      <c r="P715" s="326"/>
      <c r="Q715" s="326"/>
      <c r="R715" s="326"/>
      <c r="S715" s="327" t="s">
        <v>1035</v>
      </c>
    </row>
    <row r="716" spans="1:19" ht="15" customHeight="1">
      <c r="A716" s="561">
        <f t="shared" si="12"/>
        <v>716</v>
      </c>
      <c r="B716" s="31">
        <v>105</v>
      </c>
      <c r="C716" s="249" t="s">
        <v>851</v>
      </c>
      <c r="D716" s="320" t="s">
        <v>180</v>
      </c>
      <c r="E716" s="321" t="s">
        <v>54</v>
      </c>
      <c r="F716" s="322" t="s">
        <v>175</v>
      </c>
      <c r="G716" s="323" t="s">
        <v>994</v>
      </c>
      <c r="H716" s="322" t="s">
        <v>174</v>
      </c>
      <c r="I716" s="324">
        <f>((7.8*1.35)+(7.3*2)+(0.9*4.7)+(30*0.95)+(30*0.75)+(2.5*5.9)+(15*0.95)+(15*0.75))*1.3</f>
        <v>156.79300000000001</v>
      </c>
      <c r="J716" s="325"/>
      <c r="K716" s="325"/>
      <c r="L716" s="325">
        <f>(7.8+1.35+7.8+2.85+1.9+5.6+27+27+15+15)*3.3</f>
        <v>367.28999999999996</v>
      </c>
      <c r="M716" s="325"/>
      <c r="N716" s="325"/>
      <c r="O716" s="326"/>
      <c r="P716" s="326">
        <f>I716</f>
        <v>156.79300000000001</v>
      </c>
      <c r="Q716" s="326"/>
      <c r="R716" s="326"/>
      <c r="S716" s="327" t="s">
        <v>1030</v>
      </c>
    </row>
    <row r="717" spans="1:19" ht="15" customHeight="1">
      <c r="A717" s="561">
        <f t="shared" si="12"/>
        <v>717</v>
      </c>
      <c r="B717" s="31">
        <v>105</v>
      </c>
      <c r="C717" s="249" t="s">
        <v>851</v>
      </c>
      <c r="D717" s="320" t="s">
        <v>180</v>
      </c>
      <c r="E717" s="321" t="s">
        <v>54</v>
      </c>
      <c r="F717" s="322" t="s">
        <v>175</v>
      </c>
      <c r="G717" s="323" t="s">
        <v>995</v>
      </c>
      <c r="H717" s="322" t="s">
        <v>174</v>
      </c>
      <c r="I717" s="324">
        <v>0</v>
      </c>
      <c r="J717" s="325"/>
      <c r="K717" s="325"/>
      <c r="L717" s="325"/>
      <c r="M717" s="325"/>
      <c r="N717" s="325"/>
      <c r="O717" s="326"/>
      <c r="P717" s="326"/>
      <c r="Q717" s="326"/>
      <c r="R717" s="326"/>
      <c r="S717" s="327" t="s">
        <v>1165</v>
      </c>
    </row>
    <row r="718" spans="1:19" ht="15" customHeight="1">
      <c r="A718" s="561">
        <f t="shared" si="12"/>
        <v>718</v>
      </c>
      <c r="B718" s="31">
        <v>105</v>
      </c>
      <c r="C718" s="249" t="s">
        <v>851</v>
      </c>
      <c r="D718" s="320" t="s">
        <v>180</v>
      </c>
      <c r="E718" s="321" t="s">
        <v>54</v>
      </c>
      <c r="F718" s="322" t="s">
        <v>175</v>
      </c>
      <c r="G718" s="323" t="s">
        <v>996</v>
      </c>
      <c r="H718" s="322" t="s">
        <v>174</v>
      </c>
      <c r="I718" s="324">
        <f>((3.6*2.4)-3.5)*1.3</f>
        <v>6.6820000000000013</v>
      </c>
      <c r="J718" s="325"/>
      <c r="K718" s="325"/>
      <c r="L718" s="325">
        <f>(3.6+2.4+3.6+2.4)*3.3</f>
        <v>39.599999999999994</v>
      </c>
      <c r="M718" s="325"/>
      <c r="N718" s="325"/>
      <c r="O718" s="326"/>
      <c r="P718" s="326">
        <f>(3.6*2.4)</f>
        <v>8.64</v>
      </c>
      <c r="Q718" s="326"/>
      <c r="R718" s="326"/>
      <c r="S718" s="327"/>
    </row>
    <row r="719" spans="1:19" ht="15" customHeight="1">
      <c r="A719" s="561">
        <f t="shared" si="12"/>
        <v>719</v>
      </c>
      <c r="B719" s="31">
        <v>105</v>
      </c>
      <c r="C719" s="249" t="s">
        <v>851</v>
      </c>
      <c r="D719" s="320" t="s">
        <v>180</v>
      </c>
      <c r="E719" s="321" t="s">
        <v>54</v>
      </c>
      <c r="F719" s="322" t="s">
        <v>547</v>
      </c>
      <c r="G719" s="323" t="s">
        <v>997</v>
      </c>
      <c r="H719" s="322" t="s">
        <v>166</v>
      </c>
      <c r="I719" s="324">
        <f>(2.5)*1.3</f>
        <v>3.25</v>
      </c>
      <c r="J719" s="325"/>
      <c r="K719" s="325"/>
      <c r="L719" s="325"/>
      <c r="M719" s="325"/>
      <c r="N719" s="325"/>
      <c r="O719" s="326"/>
      <c r="P719" s="326"/>
      <c r="Q719" s="326"/>
      <c r="R719" s="326"/>
      <c r="S719" s="327"/>
    </row>
    <row r="720" spans="1:19" ht="15" customHeight="1">
      <c r="A720" s="561">
        <f t="shared" si="12"/>
        <v>720</v>
      </c>
      <c r="B720" s="31">
        <v>105</v>
      </c>
      <c r="C720" s="249" t="s">
        <v>851</v>
      </c>
      <c r="D720" s="320" t="s">
        <v>180</v>
      </c>
      <c r="E720" s="321" t="s">
        <v>54</v>
      </c>
      <c r="F720" s="322" t="s">
        <v>175</v>
      </c>
      <c r="G720" s="323" t="s">
        <v>627</v>
      </c>
      <c r="H720" s="322" t="s">
        <v>174</v>
      </c>
      <c r="I720" s="324">
        <f>(5.4*1.2)*1.3</f>
        <v>8.4240000000000013</v>
      </c>
      <c r="J720" s="325"/>
      <c r="K720" s="325"/>
      <c r="L720" s="325">
        <f>(5.4+1.2+5.4+1.2)*3.3</f>
        <v>43.559999999999995</v>
      </c>
      <c r="M720" s="325"/>
      <c r="N720" s="325"/>
      <c r="O720" s="326"/>
      <c r="P720" s="326"/>
      <c r="Q720" s="326"/>
      <c r="R720" s="326"/>
      <c r="S720" s="327"/>
    </row>
    <row r="721" spans="1:19" ht="15" customHeight="1">
      <c r="A721" s="561">
        <f t="shared" si="12"/>
        <v>721</v>
      </c>
      <c r="B721" s="31">
        <v>105</v>
      </c>
      <c r="C721" s="249" t="s">
        <v>851</v>
      </c>
      <c r="D721" s="320" t="s">
        <v>180</v>
      </c>
      <c r="E721" s="321" t="s">
        <v>54</v>
      </c>
      <c r="F721" s="322" t="s">
        <v>175</v>
      </c>
      <c r="G721" s="323" t="s">
        <v>797</v>
      </c>
      <c r="H721" s="322" t="s">
        <v>19</v>
      </c>
      <c r="I721" s="324">
        <f>1.7*4.4</f>
        <v>7.48</v>
      </c>
      <c r="J721" s="325"/>
      <c r="K721" s="325"/>
      <c r="L721" s="325">
        <f>2*(1.7+4.4)*2.8</f>
        <v>34.160000000000004</v>
      </c>
      <c r="M721" s="325"/>
      <c r="N721" s="325"/>
      <c r="O721" s="326"/>
      <c r="P721" s="326">
        <v>7</v>
      </c>
      <c r="Q721" s="326"/>
      <c r="R721" s="326"/>
      <c r="S721" s="327"/>
    </row>
    <row r="722" spans="1:19" ht="15" customHeight="1">
      <c r="A722" s="561">
        <f t="shared" si="12"/>
        <v>722</v>
      </c>
      <c r="B722" s="31">
        <v>105</v>
      </c>
      <c r="C722" s="249" t="s">
        <v>851</v>
      </c>
      <c r="D722" s="320" t="s">
        <v>180</v>
      </c>
      <c r="E722" s="321" t="s">
        <v>54</v>
      </c>
      <c r="F722" s="322" t="s">
        <v>894</v>
      </c>
      <c r="G722" s="323" t="s">
        <v>799</v>
      </c>
      <c r="H722" s="322" t="s">
        <v>174</v>
      </c>
      <c r="I722" s="324">
        <v>0</v>
      </c>
      <c r="J722" s="325"/>
      <c r="K722" s="325"/>
      <c r="L722" s="325"/>
      <c r="M722" s="325"/>
      <c r="N722" s="325"/>
      <c r="O722" s="326"/>
      <c r="P722" s="326"/>
      <c r="Q722" s="326"/>
      <c r="R722" s="326"/>
      <c r="S722" s="327" t="s">
        <v>1166</v>
      </c>
    </row>
    <row r="723" spans="1:19" ht="15" customHeight="1">
      <c r="A723" s="561">
        <f t="shared" si="12"/>
        <v>723</v>
      </c>
      <c r="B723" s="31">
        <v>105</v>
      </c>
      <c r="C723" s="249" t="s">
        <v>851</v>
      </c>
      <c r="D723" s="320" t="s">
        <v>180</v>
      </c>
      <c r="E723" s="321" t="s">
        <v>54</v>
      </c>
      <c r="F723" s="322" t="s">
        <v>175</v>
      </c>
      <c r="G723" s="323" t="s">
        <v>998</v>
      </c>
      <c r="H723" s="322" t="s">
        <v>169</v>
      </c>
      <c r="I723" s="324">
        <f>((40*1.35)+(40*0.6)+(7*0.9))*1.3</f>
        <v>109.59</v>
      </c>
      <c r="J723" s="325"/>
      <c r="K723" s="325"/>
      <c r="L723" s="325">
        <f>(40+40+7)*3.6</f>
        <v>313.2</v>
      </c>
      <c r="M723" s="325">
        <f>41*0.5</f>
        <v>20.5</v>
      </c>
      <c r="N723" s="325"/>
      <c r="O723" s="326"/>
      <c r="P723" s="326"/>
      <c r="Q723" s="326"/>
      <c r="R723" s="326"/>
      <c r="S723" s="327"/>
    </row>
    <row r="724" spans="1:19" ht="15" customHeight="1">
      <c r="A724" s="561">
        <f t="shared" si="12"/>
        <v>724</v>
      </c>
      <c r="B724" s="31">
        <v>105</v>
      </c>
      <c r="C724" s="249" t="s">
        <v>851</v>
      </c>
      <c r="D724" s="320" t="s">
        <v>180</v>
      </c>
      <c r="E724" s="321" t="s">
        <v>54</v>
      </c>
      <c r="F724" s="322" t="s">
        <v>175</v>
      </c>
      <c r="G724" s="323" t="s">
        <v>999</v>
      </c>
      <c r="H724" s="322" t="s">
        <v>44</v>
      </c>
      <c r="I724" s="324">
        <f>(2.8*5.4)*1.3</f>
        <v>19.655999999999999</v>
      </c>
      <c r="J724" s="325"/>
      <c r="K724" s="325"/>
      <c r="L724" s="325">
        <f>(2.8+5.4+2.8+5.4)*3.3</f>
        <v>54.11999999999999</v>
      </c>
      <c r="M724" s="325"/>
      <c r="N724" s="325"/>
      <c r="O724" s="326"/>
      <c r="P724" s="326">
        <f>I724</f>
        <v>19.655999999999999</v>
      </c>
      <c r="Q724" s="326"/>
      <c r="R724" s="326"/>
      <c r="S724" s="327"/>
    </row>
    <row r="725" spans="1:19" ht="15" customHeight="1">
      <c r="A725" s="561">
        <f t="shared" si="12"/>
        <v>725</v>
      </c>
      <c r="B725" s="31">
        <v>105</v>
      </c>
      <c r="C725" s="249" t="s">
        <v>851</v>
      </c>
      <c r="D725" s="320" t="s">
        <v>180</v>
      </c>
      <c r="E725" s="321" t="s">
        <v>54</v>
      </c>
      <c r="F725" s="322" t="s">
        <v>175</v>
      </c>
      <c r="G725" s="323" t="s">
        <v>1000</v>
      </c>
      <c r="H725" s="322" t="s">
        <v>44</v>
      </c>
      <c r="I725" s="324">
        <f>((1*2.55)+(2.5*0.75))*1.3</f>
        <v>5.7525000000000004</v>
      </c>
      <c r="J725" s="325"/>
      <c r="K725" s="325"/>
      <c r="L725" s="325">
        <f>(2.55+3+2.55+3)*3.3</f>
        <v>36.629999999999995</v>
      </c>
      <c r="M725" s="325"/>
      <c r="N725" s="325"/>
      <c r="O725" s="326"/>
      <c r="P725" s="326">
        <f>I725</f>
        <v>5.7525000000000004</v>
      </c>
      <c r="Q725" s="326"/>
      <c r="R725" s="326"/>
      <c r="S725" s="327"/>
    </row>
    <row r="726" spans="1:19" ht="15" customHeight="1">
      <c r="A726" s="561">
        <f t="shared" si="12"/>
        <v>726</v>
      </c>
      <c r="B726" s="31">
        <v>105</v>
      </c>
      <c r="C726" s="249" t="s">
        <v>851</v>
      </c>
      <c r="D726" s="320" t="s">
        <v>180</v>
      </c>
      <c r="E726" s="321" t="s">
        <v>54</v>
      </c>
      <c r="F726" s="322" t="s">
        <v>547</v>
      </c>
      <c r="G726" s="323" t="s">
        <v>801</v>
      </c>
      <c r="H726" s="322" t="s">
        <v>166</v>
      </c>
      <c r="I726" s="324">
        <v>3.25</v>
      </c>
      <c r="J726" s="325"/>
      <c r="K726" s="325"/>
      <c r="L726" s="325"/>
      <c r="M726" s="325"/>
      <c r="N726" s="325"/>
      <c r="O726" s="326"/>
      <c r="P726" s="326"/>
      <c r="Q726" s="326"/>
      <c r="R726" s="326"/>
      <c r="S726" s="327"/>
    </row>
    <row r="727" spans="1:19" ht="15" customHeight="1">
      <c r="A727" s="561">
        <f t="shared" si="12"/>
        <v>727</v>
      </c>
      <c r="B727" s="31">
        <v>105</v>
      </c>
      <c r="C727" s="249" t="s">
        <v>851</v>
      </c>
      <c r="D727" s="320" t="s">
        <v>180</v>
      </c>
      <c r="E727" s="321" t="s">
        <v>54</v>
      </c>
      <c r="F727" s="322" t="s">
        <v>175</v>
      </c>
      <c r="G727" s="323" t="s">
        <v>804</v>
      </c>
      <c r="H727" s="322" t="s">
        <v>44</v>
      </c>
      <c r="I727" s="324">
        <f>(5.35*1.5)*1.3</f>
        <v>10.432499999999999</v>
      </c>
      <c r="J727" s="325"/>
      <c r="K727" s="325"/>
      <c r="L727" s="325">
        <f>(5.35+1.5+5.35+1.5)*3.3</f>
        <v>45.209999999999994</v>
      </c>
      <c r="M727" s="325"/>
      <c r="N727" s="325"/>
      <c r="O727" s="326"/>
      <c r="P727" s="326">
        <f>I727</f>
        <v>10.432499999999999</v>
      </c>
      <c r="Q727" s="326"/>
      <c r="R727" s="326"/>
      <c r="S727" s="327"/>
    </row>
    <row r="728" spans="1:19" ht="15" customHeight="1">
      <c r="A728" s="561">
        <f t="shared" si="12"/>
        <v>728</v>
      </c>
      <c r="B728" s="31">
        <v>105</v>
      </c>
      <c r="C728" s="249" t="s">
        <v>851</v>
      </c>
      <c r="D728" s="320" t="s">
        <v>180</v>
      </c>
      <c r="E728" s="321" t="s">
        <v>54</v>
      </c>
      <c r="F728" s="322" t="s">
        <v>175</v>
      </c>
      <c r="G728" s="323" t="s">
        <v>1001</v>
      </c>
      <c r="H728" s="322" t="s">
        <v>44</v>
      </c>
      <c r="I728" s="324">
        <f>((2.4*1.45)+(2.7*2.45))*1.3</f>
        <v>13.123500000000002</v>
      </c>
      <c r="J728" s="325"/>
      <c r="K728" s="325"/>
      <c r="L728" s="325"/>
      <c r="M728" s="325"/>
      <c r="N728" s="325">
        <f>(2.7+2.45+5.1+1.45+2.4+1)*3.6</f>
        <v>54.36</v>
      </c>
      <c r="O728" s="326"/>
      <c r="P728" s="326"/>
      <c r="Q728" s="326">
        <f>I728</f>
        <v>13.123500000000002</v>
      </c>
      <c r="R728" s="326"/>
      <c r="S728" s="327"/>
    </row>
    <row r="729" spans="1:19" ht="15" customHeight="1">
      <c r="A729" s="561">
        <f t="shared" si="12"/>
        <v>729</v>
      </c>
      <c r="B729" s="31">
        <v>105</v>
      </c>
      <c r="C729" s="249" t="s">
        <v>851</v>
      </c>
      <c r="D729" s="320" t="s">
        <v>180</v>
      </c>
      <c r="E729" s="321" t="s">
        <v>54</v>
      </c>
      <c r="F729" s="322" t="s">
        <v>423</v>
      </c>
      <c r="G729" s="323" t="s">
        <v>1002</v>
      </c>
      <c r="H729" s="322" t="s">
        <v>176</v>
      </c>
      <c r="I729" s="324">
        <f>(3.15*4)*1.3</f>
        <v>16.38</v>
      </c>
      <c r="J729" s="325"/>
      <c r="K729" s="325"/>
      <c r="L729" s="325"/>
      <c r="M729" s="325"/>
      <c r="N729" s="325">
        <f>(3.15+4+3.15+4)*3.3</f>
        <v>47.19</v>
      </c>
      <c r="O729" s="326"/>
      <c r="P729" s="326"/>
      <c r="Q729" s="326">
        <f>I729</f>
        <v>16.38</v>
      </c>
      <c r="R729" s="326"/>
      <c r="S729" s="327"/>
    </row>
    <row r="730" spans="1:19" ht="15" customHeight="1">
      <c r="A730" s="561">
        <f t="shared" si="12"/>
        <v>730</v>
      </c>
      <c r="B730" s="31">
        <v>105</v>
      </c>
      <c r="C730" s="249" t="s">
        <v>851</v>
      </c>
      <c r="D730" s="320" t="s">
        <v>180</v>
      </c>
      <c r="E730" s="321" t="s">
        <v>54</v>
      </c>
      <c r="F730" s="322" t="s">
        <v>1003</v>
      </c>
      <c r="G730" s="323" t="s">
        <v>806</v>
      </c>
      <c r="H730" s="322" t="s">
        <v>174</v>
      </c>
      <c r="I730" s="324">
        <f>(14*1.95)*1.3</f>
        <v>35.49</v>
      </c>
      <c r="J730" s="325"/>
      <c r="K730" s="325"/>
      <c r="L730" s="325">
        <f>(14+1.95+14+1.95)*3.3</f>
        <v>105.27</v>
      </c>
      <c r="M730" s="325"/>
      <c r="N730" s="325"/>
      <c r="O730" s="326"/>
      <c r="P730" s="326">
        <f>I730</f>
        <v>35.49</v>
      </c>
      <c r="Q730" s="326"/>
      <c r="R730" s="326"/>
      <c r="S730" s="327"/>
    </row>
    <row r="731" spans="1:19" ht="15" customHeight="1">
      <c r="A731" s="561">
        <f t="shared" si="12"/>
        <v>731</v>
      </c>
      <c r="B731" s="31">
        <v>105</v>
      </c>
      <c r="C731" s="249" t="s">
        <v>851</v>
      </c>
      <c r="D731" s="320" t="s">
        <v>180</v>
      </c>
      <c r="E731" s="321" t="s">
        <v>54</v>
      </c>
      <c r="F731" s="322" t="s">
        <v>1003</v>
      </c>
      <c r="G731" s="323" t="s">
        <v>807</v>
      </c>
      <c r="H731" s="322" t="s">
        <v>44</v>
      </c>
      <c r="I731" s="324">
        <f>(5.05*2.7)*1.3</f>
        <v>17.7255</v>
      </c>
      <c r="J731" s="325"/>
      <c r="K731" s="325"/>
      <c r="L731" s="325">
        <f>(5.05+2.7+5.05+2.7)*3.3</f>
        <v>51.15</v>
      </c>
      <c r="M731" s="325"/>
      <c r="N731" s="325"/>
      <c r="O731" s="326"/>
      <c r="P731" s="326">
        <f>I731</f>
        <v>17.7255</v>
      </c>
      <c r="Q731" s="326"/>
      <c r="R731" s="326"/>
      <c r="S731" s="327"/>
    </row>
    <row r="732" spans="1:19" ht="15" customHeight="1">
      <c r="A732" s="561">
        <f t="shared" si="12"/>
        <v>732</v>
      </c>
      <c r="B732" s="31">
        <v>105</v>
      </c>
      <c r="C732" s="249" t="s">
        <v>851</v>
      </c>
      <c r="D732" s="320" t="s">
        <v>180</v>
      </c>
      <c r="E732" s="321" t="s">
        <v>54</v>
      </c>
      <c r="F732" s="322" t="s">
        <v>428</v>
      </c>
      <c r="G732" s="323" t="s">
        <v>1004</v>
      </c>
      <c r="H732" s="322" t="s">
        <v>44</v>
      </c>
      <c r="I732" s="324">
        <f>(2.4*1.6)*1.3</f>
        <v>4.992</v>
      </c>
      <c r="J732" s="325"/>
      <c r="K732" s="325"/>
      <c r="L732" s="325"/>
      <c r="M732" s="325"/>
      <c r="N732" s="325">
        <f>(2.4+1.6+2.4+1.6)*3.6</f>
        <v>28.8</v>
      </c>
      <c r="O732" s="326"/>
      <c r="P732" s="326"/>
      <c r="Q732" s="326">
        <f>I732</f>
        <v>4.992</v>
      </c>
      <c r="R732" s="326"/>
      <c r="S732" s="327"/>
    </row>
    <row r="733" spans="1:19" ht="15" customHeight="1">
      <c r="A733" s="561">
        <f t="shared" si="12"/>
        <v>733</v>
      </c>
      <c r="B733" s="31">
        <v>105</v>
      </c>
      <c r="C733" s="249" t="s">
        <v>851</v>
      </c>
      <c r="D733" s="320" t="s">
        <v>180</v>
      </c>
      <c r="E733" s="321" t="s">
        <v>54</v>
      </c>
      <c r="F733" s="322" t="s">
        <v>428</v>
      </c>
      <c r="G733" s="323" t="s">
        <v>1005</v>
      </c>
      <c r="H733" s="322" t="s">
        <v>44</v>
      </c>
      <c r="I733" s="324">
        <f>(1.8*1)*1.3</f>
        <v>2.3400000000000003</v>
      </c>
      <c r="J733" s="325"/>
      <c r="K733" s="325"/>
      <c r="L733" s="325"/>
      <c r="M733" s="325"/>
      <c r="N733" s="325">
        <f>(1.8+1+1.8+1)*3.6</f>
        <v>20.16</v>
      </c>
      <c r="O733" s="326"/>
      <c r="P733" s="326"/>
      <c r="Q733" s="326">
        <f>I733</f>
        <v>2.3400000000000003</v>
      </c>
      <c r="R733" s="326"/>
      <c r="S733" s="327"/>
    </row>
    <row r="734" spans="1:19" ht="15" customHeight="1">
      <c r="A734" s="561">
        <f t="shared" si="12"/>
        <v>734</v>
      </c>
      <c r="B734" s="31">
        <v>105</v>
      </c>
      <c r="C734" s="249" t="s">
        <v>851</v>
      </c>
      <c r="D734" s="320" t="s">
        <v>180</v>
      </c>
      <c r="E734" s="321" t="s">
        <v>54</v>
      </c>
      <c r="F734" s="322" t="s">
        <v>428</v>
      </c>
      <c r="G734" s="323" t="s">
        <v>1006</v>
      </c>
      <c r="H734" s="322" t="s">
        <v>44</v>
      </c>
      <c r="I734" s="324">
        <f>(2.6*1.6)*1.3</f>
        <v>5.4080000000000004</v>
      </c>
      <c r="J734" s="325"/>
      <c r="K734" s="325"/>
      <c r="L734" s="325"/>
      <c r="M734" s="325"/>
      <c r="N734" s="325">
        <f>(2.6+1.66+2.6+1.6)*3.6</f>
        <v>30.455999999999996</v>
      </c>
      <c r="O734" s="326"/>
      <c r="P734" s="326"/>
      <c r="Q734" s="326">
        <f>I734</f>
        <v>5.4080000000000004</v>
      </c>
      <c r="R734" s="326"/>
      <c r="S734" s="327"/>
    </row>
    <row r="735" spans="1:19" ht="15" customHeight="1">
      <c r="A735" s="561">
        <f t="shared" si="12"/>
        <v>735</v>
      </c>
      <c r="B735" s="31">
        <v>105</v>
      </c>
      <c r="C735" s="249" t="s">
        <v>851</v>
      </c>
      <c r="D735" s="320" t="s">
        <v>180</v>
      </c>
      <c r="E735" s="321" t="s">
        <v>54</v>
      </c>
      <c r="F735" s="322" t="s">
        <v>428</v>
      </c>
      <c r="G735" s="323" t="s">
        <v>1007</v>
      </c>
      <c r="H735" s="322" t="s">
        <v>44</v>
      </c>
      <c r="I735" s="324">
        <f>(2.6*1.05)*1.3</f>
        <v>3.5490000000000008</v>
      </c>
      <c r="J735" s="325"/>
      <c r="K735" s="325"/>
      <c r="L735" s="325"/>
      <c r="M735" s="325"/>
      <c r="N735" s="325">
        <f>(2.6+1.05+2.6+1.05)*3.6</f>
        <v>26.28</v>
      </c>
      <c r="O735" s="326"/>
      <c r="P735" s="326"/>
      <c r="Q735" s="326">
        <f>I735</f>
        <v>3.5490000000000008</v>
      </c>
      <c r="R735" s="326"/>
      <c r="S735" s="327"/>
    </row>
    <row r="736" spans="1:19" ht="15" customHeight="1">
      <c r="A736" s="561">
        <f t="shared" si="12"/>
        <v>736</v>
      </c>
      <c r="B736" s="31">
        <v>105</v>
      </c>
      <c r="C736" s="249" t="s">
        <v>851</v>
      </c>
      <c r="D736" s="320" t="s">
        <v>180</v>
      </c>
      <c r="E736" s="321" t="s">
        <v>54</v>
      </c>
      <c r="F736" s="322" t="s">
        <v>438</v>
      </c>
      <c r="G736" s="323" t="s">
        <v>808</v>
      </c>
      <c r="H736" s="322" t="s">
        <v>174</v>
      </c>
      <c r="I736" s="324">
        <f>(3.1*2.7)*1.3</f>
        <v>10.881000000000002</v>
      </c>
      <c r="J736" s="325"/>
      <c r="K736" s="325"/>
      <c r="L736" s="325">
        <f>(3.1+2.7+3.1+2.7)*3.3</f>
        <v>38.28</v>
      </c>
      <c r="M736" s="325"/>
      <c r="N736" s="325"/>
      <c r="O736" s="326"/>
      <c r="P736" s="326"/>
      <c r="Q736" s="326">
        <f>I736</f>
        <v>10.881000000000002</v>
      </c>
      <c r="R736" s="326"/>
      <c r="S736" s="327"/>
    </row>
    <row r="737" spans="1:19" ht="15" customHeight="1">
      <c r="A737" s="561">
        <f t="shared" si="12"/>
        <v>737</v>
      </c>
      <c r="B737" s="31">
        <v>105</v>
      </c>
      <c r="C737" s="249" t="s">
        <v>851</v>
      </c>
      <c r="D737" s="320" t="s">
        <v>180</v>
      </c>
      <c r="E737" s="321" t="s">
        <v>54</v>
      </c>
      <c r="F737" s="322" t="s">
        <v>436</v>
      </c>
      <c r="G737" s="323" t="s">
        <v>809</v>
      </c>
      <c r="H737" s="322" t="s">
        <v>174</v>
      </c>
      <c r="I737" s="324">
        <f>(6.5*2.7)*1.3</f>
        <v>22.815000000000001</v>
      </c>
      <c r="J737" s="325"/>
      <c r="K737" s="325"/>
      <c r="L737" s="325">
        <f>(6.5+2.7+6.5+2.7)*3.3</f>
        <v>60.719999999999992</v>
      </c>
      <c r="M737" s="325"/>
      <c r="N737" s="325"/>
      <c r="O737" s="326"/>
      <c r="P737" s="326">
        <f>I737</f>
        <v>22.815000000000001</v>
      </c>
      <c r="Q737" s="326"/>
      <c r="R737" s="326"/>
      <c r="S737" s="327"/>
    </row>
    <row r="738" spans="1:19" ht="15" customHeight="1">
      <c r="A738" s="561">
        <f t="shared" si="12"/>
        <v>738</v>
      </c>
      <c r="B738" s="31">
        <v>105</v>
      </c>
      <c r="C738" s="249" t="s">
        <v>851</v>
      </c>
      <c r="D738" s="320" t="s">
        <v>180</v>
      </c>
      <c r="E738" s="321" t="s">
        <v>54</v>
      </c>
      <c r="F738" s="322" t="s">
        <v>440</v>
      </c>
      <c r="G738" s="323" t="s">
        <v>811</v>
      </c>
      <c r="H738" s="322" t="s">
        <v>176</v>
      </c>
      <c r="I738" s="324">
        <f>((2.85*3.6)-(0.6*0.5))*1.3</f>
        <v>12.947999999999999</v>
      </c>
      <c r="J738" s="325"/>
      <c r="K738" s="325"/>
      <c r="L738" s="325"/>
      <c r="M738" s="325"/>
      <c r="N738" s="325">
        <f>(0.6+0.5+2.25+3.6+2.85+3.1)*3.3</f>
        <v>42.57</v>
      </c>
      <c r="O738" s="326"/>
      <c r="P738" s="326"/>
      <c r="Q738" s="326">
        <f>I738</f>
        <v>12.947999999999999</v>
      </c>
      <c r="R738" s="326"/>
      <c r="S738" s="327"/>
    </row>
    <row r="739" spans="1:19" ht="15" customHeight="1">
      <c r="A739" s="561">
        <f t="shared" si="12"/>
        <v>739</v>
      </c>
      <c r="B739" s="31">
        <v>105</v>
      </c>
      <c r="C739" s="249" t="s">
        <v>851</v>
      </c>
      <c r="D739" s="320" t="s">
        <v>180</v>
      </c>
      <c r="E739" s="321" t="s">
        <v>54</v>
      </c>
      <c r="F739" s="322" t="s">
        <v>440</v>
      </c>
      <c r="G739" s="323" t="s">
        <v>812</v>
      </c>
      <c r="H739" s="322" t="s">
        <v>176</v>
      </c>
      <c r="I739" s="324">
        <f>((5.25*6.4)-(0.5*0.7))*1.3</f>
        <v>43.225000000000001</v>
      </c>
      <c r="J739" s="325"/>
      <c r="K739" s="325"/>
      <c r="L739" s="325"/>
      <c r="M739" s="325"/>
      <c r="N739" s="325">
        <f>(5.25+6.4+5.25+6.4+0.5+0.5)*3.3</f>
        <v>80.189999999999984</v>
      </c>
      <c r="O739" s="326"/>
      <c r="P739" s="326"/>
      <c r="Q739" s="326">
        <f>I739</f>
        <v>43.225000000000001</v>
      </c>
      <c r="R739" s="326"/>
      <c r="S739" s="327"/>
    </row>
    <row r="740" spans="1:19" ht="15" customHeight="1">
      <c r="A740" s="561">
        <f t="shared" si="12"/>
        <v>740</v>
      </c>
      <c r="B740" s="31">
        <v>105</v>
      </c>
      <c r="C740" s="249" t="s">
        <v>851</v>
      </c>
      <c r="D740" s="320" t="s">
        <v>180</v>
      </c>
      <c r="E740" s="321" t="s">
        <v>54</v>
      </c>
      <c r="F740" s="322" t="s">
        <v>41</v>
      </c>
      <c r="G740" s="323" t="s">
        <v>1008</v>
      </c>
      <c r="H740" s="322" t="s">
        <v>174</v>
      </c>
      <c r="I740" s="324">
        <f>((0.75*2.2)+(1.95*3.25))*1.3</f>
        <v>10.383750000000001</v>
      </c>
      <c r="J740" s="325"/>
      <c r="K740" s="325"/>
      <c r="L740" s="325">
        <f>(0.75+1.05+1.95+3.25+2.7+2.2)*3.3</f>
        <v>39.269999999999996</v>
      </c>
      <c r="M740" s="325"/>
      <c r="N740" s="325"/>
      <c r="O740" s="326"/>
      <c r="P740" s="326">
        <f>I740</f>
        <v>10.383750000000001</v>
      </c>
      <c r="Q740" s="326"/>
      <c r="R740" s="326"/>
      <c r="S740" s="327"/>
    </row>
    <row r="741" spans="1:19" ht="15" customHeight="1">
      <c r="A741" s="561">
        <f t="shared" si="12"/>
        <v>741</v>
      </c>
      <c r="B741" s="31">
        <v>105</v>
      </c>
      <c r="C741" s="249" t="s">
        <v>851</v>
      </c>
      <c r="D741" s="320" t="s">
        <v>180</v>
      </c>
      <c r="E741" s="321" t="s">
        <v>54</v>
      </c>
      <c r="F741" s="322" t="s">
        <v>462</v>
      </c>
      <c r="G741" s="323" t="s">
        <v>814</v>
      </c>
      <c r="H741" s="322" t="s">
        <v>174</v>
      </c>
      <c r="I741" s="324">
        <f>((4.3*4))*1.3</f>
        <v>22.36</v>
      </c>
      <c r="J741" s="325"/>
      <c r="K741" s="325"/>
      <c r="L741" s="325">
        <f>(4.3+4+4.3+4)*3.3</f>
        <v>54.78</v>
      </c>
      <c r="M741" s="325"/>
      <c r="N741" s="325"/>
      <c r="O741" s="326"/>
      <c r="P741" s="326">
        <f>I741</f>
        <v>22.36</v>
      </c>
      <c r="Q741" s="326"/>
      <c r="R741" s="326"/>
      <c r="S741" s="327"/>
    </row>
    <row r="742" spans="1:19" ht="15" customHeight="1">
      <c r="A742" s="561">
        <f t="shared" si="12"/>
        <v>742</v>
      </c>
      <c r="B742" s="31">
        <v>105</v>
      </c>
      <c r="C742" s="249" t="s">
        <v>851</v>
      </c>
      <c r="D742" s="320" t="s">
        <v>180</v>
      </c>
      <c r="E742" s="321" t="s">
        <v>54</v>
      </c>
      <c r="F742" s="322" t="s">
        <v>462</v>
      </c>
      <c r="G742" s="323" t="s">
        <v>815</v>
      </c>
      <c r="H742" s="322" t="s">
        <v>174</v>
      </c>
      <c r="I742" s="324">
        <v>0</v>
      </c>
      <c r="J742" s="325"/>
      <c r="K742" s="325"/>
      <c r="L742" s="325">
        <v>30</v>
      </c>
      <c r="M742" s="325"/>
      <c r="N742" s="325"/>
      <c r="O742" s="326"/>
      <c r="P742" s="326"/>
      <c r="Q742" s="326"/>
      <c r="R742" s="326"/>
      <c r="S742" s="327" t="s">
        <v>1167</v>
      </c>
    </row>
    <row r="743" spans="1:19" ht="15" customHeight="1">
      <c r="A743" s="561">
        <f t="shared" si="12"/>
        <v>743</v>
      </c>
      <c r="B743" s="31">
        <v>105</v>
      </c>
      <c r="C743" s="249" t="s">
        <v>851</v>
      </c>
      <c r="D743" s="320" t="s">
        <v>180</v>
      </c>
      <c r="E743" s="321" t="s">
        <v>54</v>
      </c>
      <c r="F743" s="322" t="s">
        <v>462</v>
      </c>
      <c r="G743" s="323" t="s">
        <v>650</v>
      </c>
      <c r="H743" s="322" t="s">
        <v>44</v>
      </c>
      <c r="I743" s="324">
        <f>(2.5*1.9)*1.3</f>
        <v>6.1749999999999998</v>
      </c>
      <c r="J743" s="325"/>
      <c r="K743" s="325"/>
      <c r="L743" s="325">
        <f>(2.5+1.9+2.5+1.9)*3.3</f>
        <v>29.04</v>
      </c>
      <c r="M743" s="325"/>
      <c r="N743" s="325"/>
      <c r="O743" s="326"/>
      <c r="P743" s="326">
        <f>I743</f>
        <v>6.1749999999999998</v>
      </c>
      <c r="Q743" s="326"/>
      <c r="R743" s="326"/>
      <c r="S743" s="327"/>
    </row>
    <row r="744" spans="1:19" ht="15" customHeight="1">
      <c r="A744" s="561">
        <f t="shared" si="12"/>
        <v>744</v>
      </c>
      <c r="B744" s="31">
        <v>105</v>
      </c>
      <c r="C744" s="249" t="s">
        <v>851</v>
      </c>
      <c r="D744" s="320" t="s">
        <v>180</v>
      </c>
      <c r="E744" s="321" t="s">
        <v>54</v>
      </c>
      <c r="F744" s="322" t="s">
        <v>168</v>
      </c>
      <c r="G744" s="323" t="s">
        <v>816</v>
      </c>
      <c r="H744" s="322" t="s">
        <v>44</v>
      </c>
      <c r="I744" s="324">
        <f>((5.3+3.2+6.7)*2.6)*1.3</f>
        <v>51.375999999999998</v>
      </c>
      <c r="J744" s="325"/>
      <c r="K744" s="325"/>
      <c r="L744" s="325"/>
      <c r="M744" s="325"/>
      <c r="N744" s="325">
        <f>(5.3*2.4)+(3.2*2.2)+(6.7*2.2)</f>
        <v>34.5</v>
      </c>
      <c r="O744" s="326"/>
      <c r="P744" s="326"/>
      <c r="Q744" s="326">
        <f>0.5*I744</f>
        <v>25.687999999999999</v>
      </c>
      <c r="R744" s="326"/>
      <c r="S744" s="327"/>
    </row>
    <row r="745" spans="1:19" ht="15" customHeight="1">
      <c r="A745" s="561">
        <f t="shared" si="12"/>
        <v>745</v>
      </c>
      <c r="B745" s="31">
        <v>105</v>
      </c>
      <c r="C745" s="249" t="s">
        <v>851</v>
      </c>
      <c r="D745" s="320" t="s">
        <v>180</v>
      </c>
      <c r="E745" s="321" t="s">
        <v>54</v>
      </c>
      <c r="F745" s="322" t="s">
        <v>168</v>
      </c>
      <c r="G745" s="323" t="s">
        <v>1009</v>
      </c>
      <c r="H745" s="322" t="s">
        <v>44</v>
      </c>
      <c r="I745" s="324">
        <f>((3.35*2.6)+(3.2*4)+(3.2*2.65)+(6.7*2.65))*1.3</f>
        <v>62.068500000000007</v>
      </c>
      <c r="J745" s="325"/>
      <c r="K745" s="325"/>
      <c r="L745" s="325">
        <f>((5.6+3.35+2.6+3.35+1.35+3.2+1.35+3.2)*2.2)+((6.7+2.65+6.7)*2.15)</f>
        <v>87.307500000000005</v>
      </c>
      <c r="M745" s="325"/>
      <c r="N745" s="325"/>
      <c r="O745" s="326"/>
      <c r="P745" s="326"/>
      <c r="Q745" s="326">
        <f>0.5*I745</f>
        <v>31.034250000000004</v>
      </c>
      <c r="R745" s="326"/>
      <c r="S745" s="327"/>
    </row>
    <row r="746" spans="1:19" ht="15" customHeight="1">
      <c r="A746" s="561">
        <f t="shared" si="12"/>
        <v>746</v>
      </c>
      <c r="B746" s="31">
        <v>105</v>
      </c>
      <c r="C746" s="249" t="s">
        <v>851</v>
      </c>
      <c r="D746" s="320" t="s">
        <v>180</v>
      </c>
      <c r="E746" s="321" t="s">
        <v>54</v>
      </c>
      <c r="F746" s="322" t="s">
        <v>123</v>
      </c>
      <c r="G746" s="323" t="s">
        <v>1010</v>
      </c>
      <c r="H746" s="322" t="s">
        <v>109</v>
      </c>
      <c r="I746" s="324">
        <f>((3.1*1.7)+(0.3*1.3))*1.3</f>
        <v>7.3579999999999997</v>
      </c>
      <c r="J746" s="325"/>
      <c r="K746" s="325"/>
      <c r="L746" s="325"/>
      <c r="M746" s="325"/>
      <c r="N746" s="325">
        <f>(3.1+1.7+1.8+0.3+1.3+2)*3.3</f>
        <v>33.659999999999997</v>
      </c>
      <c r="O746" s="326"/>
      <c r="P746" s="326"/>
      <c r="Q746" s="326">
        <f>I746</f>
        <v>7.3579999999999997</v>
      </c>
      <c r="R746" s="326"/>
      <c r="S746" s="327"/>
    </row>
    <row r="747" spans="1:19" ht="15" customHeight="1">
      <c r="A747" s="561">
        <f t="shared" si="12"/>
        <v>747</v>
      </c>
      <c r="B747" s="31">
        <v>105</v>
      </c>
      <c r="C747" s="249" t="s">
        <v>851</v>
      </c>
      <c r="D747" s="320" t="s">
        <v>180</v>
      </c>
      <c r="E747" s="321" t="s">
        <v>54</v>
      </c>
      <c r="F747" s="322" t="s">
        <v>489</v>
      </c>
      <c r="G747" s="323" t="s">
        <v>1011</v>
      </c>
      <c r="H747" s="322" t="s">
        <v>176</v>
      </c>
      <c r="I747" s="324">
        <f>(4*2.6)*1.3</f>
        <v>13.520000000000001</v>
      </c>
      <c r="J747" s="325"/>
      <c r="K747" s="325"/>
      <c r="L747" s="325"/>
      <c r="M747" s="325"/>
      <c r="N747" s="325">
        <f>(4+2.6+4+2.6)*3.3</f>
        <v>43.559999999999995</v>
      </c>
      <c r="O747" s="326"/>
      <c r="P747" s="326"/>
      <c r="Q747" s="326">
        <f>I747</f>
        <v>13.520000000000001</v>
      </c>
      <c r="R747" s="326"/>
      <c r="S747" s="327"/>
    </row>
    <row r="748" spans="1:19" ht="15" customHeight="1">
      <c r="A748" s="561">
        <f t="shared" si="12"/>
        <v>748</v>
      </c>
      <c r="B748" s="31">
        <v>105</v>
      </c>
      <c r="C748" s="249" t="s">
        <v>851</v>
      </c>
      <c r="D748" s="320" t="s">
        <v>180</v>
      </c>
      <c r="E748" s="321" t="s">
        <v>54</v>
      </c>
      <c r="F748" s="322" t="s">
        <v>489</v>
      </c>
      <c r="G748" s="323" t="s">
        <v>1012</v>
      </c>
      <c r="H748" s="322" t="s">
        <v>44</v>
      </c>
      <c r="I748" s="324">
        <f>((1.35*2.5)+(1.3*3.8))*1.3</f>
        <v>10.8095</v>
      </c>
      <c r="J748" s="325"/>
      <c r="K748" s="325"/>
      <c r="L748" s="325">
        <f>(1.3+3.8+2.7+2.5+1.35+1.3)*2.15</f>
        <v>27.842500000000001</v>
      </c>
      <c r="M748" s="325"/>
      <c r="N748" s="325"/>
      <c r="O748" s="326"/>
      <c r="P748" s="326"/>
      <c r="Q748" s="326"/>
      <c r="R748" s="326"/>
      <c r="S748" s="327"/>
    </row>
    <row r="749" spans="1:19" ht="15" customHeight="1">
      <c r="A749" s="561">
        <f t="shared" si="12"/>
        <v>749</v>
      </c>
      <c r="B749" s="31">
        <v>105</v>
      </c>
      <c r="C749" s="249" t="s">
        <v>851</v>
      </c>
      <c r="D749" s="320" t="s">
        <v>180</v>
      </c>
      <c r="E749" s="321" t="s">
        <v>622</v>
      </c>
      <c r="F749" s="322" t="s">
        <v>777</v>
      </c>
      <c r="G749" s="323" t="s">
        <v>385</v>
      </c>
      <c r="H749" s="322"/>
      <c r="I749" s="324">
        <v>0</v>
      </c>
      <c r="J749" s="325"/>
      <c r="K749" s="325"/>
      <c r="L749" s="325"/>
      <c r="M749" s="325"/>
      <c r="N749" s="325"/>
      <c r="O749" s="326"/>
      <c r="P749" s="326"/>
      <c r="Q749" s="326"/>
      <c r="R749" s="326"/>
      <c r="S749" s="327"/>
    </row>
    <row r="750" spans="1:19" ht="15" customHeight="1">
      <c r="A750" s="561">
        <f t="shared" si="12"/>
        <v>750</v>
      </c>
      <c r="B750" s="31">
        <v>105</v>
      </c>
      <c r="C750" s="249" t="s">
        <v>851</v>
      </c>
      <c r="D750" s="320" t="s">
        <v>180</v>
      </c>
      <c r="E750" s="321" t="s">
        <v>622</v>
      </c>
      <c r="F750" s="322" t="s">
        <v>547</v>
      </c>
      <c r="G750" s="323" t="s">
        <v>1013</v>
      </c>
      <c r="H750" s="322"/>
      <c r="I750" s="324">
        <v>0</v>
      </c>
      <c r="J750" s="325"/>
      <c r="K750" s="325"/>
      <c r="L750" s="325"/>
      <c r="M750" s="325"/>
      <c r="N750" s="325"/>
      <c r="O750" s="326"/>
      <c r="P750" s="326"/>
      <c r="Q750" s="326"/>
      <c r="R750" s="326"/>
      <c r="S750" s="327" t="s">
        <v>1031</v>
      </c>
    </row>
    <row r="751" spans="1:19" ht="15" customHeight="1">
      <c r="A751" s="561">
        <f t="shared" si="12"/>
        <v>751</v>
      </c>
      <c r="B751" s="31">
        <v>105</v>
      </c>
      <c r="C751" s="249" t="s">
        <v>851</v>
      </c>
      <c r="D751" s="320" t="s">
        <v>180</v>
      </c>
      <c r="E751" s="321" t="s">
        <v>622</v>
      </c>
      <c r="F751" s="322" t="s">
        <v>175</v>
      </c>
      <c r="G751" s="323" t="s">
        <v>1014</v>
      </c>
      <c r="H751" s="322" t="s">
        <v>174</v>
      </c>
      <c r="I751" s="324">
        <f>(1)*1.3</f>
        <v>1.3</v>
      </c>
      <c r="J751" s="325"/>
      <c r="K751" s="325"/>
      <c r="L751" s="325">
        <f>(1+3.6+1+3.6)*2.6</f>
        <v>23.919999999999998</v>
      </c>
      <c r="M751" s="325"/>
      <c r="N751" s="325"/>
      <c r="O751" s="326"/>
      <c r="P751" s="326"/>
      <c r="Q751" s="326"/>
      <c r="R751" s="326"/>
      <c r="S751" s="327"/>
    </row>
    <row r="752" spans="1:19" ht="15" customHeight="1">
      <c r="A752" s="561">
        <f t="shared" si="12"/>
        <v>752</v>
      </c>
      <c r="B752" s="31">
        <v>105</v>
      </c>
      <c r="C752" s="249" t="s">
        <v>851</v>
      </c>
      <c r="D752" s="320" t="s">
        <v>180</v>
      </c>
      <c r="E752" s="321" t="s">
        <v>622</v>
      </c>
      <c r="F752" s="322" t="s">
        <v>631</v>
      </c>
      <c r="G752" s="323" t="s">
        <v>1015</v>
      </c>
      <c r="H752" s="322" t="s">
        <v>19</v>
      </c>
      <c r="I752" s="324">
        <v>361</v>
      </c>
      <c r="J752" s="325"/>
      <c r="K752" s="325"/>
      <c r="L752" s="325">
        <v>488</v>
      </c>
      <c r="M752" s="325"/>
      <c r="N752" s="325"/>
      <c r="O752" s="326"/>
      <c r="P752" s="326">
        <f>I752</f>
        <v>361</v>
      </c>
      <c r="Q752" s="326"/>
      <c r="R752" s="326"/>
      <c r="S752" s="327"/>
    </row>
    <row r="753" spans="1:19" ht="15" customHeight="1">
      <c r="A753" s="561">
        <f t="shared" si="12"/>
        <v>753</v>
      </c>
      <c r="B753" s="31">
        <v>105</v>
      </c>
      <c r="C753" s="249" t="s">
        <v>851</v>
      </c>
      <c r="D753" s="320" t="s">
        <v>180</v>
      </c>
      <c r="E753" s="321" t="s">
        <v>622</v>
      </c>
      <c r="F753" s="322" t="s">
        <v>628</v>
      </c>
      <c r="G753" s="323" t="s">
        <v>1016</v>
      </c>
      <c r="H753" s="322" t="s">
        <v>19</v>
      </c>
      <c r="I753" s="324">
        <v>465</v>
      </c>
      <c r="J753" s="325"/>
      <c r="K753" s="325"/>
      <c r="L753" s="325">
        <v>532</v>
      </c>
      <c r="M753" s="325"/>
      <c r="N753" s="325"/>
      <c r="O753" s="326"/>
      <c r="P753" s="326">
        <v>465</v>
      </c>
      <c r="Q753" s="326"/>
      <c r="R753" s="326"/>
      <c r="S753" s="327"/>
    </row>
    <row r="754" spans="1:19" ht="15" customHeight="1">
      <c r="A754" s="561">
        <f t="shared" si="12"/>
        <v>754</v>
      </c>
      <c r="B754" s="31">
        <v>105</v>
      </c>
      <c r="C754" s="249" t="s">
        <v>851</v>
      </c>
      <c r="D754" s="320" t="s">
        <v>180</v>
      </c>
      <c r="E754" s="321" t="s">
        <v>622</v>
      </c>
      <c r="F754" s="322" t="s">
        <v>628</v>
      </c>
      <c r="G754" s="323" t="s">
        <v>1017</v>
      </c>
      <c r="H754" s="322" t="s">
        <v>19</v>
      </c>
      <c r="I754" s="324">
        <v>436</v>
      </c>
      <c r="J754" s="325"/>
      <c r="K754" s="325"/>
      <c r="L754" s="325">
        <v>531</v>
      </c>
      <c r="M754" s="325"/>
      <c r="N754" s="325"/>
      <c r="O754" s="326"/>
      <c r="P754" s="326">
        <v>436</v>
      </c>
      <c r="Q754" s="326"/>
      <c r="R754" s="326"/>
      <c r="S754" s="327"/>
    </row>
    <row r="755" spans="1:19" ht="15" customHeight="1">
      <c r="A755" s="561">
        <f t="shared" si="12"/>
        <v>755</v>
      </c>
      <c r="B755" s="31">
        <v>105</v>
      </c>
      <c r="C755" s="249" t="s">
        <v>851</v>
      </c>
      <c r="D755" s="320" t="s">
        <v>180</v>
      </c>
      <c r="E755" s="321" t="s">
        <v>622</v>
      </c>
      <c r="F755" s="322" t="s">
        <v>547</v>
      </c>
      <c r="G755" s="323" t="s">
        <v>931</v>
      </c>
      <c r="H755" s="322"/>
      <c r="I755" s="324">
        <v>0</v>
      </c>
      <c r="J755" s="325"/>
      <c r="K755" s="325"/>
      <c r="L755" s="325"/>
      <c r="M755" s="325"/>
      <c r="N755" s="325"/>
      <c r="O755" s="326"/>
      <c r="P755" s="326"/>
      <c r="Q755" s="326"/>
      <c r="R755" s="326"/>
      <c r="S755" s="327" t="s">
        <v>1032</v>
      </c>
    </row>
    <row r="756" spans="1:19" ht="15" customHeight="1">
      <c r="A756" s="561">
        <f t="shared" si="12"/>
        <v>756</v>
      </c>
      <c r="B756" s="31">
        <v>105</v>
      </c>
      <c r="C756" s="249" t="s">
        <v>851</v>
      </c>
      <c r="D756" s="320" t="s">
        <v>180</v>
      </c>
      <c r="E756" s="321" t="s">
        <v>622</v>
      </c>
      <c r="F756" s="322" t="s">
        <v>175</v>
      </c>
      <c r="G756" s="323" t="s">
        <v>1018</v>
      </c>
      <c r="H756" s="322" t="s">
        <v>44</v>
      </c>
      <c r="I756" s="324">
        <f>(1.75*5.1)*1.3</f>
        <v>11.602499999999999</v>
      </c>
      <c r="J756" s="325"/>
      <c r="K756" s="325"/>
      <c r="L756" s="325">
        <f>(1.75+5.1+1.75+5.1)*2.3</f>
        <v>31.509999999999994</v>
      </c>
      <c r="M756" s="325"/>
      <c r="N756" s="325"/>
      <c r="O756" s="326"/>
      <c r="P756" s="326">
        <f>I756</f>
        <v>11.602499999999999</v>
      </c>
      <c r="Q756" s="326"/>
      <c r="R756" s="326"/>
      <c r="S756" s="327"/>
    </row>
    <row r="757" spans="1:19" ht="15" customHeight="1">
      <c r="A757" s="561">
        <f t="shared" si="12"/>
        <v>757</v>
      </c>
      <c r="B757" s="31">
        <v>105</v>
      </c>
      <c r="C757" s="249" t="s">
        <v>851</v>
      </c>
      <c r="D757" s="320" t="s">
        <v>180</v>
      </c>
      <c r="E757" s="321" t="s">
        <v>622</v>
      </c>
      <c r="F757" s="322" t="s">
        <v>631</v>
      </c>
      <c r="G757" s="323" t="s">
        <v>1019</v>
      </c>
      <c r="H757" s="322" t="s">
        <v>174</v>
      </c>
      <c r="I757" s="324">
        <v>85.410000000000011</v>
      </c>
      <c r="J757" s="325"/>
      <c r="K757" s="325"/>
      <c r="L757" s="325">
        <f>81.5*2.25</f>
        <v>183.375</v>
      </c>
      <c r="M757" s="325"/>
      <c r="N757" s="325"/>
      <c r="O757" s="326"/>
      <c r="P757" s="326">
        <f>I757</f>
        <v>85.410000000000011</v>
      </c>
      <c r="Q757" s="326"/>
      <c r="R757" s="326"/>
      <c r="S757" s="327"/>
    </row>
    <row r="758" spans="1:19" ht="15" customHeight="1">
      <c r="A758" s="561">
        <f t="shared" si="12"/>
        <v>758</v>
      </c>
      <c r="B758" s="31">
        <v>105</v>
      </c>
      <c r="C758" s="249" t="s">
        <v>851</v>
      </c>
      <c r="D758" s="320" t="s">
        <v>180</v>
      </c>
      <c r="E758" s="321" t="s">
        <v>622</v>
      </c>
      <c r="F758" s="322" t="s">
        <v>834</v>
      </c>
      <c r="G758" s="323" t="s">
        <v>1020</v>
      </c>
      <c r="H758" s="322" t="s">
        <v>19</v>
      </c>
      <c r="I758" s="324">
        <v>13</v>
      </c>
      <c r="J758" s="325"/>
      <c r="K758" s="325"/>
      <c r="L758" s="325">
        <v>22</v>
      </c>
      <c r="M758" s="325"/>
      <c r="N758" s="325"/>
      <c r="O758" s="326"/>
      <c r="P758" s="326">
        <v>13</v>
      </c>
      <c r="Q758" s="326"/>
      <c r="R758" s="326"/>
      <c r="S758" s="327"/>
    </row>
    <row r="759" spans="1:19" ht="15" customHeight="1">
      <c r="A759" s="561">
        <f t="shared" si="12"/>
        <v>759</v>
      </c>
      <c r="B759" s="31">
        <v>105</v>
      </c>
      <c r="C759" s="249" t="s">
        <v>851</v>
      </c>
      <c r="D759" s="320" t="s">
        <v>180</v>
      </c>
      <c r="E759" s="321" t="s">
        <v>622</v>
      </c>
      <c r="F759" s="322" t="s">
        <v>1021</v>
      </c>
      <c r="G759" s="323" t="s">
        <v>1022</v>
      </c>
      <c r="H759" s="322"/>
      <c r="I759" s="324">
        <v>0</v>
      </c>
      <c r="J759" s="325"/>
      <c r="K759" s="325"/>
      <c r="L759" s="325"/>
      <c r="M759" s="325"/>
      <c r="N759" s="325"/>
      <c r="O759" s="326"/>
      <c r="P759" s="326"/>
      <c r="Q759" s="326"/>
      <c r="R759" s="326"/>
      <c r="S759" s="327" t="s">
        <v>1332</v>
      </c>
    </row>
    <row r="760" spans="1:19" ht="15" customHeight="1">
      <c r="A760" s="561">
        <f t="shared" si="12"/>
        <v>760</v>
      </c>
      <c r="B760" s="31">
        <v>105</v>
      </c>
      <c r="C760" s="249" t="s">
        <v>851</v>
      </c>
      <c r="D760" s="320" t="s">
        <v>180</v>
      </c>
      <c r="E760" s="321" t="s">
        <v>622</v>
      </c>
      <c r="F760" s="322" t="s">
        <v>838</v>
      </c>
      <c r="G760" s="323" t="s">
        <v>839</v>
      </c>
      <c r="H760" s="322" t="s">
        <v>19</v>
      </c>
      <c r="I760" s="324">
        <v>25</v>
      </c>
      <c r="J760" s="325"/>
      <c r="K760" s="325"/>
      <c r="L760" s="325">
        <f>2*(2.5+10)*1.8</f>
        <v>45</v>
      </c>
      <c r="M760" s="325"/>
      <c r="N760" s="325"/>
      <c r="O760" s="326"/>
      <c r="P760" s="326">
        <v>25</v>
      </c>
      <c r="Q760" s="326"/>
      <c r="R760" s="326"/>
      <c r="S760" s="327"/>
    </row>
    <row r="761" spans="1:19" ht="15" customHeight="1">
      <c r="A761" s="561">
        <f t="shared" si="12"/>
        <v>761</v>
      </c>
      <c r="B761" s="31">
        <v>105</v>
      </c>
      <c r="C761" s="249" t="s">
        <v>851</v>
      </c>
      <c r="D761" s="320" t="s">
        <v>180</v>
      </c>
      <c r="E761" s="321" t="s">
        <v>622</v>
      </c>
      <c r="F761" s="322" t="s">
        <v>942</v>
      </c>
      <c r="G761" s="323" t="s">
        <v>943</v>
      </c>
      <c r="H761" s="322" t="s">
        <v>19</v>
      </c>
      <c r="I761" s="324">
        <v>17</v>
      </c>
      <c r="J761" s="325"/>
      <c r="K761" s="325"/>
      <c r="L761" s="325">
        <f>2*(2.7+6.4)*2.3</f>
        <v>41.860000000000007</v>
      </c>
      <c r="M761" s="325"/>
      <c r="N761" s="325"/>
      <c r="O761" s="326"/>
      <c r="P761" s="326">
        <v>17</v>
      </c>
      <c r="Q761" s="326"/>
      <c r="R761" s="326"/>
      <c r="S761" s="327"/>
    </row>
    <row r="762" spans="1:19" ht="15" customHeight="1">
      <c r="A762" s="561">
        <f t="shared" si="12"/>
        <v>762</v>
      </c>
      <c r="B762" s="31">
        <v>105</v>
      </c>
      <c r="C762" s="249" t="s">
        <v>851</v>
      </c>
      <c r="D762" s="320" t="s">
        <v>180</v>
      </c>
      <c r="E762" s="321" t="s">
        <v>622</v>
      </c>
      <c r="F762" s="322" t="s">
        <v>598</v>
      </c>
      <c r="G762" s="323" t="s">
        <v>840</v>
      </c>
      <c r="H762" s="322" t="s">
        <v>44</v>
      </c>
      <c r="I762" s="324">
        <f>((5.15*2.6)+(2.8*4.4))*1.3</f>
        <v>33.423000000000002</v>
      </c>
      <c r="J762" s="325"/>
      <c r="K762" s="325"/>
      <c r="L762" s="325"/>
      <c r="M762" s="325"/>
      <c r="N762" s="325">
        <f>(5.15+1.8+2.8+4.4+2.8+5.15+2.6)*2.25</f>
        <v>55.575000000000003</v>
      </c>
      <c r="O762" s="326"/>
      <c r="P762" s="326"/>
      <c r="Q762" s="326">
        <f>I762</f>
        <v>33.423000000000002</v>
      </c>
      <c r="R762" s="326"/>
      <c r="S762" s="327"/>
    </row>
    <row r="763" spans="1:19" ht="15" customHeight="1">
      <c r="A763" s="561">
        <f t="shared" si="12"/>
        <v>763</v>
      </c>
      <c r="B763" s="31">
        <v>105</v>
      </c>
      <c r="C763" s="249" t="s">
        <v>851</v>
      </c>
      <c r="D763" s="320" t="s">
        <v>180</v>
      </c>
      <c r="E763" s="321" t="s">
        <v>622</v>
      </c>
      <c r="F763" s="322" t="s">
        <v>648</v>
      </c>
      <c r="G763" s="323" t="s">
        <v>841</v>
      </c>
      <c r="H763" s="322" t="s">
        <v>1168</v>
      </c>
      <c r="I763" s="324">
        <v>27</v>
      </c>
      <c r="J763" s="325"/>
      <c r="K763" s="325"/>
      <c r="L763" s="325">
        <v>43</v>
      </c>
      <c r="M763" s="325"/>
      <c r="N763" s="325"/>
      <c r="O763" s="326"/>
      <c r="P763" s="326"/>
      <c r="Q763" s="326">
        <v>27</v>
      </c>
      <c r="R763" s="326"/>
      <c r="S763" s="327"/>
    </row>
    <row r="764" spans="1:19" ht="15" customHeight="1">
      <c r="A764" s="561">
        <f t="shared" si="12"/>
        <v>764</v>
      </c>
      <c r="B764" s="31">
        <v>105</v>
      </c>
      <c r="C764" s="249" t="s">
        <v>851</v>
      </c>
      <c r="D764" s="320" t="s">
        <v>180</v>
      </c>
      <c r="E764" s="321" t="s">
        <v>622</v>
      </c>
      <c r="F764" s="322" t="s">
        <v>598</v>
      </c>
      <c r="G764" s="323" t="s">
        <v>681</v>
      </c>
      <c r="H764" s="322" t="s">
        <v>44</v>
      </c>
      <c r="I764" s="324">
        <f>(4.7*3)*1.3</f>
        <v>18.330000000000002</v>
      </c>
      <c r="J764" s="325"/>
      <c r="K764" s="325"/>
      <c r="L764" s="325"/>
      <c r="M764" s="325"/>
      <c r="N764" s="325">
        <f>(4.7+3+4.7+3)*2.55</f>
        <v>39.269999999999996</v>
      </c>
      <c r="O764" s="326"/>
      <c r="P764" s="326"/>
      <c r="Q764" s="326">
        <f>I764</f>
        <v>18.330000000000002</v>
      </c>
      <c r="R764" s="326"/>
      <c r="S764" s="327"/>
    </row>
    <row r="765" spans="1:19" ht="15" customHeight="1">
      <c r="A765" s="561">
        <f t="shared" si="12"/>
        <v>765</v>
      </c>
      <c r="B765" s="31">
        <v>105</v>
      </c>
      <c r="C765" s="249" t="s">
        <v>851</v>
      </c>
      <c r="D765" s="320" t="s">
        <v>180</v>
      </c>
      <c r="E765" s="321" t="s">
        <v>622</v>
      </c>
      <c r="F765" s="322" t="s">
        <v>648</v>
      </c>
      <c r="G765" s="323" t="s">
        <v>682</v>
      </c>
      <c r="H765" s="322" t="s">
        <v>19</v>
      </c>
      <c r="I765" s="324">
        <v>40</v>
      </c>
      <c r="J765" s="325"/>
      <c r="K765" s="325"/>
      <c r="L765" s="325">
        <v>47</v>
      </c>
      <c r="M765" s="325"/>
      <c r="N765" s="325"/>
      <c r="O765" s="326"/>
      <c r="P765" s="326"/>
      <c r="Q765" s="326">
        <v>40</v>
      </c>
      <c r="R765" s="326"/>
      <c r="S765" s="327"/>
    </row>
    <row r="766" spans="1:19" ht="15" customHeight="1">
      <c r="A766" s="561">
        <f t="shared" si="12"/>
        <v>766</v>
      </c>
      <c r="B766" s="31">
        <v>105</v>
      </c>
      <c r="C766" s="249" t="s">
        <v>851</v>
      </c>
      <c r="D766" s="320" t="s">
        <v>180</v>
      </c>
      <c r="E766" s="321" t="s">
        <v>622</v>
      </c>
      <c r="F766" s="322" t="s">
        <v>168</v>
      </c>
      <c r="G766" s="323" t="s">
        <v>844</v>
      </c>
      <c r="H766" s="322"/>
      <c r="I766" s="324">
        <v>0</v>
      </c>
      <c r="J766" s="325"/>
      <c r="K766" s="325"/>
      <c r="L766" s="325"/>
      <c r="M766" s="325"/>
      <c r="N766" s="325"/>
      <c r="O766" s="326"/>
      <c r="P766" s="326"/>
      <c r="Q766" s="326"/>
      <c r="R766" s="326"/>
      <c r="S766" s="327" t="s">
        <v>1332</v>
      </c>
    </row>
    <row r="767" spans="1:19" ht="15" customHeight="1">
      <c r="A767" s="561">
        <f t="shared" si="12"/>
        <v>767</v>
      </c>
      <c r="B767" s="31">
        <v>105</v>
      </c>
      <c r="C767" s="249" t="s">
        <v>851</v>
      </c>
      <c r="D767" s="320" t="s">
        <v>180</v>
      </c>
      <c r="E767" s="321" t="s">
        <v>622</v>
      </c>
      <c r="F767" s="322" t="s">
        <v>168</v>
      </c>
      <c r="G767" s="323" t="s">
        <v>1023</v>
      </c>
      <c r="H767" s="322"/>
      <c r="I767" s="324">
        <v>0</v>
      </c>
      <c r="J767" s="325"/>
      <c r="K767" s="325"/>
      <c r="L767" s="325"/>
      <c r="M767" s="325"/>
      <c r="N767" s="325"/>
      <c r="O767" s="326"/>
      <c r="P767" s="326"/>
      <c r="Q767" s="326"/>
      <c r="R767" s="326"/>
      <c r="S767" s="327" t="s">
        <v>1332</v>
      </c>
    </row>
    <row r="768" spans="1:19" ht="15" customHeight="1">
      <c r="A768" s="561">
        <f t="shared" si="12"/>
        <v>768</v>
      </c>
      <c r="B768" s="31">
        <v>106</v>
      </c>
      <c r="C768" s="249" t="s">
        <v>1036</v>
      </c>
      <c r="D768" s="320" t="s">
        <v>22</v>
      </c>
      <c r="E768" s="321"/>
      <c r="F768" s="322" t="s">
        <v>292</v>
      </c>
      <c r="G768" s="323" t="s">
        <v>16</v>
      </c>
      <c r="H768" s="322" t="s">
        <v>109</v>
      </c>
      <c r="I768" s="324">
        <v>39</v>
      </c>
      <c r="J768" s="325"/>
      <c r="K768" s="325"/>
      <c r="L768" s="325"/>
      <c r="M768" s="325"/>
      <c r="N768" s="325">
        <v>140</v>
      </c>
      <c r="O768" s="326"/>
      <c r="P768" s="326"/>
      <c r="Q768" s="326">
        <v>20</v>
      </c>
      <c r="R768" s="326">
        <v>3</v>
      </c>
      <c r="S768" s="327"/>
    </row>
    <row r="769" spans="1:19" ht="15" customHeight="1">
      <c r="A769" s="561">
        <f t="shared" si="12"/>
        <v>769</v>
      </c>
      <c r="B769" s="31">
        <v>106</v>
      </c>
      <c r="C769" s="249" t="s">
        <v>1036</v>
      </c>
      <c r="D769" s="320" t="s">
        <v>22</v>
      </c>
      <c r="E769" s="321"/>
      <c r="F769" s="322" t="s">
        <v>293</v>
      </c>
      <c r="G769" s="323" t="s">
        <v>1714</v>
      </c>
      <c r="H769" s="322" t="s">
        <v>176</v>
      </c>
      <c r="I769" s="324">
        <v>15</v>
      </c>
      <c r="J769" s="325"/>
      <c r="K769" s="325"/>
      <c r="L769" s="325"/>
      <c r="M769" s="325"/>
      <c r="N769" s="325">
        <v>43</v>
      </c>
      <c r="O769" s="326"/>
      <c r="P769" s="326"/>
      <c r="Q769" s="326">
        <v>15</v>
      </c>
      <c r="R769" s="326"/>
      <c r="S769" s="327"/>
    </row>
    <row r="770" spans="1:19" ht="15" customHeight="1">
      <c r="A770" s="561">
        <f t="shared" si="12"/>
        <v>770</v>
      </c>
      <c r="B770" s="31">
        <v>106</v>
      </c>
      <c r="C770" s="249" t="s">
        <v>1036</v>
      </c>
      <c r="D770" s="320" t="s">
        <v>22</v>
      </c>
      <c r="E770" s="321"/>
      <c r="F770" s="322" t="s">
        <v>1037</v>
      </c>
      <c r="G770" s="323" t="s">
        <v>1715</v>
      </c>
      <c r="H770" s="322" t="s">
        <v>1037</v>
      </c>
      <c r="I770" s="324">
        <v>22</v>
      </c>
      <c r="J770" s="325"/>
      <c r="K770" s="325"/>
      <c r="L770" s="325"/>
      <c r="M770" s="325"/>
      <c r="N770" s="325">
        <v>58</v>
      </c>
      <c r="O770" s="326"/>
      <c r="P770" s="326"/>
      <c r="Q770" s="326">
        <v>22</v>
      </c>
      <c r="R770" s="326"/>
      <c r="S770" s="327"/>
    </row>
    <row r="771" spans="1:19" ht="15" customHeight="1">
      <c r="A771" s="561">
        <f t="shared" ref="A771:A834" si="13">1+A770</f>
        <v>771</v>
      </c>
      <c r="B771" s="31">
        <v>106</v>
      </c>
      <c r="C771" s="249" t="s">
        <v>1036</v>
      </c>
      <c r="D771" s="320" t="s">
        <v>22</v>
      </c>
      <c r="E771" s="321"/>
      <c r="F771" s="322" t="s">
        <v>1038</v>
      </c>
      <c r="G771" s="323" t="s">
        <v>14</v>
      </c>
      <c r="H771" s="322" t="s">
        <v>1038</v>
      </c>
      <c r="I771" s="324">
        <v>4</v>
      </c>
      <c r="J771" s="325"/>
      <c r="K771" s="325"/>
      <c r="L771" s="325"/>
      <c r="M771" s="325"/>
      <c r="N771" s="325">
        <v>24</v>
      </c>
      <c r="O771" s="326"/>
      <c r="P771" s="326"/>
      <c r="Q771" s="326">
        <v>4</v>
      </c>
      <c r="R771" s="326"/>
      <c r="S771" s="327"/>
    </row>
    <row r="772" spans="1:19" ht="15" customHeight="1">
      <c r="A772" s="561">
        <f t="shared" si="13"/>
        <v>772</v>
      </c>
      <c r="B772" s="31">
        <v>106</v>
      </c>
      <c r="C772" s="249" t="s">
        <v>1036</v>
      </c>
      <c r="D772" s="320" t="s">
        <v>22</v>
      </c>
      <c r="E772" s="321"/>
      <c r="F772" s="322" t="s">
        <v>1039</v>
      </c>
      <c r="G772" s="323" t="s">
        <v>1716</v>
      </c>
      <c r="H772" s="322" t="s">
        <v>1039</v>
      </c>
      <c r="I772" s="324">
        <v>16</v>
      </c>
      <c r="J772" s="325"/>
      <c r="K772" s="325"/>
      <c r="L772" s="325"/>
      <c r="M772" s="325"/>
      <c r="N772" s="325">
        <v>70</v>
      </c>
      <c r="O772" s="326"/>
      <c r="P772" s="326">
        <v>15</v>
      </c>
      <c r="Q772" s="326"/>
      <c r="R772" s="326"/>
      <c r="S772" s="327"/>
    </row>
    <row r="773" spans="1:19" ht="15" customHeight="1">
      <c r="A773" s="561">
        <f t="shared" si="13"/>
        <v>773</v>
      </c>
      <c r="B773" s="31">
        <v>107</v>
      </c>
      <c r="C773" s="249" t="s">
        <v>289</v>
      </c>
      <c r="D773" s="320" t="s">
        <v>22</v>
      </c>
      <c r="E773" s="321"/>
      <c r="F773" s="322" t="s">
        <v>280</v>
      </c>
      <c r="G773" s="323" t="s">
        <v>1717</v>
      </c>
      <c r="H773" s="322" t="s">
        <v>160</v>
      </c>
      <c r="I773" s="324">
        <v>1200.48</v>
      </c>
      <c r="J773" s="325"/>
      <c r="K773" s="325"/>
      <c r="L773" s="325"/>
      <c r="M773" s="325"/>
      <c r="N773" s="325"/>
      <c r="O773" s="326">
        <f>34.84*10.13</f>
        <v>352.92920000000004</v>
      </c>
      <c r="P773" s="326"/>
      <c r="Q773" s="326"/>
      <c r="R773" s="326"/>
      <c r="S773" s="327"/>
    </row>
    <row r="774" spans="1:19" ht="15" customHeight="1">
      <c r="A774" s="561">
        <f t="shared" si="13"/>
        <v>774</v>
      </c>
      <c r="B774" s="31">
        <v>107</v>
      </c>
      <c r="C774" s="249" t="s">
        <v>289</v>
      </c>
      <c r="D774" s="320" t="s">
        <v>22</v>
      </c>
      <c r="E774" s="321"/>
      <c r="F774" s="322" t="s">
        <v>281</v>
      </c>
      <c r="G774" s="323" t="s">
        <v>1718</v>
      </c>
      <c r="H774" s="322" t="s">
        <v>160</v>
      </c>
      <c r="I774" s="324">
        <v>1345.42</v>
      </c>
      <c r="J774" s="325"/>
      <c r="K774" s="325"/>
      <c r="L774" s="325"/>
      <c r="M774" s="325"/>
      <c r="N774" s="325"/>
      <c r="O774" s="326">
        <f>34.84*10.13</f>
        <v>352.92920000000004</v>
      </c>
      <c r="P774" s="326"/>
      <c r="Q774" s="326"/>
      <c r="R774" s="326"/>
      <c r="S774" s="327"/>
    </row>
    <row r="775" spans="1:19" ht="15" customHeight="1">
      <c r="A775" s="561">
        <f t="shared" si="13"/>
        <v>775</v>
      </c>
      <c r="B775" s="31">
        <v>107</v>
      </c>
      <c r="C775" s="249" t="s">
        <v>289</v>
      </c>
      <c r="D775" s="320" t="s">
        <v>22</v>
      </c>
      <c r="E775" s="321"/>
      <c r="F775" s="322" t="s">
        <v>260</v>
      </c>
      <c r="G775" s="323" t="s">
        <v>1719</v>
      </c>
      <c r="H775" s="322" t="s">
        <v>1324</v>
      </c>
      <c r="I775" s="324">
        <v>27.6</v>
      </c>
      <c r="J775" s="325"/>
      <c r="K775" s="325"/>
      <c r="L775" s="325"/>
      <c r="M775" s="325"/>
      <c r="N775" s="325"/>
      <c r="O775" s="326"/>
      <c r="P775" s="326"/>
      <c r="Q775" s="326"/>
      <c r="R775" s="326"/>
      <c r="S775" s="327"/>
    </row>
    <row r="776" spans="1:19" ht="15" customHeight="1">
      <c r="A776" s="561">
        <f t="shared" si="13"/>
        <v>776</v>
      </c>
      <c r="B776" s="31">
        <v>107</v>
      </c>
      <c r="C776" s="249" t="s">
        <v>289</v>
      </c>
      <c r="D776" s="320" t="s">
        <v>22</v>
      </c>
      <c r="E776" s="321"/>
      <c r="F776" s="322" t="s">
        <v>261</v>
      </c>
      <c r="G776" s="323" t="s">
        <v>1719</v>
      </c>
      <c r="H776" s="322" t="s">
        <v>1324</v>
      </c>
      <c r="I776" s="324">
        <v>27.68</v>
      </c>
      <c r="J776" s="325"/>
      <c r="K776" s="325"/>
      <c r="L776" s="325"/>
      <c r="M776" s="325"/>
      <c r="N776" s="325"/>
      <c r="O776" s="326"/>
      <c r="P776" s="326"/>
      <c r="Q776" s="326"/>
      <c r="R776" s="326"/>
      <c r="S776" s="327"/>
    </row>
    <row r="777" spans="1:19" ht="15" customHeight="1">
      <c r="A777" s="561">
        <f t="shared" si="13"/>
        <v>777</v>
      </c>
      <c r="B777" s="31">
        <v>107</v>
      </c>
      <c r="C777" s="249" t="s">
        <v>289</v>
      </c>
      <c r="D777" s="320" t="s">
        <v>22</v>
      </c>
      <c r="E777" s="321"/>
      <c r="F777" s="322" t="s">
        <v>64</v>
      </c>
      <c r="G777" s="323" t="s">
        <v>1720</v>
      </c>
      <c r="H777" s="322" t="s">
        <v>68</v>
      </c>
      <c r="I777" s="324">
        <v>61.9</v>
      </c>
      <c r="J777" s="325" t="s">
        <v>1057</v>
      </c>
      <c r="K777" s="325"/>
      <c r="L777" s="325"/>
      <c r="M777" s="325"/>
      <c r="N777" s="325"/>
      <c r="O777" s="326"/>
      <c r="P777" s="326"/>
      <c r="Q777" s="326"/>
      <c r="R777" s="326"/>
      <c r="S777" s="327"/>
    </row>
    <row r="778" spans="1:19" ht="15" customHeight="1">
      <c r="A778" s="561">
        <f t="shared" si="13"/>
        <v>778</v>
      </c>
      <c r="B778" s="31">
        <v>107</v>
      </c>
      <c r="C778" s="249" t="s">
        <v>289</v>
      </c>
      <c r="D778" s="320" t="s">
        <v>22</v>
      </c>
      <c r="E778" s="321"/>
      <c r="F778" s="322" t="s">
        <v>64</v>
      </c>
      <c r="G778" s="323" t="s">
        <v>1721</v>
      </c>
      <c r="H778" s="322" t="s">
        <v>68</v>
      </c>
      <c r="I778" s="324">
        <v>61.9</v>
      </c>
      <c r="J778" s="325" t="s">
        <v>1057</v>
      </c>
      <c r="K778" s="325"/>
      <c r="L778" s="325"/>
      <c r="M778" s="325"/>
      <c r="N778" s="325"/>
      <c r="O778" s="326"/>
      <c r="P778" s="326"/>
      <c r="Q778" s="326"/>
      <c r="R778" s="326"/>
      <c r="S778" s="327"/>
    </row>
    <row r="779" spans="1:19" ht="15" customHeight="1">
      <c r="A779" s="561">
        <f t="shared" si="13"/>
        <v>779</v>
      </c>
      <c r="B779" s="31">
        <v>107</v>
      </c>
      <c r="C779" s="249" t="s">
        <v>289</v>
      </c>
      <c r="D779" s="320" t="s">
        <v>22</v>
      </c>
      <c r="E779" s="321"/>
      <c r="F779" s="322" t="s">
        <v>123</v>
      </c>
      <c r="G779" s="323" t="s">
        <v>1722</v>
      </c>
      <c r="H779" s="322" t="s">
        <v>68</v>
      </c>
      <c r="I779" s="324">
        <v>5.51</v>
      </c>
      <c r="J779" s="325"/>
      <c r="K779" s="325"/>
      <c r="L779" s="325"/>
      <c r="M779" s="325"/>
      <c r="N779" s="325"/>
      <c r="O779" s="326"/>
      <c r="P779" s="326"/>
      <c r="Q779" s="326"/>
      <c r="R779" s="326"/>
      <c r="S779" s="327" t="s">
        <v>286</v>
      </c>
    </row>
    <row r="780" spans="1:19" ht="15" customHeight="1">
      <c r="A780" s="561">
        <f t="shared" si="13"/>
        <v>780</v>
      </c>
      <c r="B780" s="31">
        <v>107</v>
      </c>
      <c r="C780" s="249" t="s">
        <v>289</v>
      </c>
      <c r="D780" s="320" t="s">
        <v>22</v>
      </c>
      <c r="E780" s="321"/>
      <c r="F780" s="322" t="s">
        <v>123</v>
      </c>
      <c r="G780" s="323" t="s">
        <v>1723</v>
      </c>
      <c r="H780" s="322" t="s">
        <v>68</v>
      </c>
      <c r="I780" s="324">
        <v>5.51</v>
      </c>
      <c r="J780" s="325"/>
      <c r="K780" s="325"/>
      <c r="L780" s="325"/>
      <c r="M780" s="325"/>
      <c r="N780" s="325"/>
      <c r="O780" s="326"/>
      <c r="P780" s="326"/>
      <c r="Q780" s="326"/>
      <c r="R780" s="326"/>
      <c r="S780" s="327" t="s">
        <v>286</v>
      </c>
    </row>
    <row r="781" spans="1:19" ht="15" customHeight="1">
      <c r="A781" s="561">
        <f t="shared" si="13"/>
        <v>781</v>
      </c>
      <c r="B781" s="31">
        <v>107</v>
      </c>
      <c r="C781" s="249" t="s">
        <v>289</v>
      </c>
      <c r="D781" s="320" t="s">
        <v>22</v>
      </c>
      <c r="E781" s="321"/>
      <c r="F781" s="322" t="s">
        <v>143</v>
      </c>
      <c r="G781" s="323" t="s">
        <v>1724</v>
      </c>
      <c r="H781" s="322" t="s">
        <v>109</v>
      </c>
      <c r="I781" s="324">
        <v>367.11864406779659</v>
      </c>
      <c r="J781" s="325"/>
      <c r="K781" s="325"/>
      <c r="L781" s="325"/>
      <c r="M781" s="325"/>
      <c r="N781" s="325">
        <v>721</v>
      </c>
      <c r="O781" s="326"/>
      <c r="P781" s="326"/>
      <c r="Q781" s="326">
        <v>198.8</v>
      </c>
      <c r="R781" s="326"/>
      <c r="S781" s="327" t="s">
        <v>287</v>
      </c>
    </row>
    <row r="782" spans="1:19" ht="15" customHeight="1">
      <c r="A782" s="561">
        <f t="shared" si="13"/>
        <v>782</v>
      </c>
      <c r="B782" s="31">
        <v>107</v>
      </c>
      <c r="C782" s="249" t="s">
        <v>289</v>
      </c>
      <c r="D782" s="320" t="s">
        <v>22</v>
      </c>
      <c r="E782" s="321"/>
      <c r="F782" s="322" t="s">
        <v>111</v>
      </c>
      <c r="G782" s="323" t="s">
        <v>1725</v>
      </c>
      <c r="H782" s="322" t="s">
        <v>109</v>
      </c>
      <c r="I782" s="324">
        <v>13</v>
      </c>
      <c r="J782" s="325"/>
      <c r="K782" s="325"/>
      <c r="L782" s="325"/>
      <c r="M782" s="325"/>
      <c r="N782" s="325">
        <v>49.9</v>
      </c>
      <c r="O782" s="326"/>
      <c r="P782" s="326"/>
      <c r="Q782" s="326">
        <f>I782</f>
        <v>13</v>
      </c>
      <c r="R782" s="326"/>
      <c r="S782" s="327"/>
    </row>
    <row r="783" spans="1:19" ht="15" customHeight="1">
      <c r="A783" s="561">
        <f t="shared" si="13"/>
        <v>783</v>
      </c>
      <c r="B783" s="31">
        <v>107</v>
      </c>
      <c r="C783" s="249" t="s">
        <v>289</v>
      </c>
      <c r="D783" s="320" t="s">
        <v>22</v>
      </c>
      <c r="E783" s="321"/>
      <c r="F783" s="322" t="s">
        <v>111</v>
      </c>
      <c r="G783" s="323" t="s">
        <v>1726</v>
      </c>
      <c r="H783" s="322" t="s">
        <v>160</v>
      </c>
      <c r="I783" s="324">
        <v>13.1</v>
      </c>
      <c r="J783" s="325"/>
      <c r="K783" s="325"/>
      <c r="L783" s="325">
        <v>54.800000000000004</v>
      </c>
      <c r="M783" s="325"/>
      <c r="N783" s="325">
        <v>54</v>
      </c>
      <c r="O783" s="326"/>
      <c r="P783" s="326">
        <f>I783</f>
        <v>13.1</v>
      </c>
      <c r="Q783" s="326"/>
      <c r="R783" s="326"/>
      <c r="S783" s="327"/>
    </row>
    <row r="784" spans="1:19" ht="15" customHeight="1">
      <c r="A784" s="561">
        <f t="shared" si="13"/>
        <v>784</v>
      </c>
      <c r="B784" s="31">
        <v>107</v>
      </c>
      <c r="C784" s="249" t="s">
        <v>289</v>
      </c>
      <c r="D784" s="320" t="s">
        <v>22</v>
      </c>
      <c r="E784" s="321"/>
      <c r="F784" s="322" t="s">
        <v>145</v>
      </c>
      <c r="G784" s="323" t="s">
        <v>1727</v>
      </c>
      <c r="H784" s="322" t="s">
        <v>109</v>
      </c>
      <c r="I784" s="324">
        <v>3.7</v>
      </c>
      <c r="J784" s="325"/>
      <c r="K784" s="325"/>
      <c r="L784" s="325">
        <v>8</v>
      </c>
      <c r="M784" s="325"/>
      <c r="N784" s="325"/>
      <c r="O784" s="326"/>
      <c r="P784" s="326">
        <f>I784</f>
        <v>3.7</v>
      </c>
      <c r="Q784" s="326"/>
      <c r="R784" s="326"/>
      <c r="S784" s="327"/>
    </row>
    <row r="785" spans="1:19" ht="15" customHeight="1">
      <c r="A785" s="561">
        <f t="shared" si="13"/>
        <v>785</v>
      </c>
      <c r="B785" s="31">
        <v>107</v>
      </c>
      <c r="C785" s="249" t="s">
        <v>289</v>
      </c>
      <c r="D785" s="320" t="s">
        <v>22</v>
      </c>
      <c r="E785" s="321"/>
      <c r="F785" s="322" t="s">
        <v>31</v>
      </c>
      <c r="G785" s="323" t="s">
        <v>1728</v>
      </c>
      <c r="H785" s="322" t="s">
        <v>176</v>
      </c>
      <c r="I785" s="324">
        <v>11.8</v>
      </c>
      <c r="J785" s="325"/>
      <c r="K785" s="325"/>
      <c r="L785" s="325">
        <v>51</v>
      </c>
      <c r="M785" s="325"/>
      <c r="N785" s="325"/>
      <c r="O785" s="326"/>
      <c r="P785" s="326"/>
      <c r="Q785" s="326">
        <f>I785</f>
        <v>11.8</v>
      </c>
      <c r="R785" s="326"/>
      <c r="S785" s="327"/>
    </row>
    <row r="786" spans="1:19" ht="15" customHeight="1">
      <c r="A786" s="561">
        <f t="shared" si="13"/>
        <v>786</v>
      </c>
      <c r="B786" s="31">
        <v>107</v>
      </c>
      <c r="C786" s="249" t="s">
        <v>289</v>
      </c>
      <c r="D786" s="320" t="s">
        <v>22</v>
      </c>
      <c r="E786" s="321"/>
      <c r="F786" s="322" t="s">
        <v>36</v>
      </c>
      <c r="G786" s="323" t="s">
        <v>1729</v>
      </c>
      <c r="H786" s="322" t="s">
        <v>160</v>
      </c>
      <c r="I786" s="324">
        <v>17.5</v>
      </c>
      <c r="J786" s="325"/>
      <c r="K786" s="325"/>
      <c r="L786" s="325">
        <v>62.2</v>
      </c>
      <c r="M786" s="325"/>
      <c r="N786" s="325"/>
      <c r="O786" s="326"/>
      <c r="P786" s="326">
        <f>I786</f>
        <v>17.5</v>
      </c>
      <c r="Q786" s="326"/>
      <c r="R786" s="326"/>
      <c r="S786" s="327"/>
    </row>
    <row r="787" spans="1:19" ht="15" customHeight="1">
      <c r="A787" s="561">
        <f t="shared" si="13"/>
        <v>787</v>
      </c>
      <c r="B787" s="31">
        <v>107</v>
      </c>
      <c r="C787" s="249" t="s">
        <v>289</v>
      </c>
      <c r="D787" s="320" t="s">
        <v>22</v>
      </c>
      <c r="E787" s="321"/>
      <c r="F787" s="322" t="s">
        <v>37</v>
      </c>
      <c r="G787" s="323" t="s">
        <v>1730</v>
      </c>
      <c r="H787" s="322" t="s">
        <v>160</v>
      </c>
      <c r="I787" s="324">
        <v>14</v>
      </c>
      <c r="J787" s="325"/>
      <c r="K787" s="325"/>
      <c r="L787" s="325">
        <v>58.3</v>
      </c>
      <c r="M787" s="325"/>
      <c r="N787" s="325"/>
      <c r="O787" s="326"/>
      <c r="P787" s="326">
        <f>I787</f>
        <v>14</v>
      </c>
      <c r="Q787" s="326"/>
      <c r="R787" s="326"/>
      <c r="S787" s="327"/>
    </row>
    <row r="788" spans="1:19" ht="15" customHeight="1">
      <c r="A788" s="561">
        <f t="shared" si="13"/>
        <v>788</v>
      </c>
      <c r="B788" s="31">
        <v>107</v>
      </c>
      <c r="C788" s="249" t="s">
        <v>289</v>
      </c>
      <c r="D788" s="320" t="s">
        <v>22</v>
      </c>
      <c r="E788" s="321"/>
      <c r="F788" s="322" t="s">
        <v>282</v>
      </c>
      <c r="G788" s="323" t="s">
        <v>1731</v>
      </c>
      <c r="H788" s="322" t="s">
        <v>160</v>
      </c>
      <c r="I788" s="324">
        <v>19.899999999999999</v>
      </c>
      <c r="J788" s="325"/>
      <c r="K788" s="325"/>
      <c r="L788" s="325"/>
      <c r="M788" s="325"/>
      <c r="N788" s="325">
        <v>27.6</v>
      </c>
      <c r="O788" s="326"/>
      <c r="P788" s="326"/>
      <c r="Q788" s="326">
        <f>I788</f>
        <v>19.899999999999999</v>
      </c>
      <c r="R788" s="326"/>
      <c r="S788" s="327"/>
    </row>
    <row r="789" spans="1:19" ht="15" customHeight="1">
      <c r="A789" s="561">
        <f t="shared" si="13"/>
        <v>789</v>
      </c>
      <c r="B789" s="31">
        <v>107</v>
      </c>
      <c r="C789" s="249" t="s">
        <v>289</v>
      </c>
      <c r="D789" s="320" t="s">
        <v>22</v>
      </c>
      <c r="E789" s="321"/>
      <c r="F789" s="322" t="s">
        <v>125</v>
      </c>
      <c r="G789" s="323" t="s">
        <v>1732</v>
      </c>
      <c r="H789" s="322" t="s">
        <v>1055</v>
      </c>
      <c r="I789" s="324">
        <v>2.8</v>
      </c>
      <c r="J789" s="325"/>
      <c r="K789" s="325"/>
      <c r="L789" s="325"/>
      <c r="M789" s="325">
        <v>11.5</v>
      </c>
      <c r="N789" s="325">
        <v>3.5</v>
      </c>
      <c r="O789" s="326"/>
      <c r="P789" s="326"/>
      <c r="Q789" s="326"/>
      <c r="R789" s="326">
        <f>I789</f>
        <v>2.8</v>
      </c>
      <c r="S789" s="327" t="s">
        <v>1056</v>
      </c>
    </row>
    <row r="790" spans="1:19" ht="15" customHeight="1">
      <c r="A790" s="561">
        <f t="shared" si="13"/>
        <v>790</v>
      </c>
      <c r="B790" s="31">
        <v>107</v>
      </c>
      <c r="C790" s="249" t="s">
        <v>289</v>
      </c>
      <c r="D790" s="320" t="s">
        <v>22</v>
      </c>
      <c r="E790" s="321"/>
      <c r="F790" s="322" t="s">
        <v>125</v>
      </c>
      <c r="G790" s="323" t="s">
        <v>1733</v>
      </c>
      <c r="H790" s="322" t="s">
        <v>1055</v>
      </c>
      <c r="I790" s="324">
        <v>2.8</v>
      </c>
      <c r="J790" s="325"/>
      <c r="K790" s="325"/>
      <c r="L790" s="325"/>
      <c r="M790" s="325">
        <v>11.5</v>
      </c>
      <c r="N790" s="325">
        <v>3.5</v>
      </c>
      <c r="O790" s="326"/>
      <c r="P790" s="326"/>
      <c r="Q790" s="326"/>
      <c r="R790" s="326">
        <f>I790</f>
        <v>2.8</v>
      </c>
      <c r="S790" s="327" t="s">
        <v>1056</v>
      </c>
    </row>
    <row r="791" spans="1:19" ht="15" customHeight="1">
      <c r="A791" s="561">
        <f t="shared" si="13"/>
        <v>791</v>
      </c>
      <c r="B791" s="31">
        <v>107</v>
      </c>
      <c r="C791" s="249" t="s">
        <v>289</v>
      </c>
      <c r="D791" s="320" t="s">
        <v>22</v>
      </c>
      <c r="E791" s="321"/>
      <c r="F791" s="322" t="s">
        <v>283</v>
      </c>
      <c r="G791" s="323" t="s">
        <v>1734</v>
      </c>
      <c r="H791" s="322" t="s">
        <v>176</v>
      </c>
      <c r="I791" s="324">
        <v>14.9</v>
      </c>
      <c r="J791" s="325"/>
      <c r="K791" s="325"/>
      <c r="L791" s="325"/>
      <c r="M791" s="325"/>
      <c r="N791" s="325">
        <v>56.800000000000004</v>
      </c>
      <c r="O791" s="326"/>
      <c r="P791" s="326"/>
      <c r="Q791" s="326">
        <f>I791</f>
        <v>14.9</v>
      </c>
      <c r="R791" s="326"/>
      <c r="S791" s="327"/>
    </row>
    <row r="792" spans="1:19" ht="15" customHeight="1">
      <c r="A792" s="561">
        <f t="shared" si="13"/>
        <v>792</v>
      </c>
      <c r="B792" s="31">
        <v>107</v>
      </c>
      <c r="C792" s="249" t="s">
        <v>289</v>
      </c>
      <c r="D792" s="320" t="s">
        <v>22</v>
      </c>
      <c r="E792" s="321"/>
      <c r="F792" s="322" t="s">
        <v>284</v>
      </c>
      <c r="G792" s="323" t="s">
        <v>1735</v>
      </c>
      <c r="H792" s="322" t="s">
        <v>109</v>
      </c>
      <c r="I792" s="324">
        <v>3.7</v>
      </c>
      <c r="J792" s="325"/>
      <c r="K792" s="325"/>
      <c r="L792" s="325">
        <v>27.400000000000002</v>
      </c>
      <c r="M792" s="325"/>
      <c r="N792" s="325"/>
      <c r="O792" s="326"/>
      <c r="P792" s="326">
        <f>I792</f>
        <v>3.7</v>
      </c>
      <c r="Q792" s="326"/>
      <c r="R792" s="326"/>
      <c r="S792" s="327"/>
    </row>
    <row r="793" spans="1:19" ht="15" customHeight="1">
      <c r="A793" s="561">
        <f t="shared" si="13"/>
        <v>793</v>
      </c>
      <c r="B793" s="31">
        <v>107</v>
      </c>
      <c r="C793" s="249" t="s">
        <v>289</v>
      </c>
      <c r="D793" s="320" t="s">
        <v>22</v>
      </c>
      <c r="E793" s="321"/>
      <c r="F793" s="322" t="s">
        <v>128</v>
      </c>
      <c r="G793" s="323" t="s">
        <v>1736</v>
      </c>
      <c r="H793" s="322" t="s">
        <v>12</v>
      </c>
      <c r="I793" s="324">
        <v>9.8000000000000007</v>
      </c>
      <c r="J793" s="325"/>
      <c r="K793" s="325"/>
      <c r="L793" s="325">
        <v>11.2</v>
      </c>
      <c r="M793" s="325"/>
      <c r="N793" s="325">
        <v>23</v>
      </c>
      <c r="O793" s="326"/>
      <c r="P793" s="326">
        <f>I793</f>
        <v>9.8000000000000007</v>
      </c>
      <c r="Q793" s="326"/>
      <c r="R793" s="326"/>
      <c r="S793" s="327"/>
    </row>
    <row r="794" spans="1:19" ht="15" customHeight="1">
      <c r="A794" s="561">
        <f t="shared" si="13"/>
        <v>794</v>
      </c>
      <c r="B794" s="31">
        <v>107</v>
      </c>
      <c r="C794" s="249" t="s">
        <v>289</v>
      </c>
      <c r="D794" s="320" t="s">
        <v>22</v>
      </c>
      <c r="E794" s="321"/>
      <c r="F794" s="322" t="s">
        <v>192</v>
      </c>
      <c r="G794" s="323" t="s">
        <v>1737</v>
      </c>
      <c r="H794" s="322" t="s">
        <v>160</v>
      </c>
      <c r="I794" s="324">
        <v>10.9</v>
      </c>
      <c r="J794" s="325"/>
      <c r="K794" s="325"/>
      <c r="L794" s="325">
        <v>51.800000000000004</v>
      </c>
      <c r="M794" s="325"/>
      <c r="N794" s="325"/>
      <c r="O794" s="326"/>
      <c r="P794" s="326">
        <f>I794</f>
        <v>10.9</v>
      </c>
      <c r="Q794" s="326"/>
      <c r="R794" s="326"/>
      <c r="S794" s="327"/>
    </row>
    <row r="795" spans="1:19" ht="15" customHeight="1">
      <c r="A795" s="561">
        <f t="shared" si="13"/>
        <v>795</v>
      </c>
      <c r="B795" s="31">
        <v>107</v>
      </c>
      <c r="C795" s="249" t="s">
        <v>289</v>
      </c>
      <c r="D795" s="320" t="s">
        <v>22</v>
      </c>
      <c r="E795" s="321"/>
      <c r="F795" s="322" t="s">
        <v>263</v>
      </c>
      <c r="G795" s="323" t="s">
        <v>1738</v>
      </c>
      <c r="H795" s="322" t="s">
        <v>176</v>
      </c>
      <c r="I795" s="324">
        <v>15.7</v>
      </c>
      <c r="J795" s="325">
        <v>9.4</v>
      </c>
      <c r="K795" s="325"/>
      <c r="L795" s="325"/>
      <c r="M795" s="325"/>
      <c r="N795" s="325">
        <v>14.8</v>
      </c>
      <c r="O795" s="326"/>
      <c r="P795" s="326"/>
      <c r="Q795" s="326">
        <f>I795</f>
        <v>15.7</v>
      </c>
      <c r="R795" s="326"/>
      <c r="S795" s="327" t="s">
        <v>288</v>
      </c>
    </row>
    <row r="796" spans="1:19" ht="15" customHeight="1">
      <c r="A796" s="561">
        <f t="shared" si="13"/>
        <v>796</v>
      </c>
      <c r="B796" s="31">
        <v>107</v>
      </c>
      <c r="C796" s="249" t="s">
        <v>289</v>
      </c>
      <c r="D796" s="320" t="s">
        <v>22</v>
      </c>
      <c r="E796" s="321"/>
      <c r="F796" s="322" t="s">
        <v>285</v>
      </c>
      <c r="G796" s="323" t="s">
        <v>1739</v>
      </c>
      <c r="H796" s="322" t="s">
        <v>19</v>
      </c>
      <c r="I796" s="324">
        <v>2.2999999999999998</v>
      </c>
      <c r="J796" s="325"/>
      <c r="K796" s="325"/>
      <c r="L796" s="325">
        <v>15.499999999999998</v>
      </c>
      <c r="M796" s="325"/>
      <c r="N796" s="325"/>
      <c r="O796" s="326"/>
      <c r="P796" s="326">
        <f>I796</f>
        <v>2.2999999999999998</v>
      </c>
      <c r="Q796" s="326"/>
      <c r="R796" s="326"/>
      <c r="S796" s="327"/>
    </row>
    <row r="797" spans="1:19" ht="15" customHeight="1">
      <c r="A797" s="561">
        <f t="shared" si="13"/>
        <v>797</v>
      </c>
      <c r="B797" s="31">
        <v>107</v>
      </c>
      <c r="C797" s="249" t="s">
        <v>289</v>
      </c>
      <c r="D797" s="320" t="s">
        <v>22</v>
      </c>
      <c r="E797" s="321"/>
      <c r="F797" s="322" t="s">
        <v>285</v>
      </c>
      <c r="G797" s="323" t="s">
        <v>1740</v>
      </c>
      <c r="H797" s="322" t="s">
        <v>19</v>
      </c>
      <c r="I797" s="324">
        <v>2.2000000000000002</v>
      </c>
      <c r="J797" s="325"/>
      <c r="K797" s="325"/>
      <c r="L797" s="325">
        <v>14.299999999999999</v>
      </c>
      <c r="M797" s="325"/>
      <c r="N797" s="325"/>
      <c r="O797" s="326"/>
      <c r="P797" s="326">
        <f>I797</f>
        <v>2.2000000000000002</v>
      </c>
      <c r="Q797" s="326"/>
      <c r="R797" s="326"/>
      <c r="S797" s="327"/>
    </row>
    <row r="798" spans="1:19" ht="15" customHeight="1">
      <c r="A798" s="561">
        <f t="shared" si="13"/>
        <v>798</v>
      </c>
      <c r="B798" s="31">
        <v>108</v>
      </c>
      <c r="C798" s="249" t="s">
        <v>255</v>
      </c>
      <c r="D798" s="320" t="s">
        <v>22</v>
      </c>
      <c r="E798" s="321"/>
      <c r="F798" s="322" t="s">
        <v>256</v>
      </c>
      <c r="G798" s="323" t="s">
        <v>1741</v>
      </c>
      <c r="H798" s="322" t="s">
        <v>160</v>
      </c>
      <c r="I798" s="324">
        <v>1452.88</v>
      </c>
      <c r="J798" s="325"/>
      <c r="K798" s="325"/>
      <c r="L798" s="325"/>
      <c r="M798" s="325"/>
      <c r="N798" s="325"/>
      <c r="O798" s="326">
        <f>49.49*10.2</f>
        <v>504.798</v>
      </c>
      <c r="P798" s="326"/>
      <c r="Q798" s="326"/>
      <c r="R798" s="326"/>
      <c r="S798" s="327"/>
    </row>
    <row r="799" spans="1:19" ht="15" customHeight="1">
      <c r="A799" s="561">
        <f t="shared" si="13"/>
        <v>799</v>
      </c>
      <c r="B799" s="31">
        <v>108</v>
      </c>
      <c r="C799" s="249" t="s">
        <v>255</v>
      </c>
      <c r="D799" s="320" t="s">
        <v>22</v>
      </c>
      <c r="E799" s="321"/>
      <c r="F799" s="322" t="s">
        <v>257</v>
      </c>
      <c r="G799" s="323" t="s">
        <v>1742</v>
      </c>
      <c r="H799" s="322" t="s">
        <v>160</v>
      </c>
      <c r="I799" s="324">
        <v>1460.63</v>
      </c>
      <c r="J799" s="325"/>
      <c r="K799" s="325"/>
      <c r="L799" s="325"/>
      <c r="M799" s="325"/>
      <c r="N799" s="325"/>
      <c r="O799" s="326">
        <f>49.49*10.2</f>
        <v>504.798</v>
      </c>
      <c r="P799" s="326"/>
      <c r="Q799" s="326"/>
      <c r="R799" s="326"/>
      <c r="S799" s="327"/>
    </row>
    <row r="800" spans="1:19" ht="15" customHeight="1">
      <c r="A800" s="561">
        <f t="shared" si="13"/>
        <v>800</v>
      </c>
      <c r="B800" s="31">
        <v>108</v>
      </c>
      <c r="C800" s="249" t="s">
        <v>255</v>
      </c>
      <c r="D800" s="320" t="s">
        <v>22</v>
      </c>
      <c r="E800" s="321"/>
      <c r="F800" s="322" t="s">
        <v>258</v>
      </c>
      <c r="G800" s="323" t="s">
        <v>1743</v>
      </c>
      <c r="H800" s="322" t="s">
        <v>68</v>
      </c>
      <c r="I800" s="324">
        <v>45.6</v>
      </c>
      <c r="J800" s="325"/>
      <c r="K800" s="325"/>
      <c r="L800" s="325"/>
      <c r="M800" s="325"/>
      <c r="N800" s="325"/>
      <c r="O800" s="326"/>
      <c r="P800" s="326"/>
      <c r="Q800" s="326"/>
      <c r="R800" s="326"/>
      <c r="S800" s="327"/>
    </row>
    <row r="801" spans="1:19" ht="15" customHeight="1">
      <c r="A801" s="561">
        <f t="shared" si="13"/>
        <v>801</v>
      </c>
      <c r="B801" s="31">
        <v>108</v>
      </c>
      <c r="C801" s="249" t="s">
        <v>255</v>
      </c>
      <c r="D801" s="320" t="s">
        <v>22</v>
      </c>
      <c r="E801" s="321"/>
      <c r="F801" s="322" t="s">
        <v>259</v>
      </c>
      <c r="G801" s="323" t="s">
        <v>1744</v>
      </c>
      <c r="H801" s="322" t="s">
        <v>68</v>
      </c>
      <c r="I801" s="324">
        <v>45.6</v>
      </c>
      <c r="J801" s="325"/>
      <c r="K801" s="325"/>
      <c r="L801" s="325"/>
      <c r="M801" s="325"/>
      <c r="N801" s="325"/>
      <c r="O801" s="326"/>
      <c r="P801" s="326"/>
      <c r="Q801" s="326"/>
      <c r="R801" s="326"/>
      <c r="S801" s="327"/>
    </row>
    <row r="802" spans="1:19" ht="15" customHeight="1">
      <c r="A802" s="561">
        <f t="shared" si="13"/>
        <v>802</v>
      </c>
      <c r="B802" s="31">
        <v>108</v>
      </c>
      <c r="C802" s="249" t="s">
        <v>255</v>
      </c>
      <c r="D802" s="320" t="s">
        <v>22</v>
      </c>
      <c r="E802" s="321"/>
      <c r="F802" s="322" t="s">
        <v>260</v>
      </c>
      <c r="G802" s="323" t="s">
        <v>1745</v>
      </c>
      <c r="H802" s="322" t="s">
        <v>1324</v>
      </c>
      <c r="I802" s="324">
        <v>27.6</v>
      </c>
      <c r="J802" s="325"/>
      <c r="K802" s="325"/>
      <c r="L802" s="325"/>
      <c r="M802" s="325"/>
      <c r="N802" s="325"/>
      <c r="O802" s="326"/>
      <c r="P802" s="326"/>
      <c r="Q802" s="326"/>
      <c r="R802" s="326"/>
      <c r="S802" s="327"/>
    </row>
    <row r="803" spans="1:19" ht="15" customHeight="1">
      <c r="A803" s="561">
        <f t="shared" si="13"/>
        <v>803</v>
      </c>
      <c r="B803" s="31">
        <v>108</v>
      </c>
      <c r="C803" s="249" t="s">
        <v>255</v>
      </c>
      <c r="D803" s="320" t="s">
        <v>22</v>
      </c>
      <c r="E803" s="321"/>
      <c r="F803" s="322" t="s">
        <v>261</v>
      </c>
      <c r="G803" s="323" t="s">
        <v>1746</v>
      </c>
      <c r="H803" s="322" t="s">
        <v>1324</v>
      </c>
      <c r="I803" s="324">
        <v>27.68</v>
      </c>
      <c r="J803" s="325"/>
      <c r="K803" s="325"/>
      <c r="L803" s="325"/>
      <c r="M803" s="325"/>
      <c r="N803" s="325"/>
      <c r="O803" s="326"/>
      <c r="P803" s="326"/>
      <c r="Q803" s="326"/>
      <c r="R803" s="326"/>
      <c r="S803" s="327"/>
    </row>
    <row r="804" spans="1:19" ht="15" customHeight="1">
      <c r="A804" s="561">
        <f t="shared" si="13"/>
        <v>804</v>
      </c>
      <c r="B804" s="31">
        <v>108</v>
      </c>
      <c r="C804" s="249" t="s">
        <v>255</v>
      </c>
      <c r="D804" s="320" t="s">
        <v>22</v>
      </c>
      <c r="E804" s="321"/>
      <c r="F804" s="322" t="s">
        <v>143</v>
      </c>
      <c r="G804" s="323" t="s">
        <v>1747</v>
      </c>
      <c r="H804" s="322" t="s">
        <v>109</v>
      </c>
      <c r="I804" s="324">
        <v>338.83</v>
      </c>
      <c r="J804" s="325"/>
      <c r="K804" s="325"/>
      <c r="L804" s="325"/>
      <c r="M804" s="325"/>
      <c r="N804" s="325">
        <v>975</v>
      </c>
      <c r="O804" s="326"/>
      <c r="P804" s="326"/>
      <c r="Q804" s="326">
        <f>I804</f>
        <v>338.83</v>
      </c>
      <c r="R804" s="326"/>
      <c r="S804" s="327" t="s">
        <v>278</v>
      </c>
    </row>
    <row r="805" spans="1:19" ht="15" customHeight="1">
      <c r="A805" s="561">
        <f t="shared" si="13"/>
        <v>805</v>
      </c>
      <c r="B805" s="31">
        <v>108</v>
      </c>
      <c r="C805" s="249" t="s">
        <v>255</v>
      </c>
      <c r="D805" s="320" t="s">
        <v>22</v>
      </c>
      <c r="E805" s="321"/>
      <c r="F805" s="322" t="s">
        <v>111</v>
      </c>
      <c r="G805" s="323" t="s">
        <v>1748</v>
      </c>
      <c r="H805" s="322" t="s">
        <v>109</v>
      </c>
      <c r="I805" s="324">
        <v>13.88</v>
      </c>
      <c r="J805" s="325"/>
      <c r="K805" s="325"/>
      <c r="L805" s="325">
        <v>8.1999999999999993</v>
      </c>
      <c r="M805" s="325"/>
      <c r="N805" s="325">
        <v>24.7</v>
      </c>
      <c r="O805" s="326"/>
      <c r="P805" s="326"/>
      <c r="Q805" s="326">
        <f>I805</f>
        <v>13.88</v>
      </c>
      <c r="R805" s="326"/>
      <c r="S805" s="327"/>
    </row>
    <row r="806" spans="1:19" ht="15" customHeight="1">
      <c r="A806" s="561">
        <f t="shared" si="13"/>
        <v>806</v>
      </c>
      <c r="B806" s="31">
        <v>108</v>
      </c>
      <c r="C806" s="249" t="s">
        <v>255</v>
      </c>
      <c r="D806" s="320" t="s">
        <v>22</v>
      </c>
      <c r="E806" s="321"/>
      <c r="F806" s="322" t="s">
        <v>41</v>
      </c>
      <c r="G806" s="323" t="s">
        <v>1749</v>
      </c>
      <c r="H806" s="322" t="s">
        <v>160</v>
      </c>
      <c r="I806" s="324">
        <v>7.3</v>
      </c>
      <c r="J806" s="325"/>
      <c r="K806" s="325"/>
      <c r="L806" s="325"/>
      <c r="M806" s="325"/>
      <c r="N806" s="325">
        <v>22.900000000000002</v>
      </c>
      <c r="O806" s="326"/>
      <c r="P806" s="326"/>
      <c r="Q806" s="326">
        <f>I806</f>
        <v>7.3</v>
      </c>
      <c r="R806" s="326"/>
      <c r="S806" s="327"/>
    </row>
    <row r="807" spans="1:19" ht="15" customHeight="1">
      <c r="A807" s="561">
        <f t="shared" si="13"/>
        <v>807</v>
      </c>
      <c r="B807" s="31">
        <v>108</v>
      </c>
      <c r="C807" s="249" t="s">
        <v>255</v>
      </c>
      <c r="D807" s="320" t="s">
        <v>22</v>
      </c>
      <c r="E807" s="321"/>
      <c r="F807" s="322" t="s">
        <v>119</v>
      </c>
      <c r="G807" s="323" t="s">
        <v>1750</v>
      </c>
      <c r="H807" s="322" t="s">
        <v>160</v>
      </c>
      <c r="I807" s="324">
        <v>4.3</v>
      </c>
      <c r="J807" s="325"/>
      <c r="K807" s="325"/>
      <c r="L807" s="325"/>
      <c r="M807" s="325"/>
      <c r="N807" s="325">
        <v>26.3</v>
      </c>
      <c r="O807" s="326"/>
      <c r="P807" s="326"/>
      <c r="Q807" s="326">
        <f>I807</f>
        <v>4.3</v>
      </c>
      <c r="R807" s="326"/>
      <c r="S807" s="327"/>
    </row>
    <row r="808" spans="1:19" ht="15" customHeight="1">
      <c r="A808" s="561">
        <f t="shared" si="13"/>
        <v>808</v>
      </c>
      <c r="B808" s="31">
        <v>108</v>
      </c>
      <c r="C808" s="249" t="s">
        <v>255</v>
      </c>
      <c r="D808" s="320" t="s">
        <v>22</v>
      </c>
      <c r="E808" s="321"/>
      <c r="F808" s="322" t="s">
        <v>262</v>
      </c>
      <c r="G808" s="323" t="s">
        <v>1751</v>
      </c>
      <c r="H808" s="322" t="s">
        <v>176</v>
      </c>
      <c r="I808" s="324">
        <v>26.18</v>
      </c>
      <c r="J808" s="325">
        <v>1.4</v>
      </c>
      <c r="K808" s="325"/>
      <c r="L808" s="325"/>
      <c r="M808" s="325"/>
      <c r="N808" s="325">
        <v>47.5</v>
      </c>
      <c r="O808" s="326"/>
      <c r="P808" s="326"/>
      <c r="Q808" s="326">
        <f>I808</f>
        <v>26.18</v>
      </c>
      <c r="R808" s="326"/>
      <c r="S808" s="327"/>
    </row>
    <row r="809" spans="1:19" ht="15" customHeight="1">
      <c r="A809" s="561">
        <f t="shared" si="13"/>
        <v>809</v>
      </c>
      <c r="B809" s="31">
        <v>108</v>
      </c>
      <c r="C809" s="249" t="s">
        <v>255</v>
      </c>
      <c r="D809" s="320" t="s">
        <v>22</v>
      </c>
      <c r="E809" s="321"/>
      <c r="F809" s="322" t="s">
        <v>121</v>
      </c>
      <c r="G809" s="323" t="s">
        <v>1752</v>
      </c>
      <c r="H809" s="322" t="s">
        <v>148</v>
      </c>
      <c r="I809" s="324">
        <v>3.17</v>
      </c>
      <c r="J809" s="325">
        <v>16.8</v>
      </c>
      <c r="K809" s="325"/>
      <c r="L809" s="325"/>
      <c r="M809" s="325"/>
      <c r="N809" s="325"/>
      <c r="O809" s="326"/>
      <c r="P809" s="326"/>
      <c r="Q809" s="326"/>
      <c r="R809" s="326">
        <f>I809</f>
        <v>3.17</v>
      </c>
      <c r="S809" s="327"/>
    </row>
    <row r="810" spans="1:19" ht="15" customHeight="1">
      <c r="A810" s="561">
        <f t="shared" si="13"/>
        <v>810</v>
      </c>
      <c r="B810" s="31">
        <v>108</v>
      </c>
      <c r="C810" s="249" t="s">
        <v>255</v>
      </c>
      <c r="D810" s="320" t="s">
        <v>22</v>
      </c>
      <c r="E810" s="321"/>
      <c r="F810" s="322" t="s">
        <v>120</v>
      </c>
      <c r="G810" s="323" t="s">
        <v>1753</v>
      </c>
      <c r="H810" s="322" t="s">
        <v>148</v>
      </c>
      <c r="I810" s="324">
        <v>3.17</v>
      </c>
      <c r="J810" s="325">
        <v>16.8</v>
      </c>
      <c r="K810" s="325"/>
      <c r="L810" s="325"/>
      <c r="M810" s="325"/>
      <c r="N810" s="325"/>
      <c r="O810" s="326"/>
      <c r="P810" s="326"/>
      <c r="Q810" s="326"/>
      <c r="R810" s="326">
        <f>I810</f>
        <v>3.17</v>
      </c>
      <c r="S810" s="327"/>
    </row>
    <row r="811" spans="1:19" ht="15" customHeight="1">
      <c r="A811" s="561">
        <f t="shared" si="13"/>
        <v>811</v>
      </c>
      <c r="B811" s="31">
        <v>108</v>
      </c>
      <c r="C811" s="249" t="s">
        <v>255</v>
      </c>
      <c r="D811" s="320" t="s">
        <v>22</v>
      </c>
      <c r="E811" s="321"/>
      <c r="F811" s="322" t="s">
        <v>127</v>
      </c>
      <c r="G811" s="323" t="s">
        <v>1754</v>
      </c>
      <c r="H811" s="322" t="s">
        <v>176</v>
      </c>
      <c r="I811" s="324">
        <v>6.22</v>
      </c>
      <c r="J811" s="325"/>
      <c r="K811" s="325"/>
      <c r="L811" s="325">
        <v>30</v>
      </c>
      <c r="M811" s="325"/>
      <c r="N811" s="325"/>
      <c r="O811" s="326"/>
      <c r="P811" s="326"/>
      <c r="Q811" s="326"/>
      <c r="R811" s="326"/>
      <c r="S811" s="327"/>
    </row>
    <row r="812" spans="1:19" ht="15" customHeight="1">
      <c r="A812" s="561">
        <f t="shared" si="13"/>
        <v>812</v>
      </c>
      <c r="B812" s="31">
        <v>108</v>
      </c>
      <c r="C812" s="249" t="s">
        <v>255</v>
      </c>
      <c r="D812" s="320" t="s">
        <v>22</v>
      </c>
      <c r="E812" s="321"/>
      <c r="F812" s="322" t="s">
        <v>263</v>
      </c>
      <c r="G812" s="323" t="s">
        <v>1755</v>
      </c>
      <c r="H812" s="322" t="s">
        <v>176</v>
      </c>
      <c r="I812" s="324">
        <v>12.81</v>
      </c>
      <c r="J812" s="325"/>
      <c r="K812" s="325"/>
      <c r="L812" s="325"/>
      <c r="M812" s="325"/>
      <c r="N812" s="325">
        <v>19.5</v>
      </c>
      <c r="O812" s="326"/>
      <c r="P812" s="326"/>
      <c r="Q812" s="326">
        <f>I812</f>
        <v>12.81</v>
      </c>
      <c r="R812" s="326"/>
      <c r="S812" s="327"/>
    </row>
    <row r="813" spans="1:19" ht="15" customHeight="1">
      <c r="A813" s="561">
        <f t="shared" si="13"/>
        <v>813</v>
      </c>
      <c r="B813" s="31">
        <v>108</v>
      </c>
      <c r="C813" s="249" t="s">
        <v>255</v>
      </c>
      <c r="D813" s="320" t="s">
        <v>22</v>
      </c>
      <c r="E813" s="321"/>
      <c r="F813" s="322" t="s">
        <v>111</v>
      </c>
      <c r="G813" s="323" t="s">
        <v>1725</v>
      </c>
      <c r="H813" s="322" t="s">
        <v>1327</v>
      </c>
      <c r="I813" s="324">
        <v>51.35</v>
      </c>
      <c r="J813" s="325"/>
      <c r="K813" s="325"/>
      <c r="L813" s="325"/>
      <c r="M813" s="325"/>
      <c r="N813" s="325">
        <v>96.9</v>
      </c>
      <c r="O813" s="326"/>
      <c r="P813" s="326"/>
      <c r="Q813" s="326">
        <f>I813</f>
        <v>51.35</v>
      </c>
      <c r="R813" s="326"/>
      <c r="S813" s="327"/>
    </row>
    <row r="814" spans="1:19" ht="15" customHeight="1">
      <c r="A814" s="561">
        <f t="shared" si="13"/>
        <v>814</v>
      </c>
      <c r="B814" s="31">
        <v>108</v>
      </c>
      <c r="C814" s="249" t="s">
        <v>255</v>
      </c>
      <c r="D814" s="320" t="s">
        <v>22</v>
      </c>
      <c r="E814" s="321"/>
      <c r="F814" s="322" t="s">
        <v>264</v>
      </c>
      <c r="G814" s="323" t="s">
        <v>1756</v>
      </c>
      <c r="H814" s="322" t="s">
        <v>176</v>
      </c>
      <c r="I814" s="324">
        <v>22.2</v>
      </c>
      <c r="J814" s="325"/>
      <c r="K814" s="325"/>
      <c r="L814" s="325"/>
      <c r="M814" s="325"/>
      <c r="N814" s="325">
        <v>63.6</v>
      </c>
      <c r="O814" s="326"/>
      <c r="P814" s="326"/>
      <c r="Q814" s="326">
        <f>I814</f>
        <v>22.2</v>
      </c>
      <c r="R814" s="326"/>
      <c r="S814" s="327"/>
    </row>
    <row r="815" spans="1:19" ht="15" customHeight="1">
      <c r="A815" s="561">
        <f t="shared" si="13"/>
        <v>815</v>
      </c>
      <c r="B815" s="31">
        <v>108</v>
      </c>
      <c r="C815" s="249" t="s">
        <v>255</v>
      </c>
      <c r="D815" s="320" t="s">
        <v>22</v>
      </c>
      <c r="E815" s="321"/>
      <c r="F815" s="322" t="s">
        <v>115</v>
      </c>
      <c r="G815" s="323" t="s">
        <v>1728</v>
      </c>
      <c r="H815" s="322" t="s">
        <v>176</v>
      </c>
      <c r="I815" s="324">
        <v>22.2</v>
      </c>
      <c r="J815" s="325"/>
      <c r="K815" s="325"/>
      <c r="L815" s="325"/>
      <c r="M815" s="325"/>
      <c r="N815" s="325">
        <v>63.6</v>
      </c>
      <c r="O815" s="326"/>
      <c r="P815" s="326"/>
      <c r="Q815" s="326">
        <f>I815</f>
        <v>22.2</v>
      </c>
      <c r="R815" s="326"/>
      <c r="S815" s="327"/>
    </row>
    <row r="816" spans="1:19" ht="15" customHeight="1">
      <c r="A816" s="561">
        <f t="shared" si="13"/>
        <v>816</v>
      </c>
      <c r="B816" s="31">
        <v>108</v>
      </c>
      <c r="C816" s="249" t="s">
        <v>255</v>
      </c>
      <c r="D816" s="320" t="s">
        <v>22</v>
      </c>
      <c r="E816" s="321"/>
      <c r="F816" s="322" t="s">
        <v>36</v>
      </c>
      <c r="G816" s="323" t="s">
        <v>1729</v>
      </c>
      <c r="H816" s="322" t="s">
        <v>160</v>
      </c>
      <c r="I816" s="324">
        <v>32.700000000000003</v>
      </c>
      <c r="J816" s="325"/>
      <c r="K816" s="325"/>
      <c r="L816" s="325">
        <v>47.4</v>
      </c>
      <c r="M816" s="325"/>
      <c r="N816" s="325"/>
      <c r="O816" s="326"/>
      <c r="P816" s="326">
        <f>I816</f>
        <v>32.700000000000003</v>
      </c>
      <c r="Q816" s="326"/>
      <c r="R816" s="326"/>
      <c r="S816" s="327"/>
    </row>
    <row r="817" spans="1:19" ht="15" customHeight="1">
      <c r="A817" s="561">
        <f t="shared" si="13"/>
        <v>817</v>
      </c>
      <c r="B817" s="31">
        <v>108</v>
      </c>
      <c r="C817" s="249" t="s">
        <v>255</v>
      </c>
      <c r="D817" s="320" t="s">
        <v>22</v>
      </c>
      <c r="E817" s="321"/>
      <c r="F817" s="322" t="s">
        <v>37</v>
      </c>
      <c r="G817" s="323" t="s">
        <v>1730</v>
      </c>
      <c r="H817" s="322" t="s">
        <v>160</v>
      </c>
      <c r="I817" s="324">
        <v>17.899999999999999</v>
      </c>
      <c r="J817" s="325"/>
      <c r="K817" s="325"/>
      <c r="L817" s="325"/>
      <c r="M817" s="325"/>
      <c r="N817" s="325"/>
      <c r="O817" s="326"/>
      <c r="P817" s="326">
        <f>I817</f>
        <v>17.899999999999999</v>
      </c>
      <c r="Q817" s="326"/>
      <c r="R817" s="326"/>
      <c r="S817" s="327"/>
    </row>
    <row r="818" spans="1:19" ht="15" customHeight="1">
      <c r="A818" s="561">
        <f t="shared" si="13"/>
        <v>818</v>
      </c>
      <c r="B818" s="31">
        <v>108</v>
      </c>
      <c r="C818" s="249" t="s">
        <v>255</v>
      </c>
      <c r="D818" s="320" t="s">
        <v>22</v>
      </c>
      <c r="E818" s="321"/>
      <c r="F818" s="322" t="s">
        <v>265</v>
      </c>
      <c r="G818" s="323" t="s">
        <v>1757</v>
      </c>
      <c r="H818" s="322" t="s">
        <v>319</v>
      </c>
      <c r="I818" s="324">
        <v>7.2</v>
      </c>
      <c r="J818" s="325"/>
      <c r="K818" s="325"/>
      <c r="L818" s="325"/>
      <c r="M818" s="325"/>
      <c r="N818" s="325"/>
      <c r="O818" s="326"/>
      <c r="P818" s="326">
        <f>I818</f>
        <v>7.2</v>
      </c>
      <c r="Q818" s="326"/>
      <c r="R818" s="326"/>
      <c r="S818" s="327"/>
    </row>
    <row r="819" spans="1:19" ht="15" customHeight="1">
      <c r="A819" s="561">
        <f t="shared" si="13"/>
        <v>819</v>
      </c>
      <c r="B819" s="31">
        <v>108</v>
      </c>
      <c r="C819" s="249" t="s">
        <v>255</v>
      </c>
      <c r="D819" s="320" t="s">
        <v>22</v>
      </c>
      <c r="E819" s="321"/>
      <c r="F819" s="322" t="s">
        <v>266</v>
      </c>
      <c r="G819" s="323" t="s">
        <v>1758</v>
      </c>
      <c r="H819" s="322" t="s">
        <v>160</v>
      </c>
      <c r="I819" s="324">
        <v>36.69</v>
      </c>
      <c r="J819" s="325"/>
      <c r="K819" s="325"/>
      <c r="L819" s="325"/>
      <c r="M819" s="325"/>
      <c r="N819" s="325">
        <v>136</v>
      </c>
      <c r="O819" s="326"/>
      <c r="P819" s="326"/>
      <c r="Q819" s="326">
        <f>I819</f>
        <v>36.69</v>
      </c>
      <c r="R819" s="326"/>
      <c r="S819" s="327"/>
    </row>
    <row r="820" spans="1:19" ht="15" customHeight="1">
      <c r="A820" s="561">
        <f t="shared" si="13"/>
        <v>820</v>
      </c>
      <c r="B820" s="31">
        <v>108</v>
      </c>
      <c r="C820" s="249" t="s">
        <v>255</v>
      </c>
      <c r="D820" s="320" t="s">
        <v>22</v>
      </c>
      <c r="E820" s="321"/>
      <c r="F820" s="322" t="s">
        <v>267</v>
      </c>
      <c r="G820" s="323" t="s">
        <v>1759</v>
      </c>
      <c r="H820" s="322" t="s">
        <v>109</v>
      </c>
      <c r="I820" s="324">
        <v>6.65</v>
      </c>
      <c r="J820" s="325"/>
      <c r="K820" s="325"/>
      <c r="L820" s="325"/>
      <c r="M820" s="325"/>
      <c r="N820" s="325">
        <v>34.800000000000004</v>
      </c>
      <c r="O820" s="326"/>
      <c r="P820" s="326"/>
      <c r="Q820" s="326">
        <f>I820</f>
        <v>6.65</v>
      </c>
      <c r="R820" s="326"/>
      <c r="S820" s="327"/>
    </row>
    <row r="821" spans="1:19" ht="15" customHeight="1">
      <c r="A821" s="561">
        <f t="shared" si="13"/>
        <v>821</v>
      </c>
      <c r="B821" s="31">
        <v>108</v>
      </c>
      <c r="C821" s="249" t="s">
        <v>255</v>
      </c>
      <c r="D821" s="320" t="s">
        <v>22</v>
      </c>
      <c r="E821" s="321"/>
      <c r="F821" s="322" t="s">
        <v>268</v>
      </c>
      <c r="G821" s="323" t="s">
        <v>1760</v>
      </c>
      <c r="H821" s="322" t="s">
        <v>160</v>
      </c>
      <c r="I821" s="324">
        <v>38.04</v>
      </c>
      <c r="J821" s="325"/>
      <c r="K821" s="325"/>
      <c r="L821" s="325"/>
      <c r="M821" s="325"/>
      <c r="N821" s="325">
        <v>136</v>
      </c>
      <c r="O821" s="326"/>
      <c r="P821" s="326"/>
      <c r="Q821" s="326">
        <f>I821</f>
        <v>38.04</v>
      </c>
      <c r="R821" s="326"/>
      <c r="S821" s="327"/>
    </row>
    <row r="822" spans="1:19" ht="15" customHeight="1">
      <c r="A822" s="561">
        <f t="shared" si="13"/>
        <v>822</v>
      </c>
      <c r="B822" s="31">
        <v>108</v>
      </c>
      <c r="C822" s="249" t="s">
        <v>255</v>
      </c>
      <c r="D822" s="320" t="s">
        <v>22</v>
      </c>
      <c r="E822" s="321"/>
      <c r="F822" s="322" t="s">
        <v>269</v>
      </c>
      <c r="G822" s="323" t="s">
        <v>1761</v>
      </c>
      <c r="H822" s="322" t="s">
        <v>109</v>
      </c>
      <c r="I822" s="324">
        <v>6.88</v>
      </c>
      <c r="J822" s="325"/>
      <c r="K822" s="325"/>
      <c r="L822" s="325"/>
      <c r="M822" s="325"/>
      <c r="N822" s="325">
        <v>34.800000000000004</v>
      </c>
      <c r="O822" s="326"/>
      <c r="P822" s="326"/>
      <c r="Q822" s="326">
        <f>I822</f>
        <v>6.88</v>
      </c>
      <c r="R822" s="326"/>
      <c r="S822" s="327"/>
    </row>
    <row r="823" spans="1:19" ht="15" customHeight="1">
      <c r="A823" s="561">
        <f t="shared" si="13"/>
        <v>823</v>
      </c>
      <c r="B823" s="31">
        <v>108</v>
      </c>
      <c r="C823" s="249" t="s">
        <v>255</v>
      </c>
      <c r="D823" s="320" t="s">
        <v>22</v>
      </c>
      <c r="E823" s="321"/>
      <c r="F823" s="322" t="s">
        <v>270</v>
      </c>
      <c r="G823" s="323" t="s">
        <v>1762</v>
      </c>
      <c r="H823" s="322" t="s">
        <v>1055</v>
      </c>
      <c r="I823" s="324">
        <v>2.8</v>
      </c>
      <c r="J823" s="325"/>
      <c r="K823" s="325"/>
      <c r="L823" s="325"/>
      <c r="M823" s="325">
        <v>11.5</v>
      </c>
      <c r="N823" s="325">
        <v>3.5</v>
      </c>
      <c r="O823" s="326"/>
      <c r="P823" s="326"/>
      <c r="Q823" s="326"/>
      <c r="R823" s="326">
        <f>I823</f>
        <v>2.8</v>
      </c>
      <c r="S823" s="327" t="s">
        <v>1056</v>
      </c>
    </row>
    <row r="824" spans="1:19" ht="15" customHeight="1">
      <c r="A824" s="561">
        <f t="shared" si="13"/>
        <v>824</v>
      </c>
      <c r="B824" s="31">
        <v>108</v>
      </c>
      <c r="C824" s="249" t="s">
        <v>255</v>
      </c>
      <c r="D824" s="320" t="s">
        <v>22</v>
      </c>
      <c r="E824" s="321"/>
      <c r="F824" s="322" t="s">
        <v>271</v>
      </c>
      <c r="G824" s="323" t="s">
        <v>1763</v>
      </c>
      <c r="H824" s="322" t="s">
        <v>1055</v>
      </c>
      <c r="I824" s="324">
        <v>2.8</v>
      </c>
      <c r="J824" s="325"/>
      <c r="K824" s="325"/>
      <c r="L824" s="325"/>
      <c r="M824" s="325">
        <v>11.5</v>
      </c>
      <c r="N824" s="325">
        <v>3.5</v>
      </c>
      <c r="O824" s="326"/>
      <c r="P824" s="326"/>
      <c r="Q824" s="326"/>
      <c r="R824" s="326">
        <f>I824</f>
        <v>2.8</v>
      </c>
      <c r="S824" s="327" t="s">
        <v>1056</v>
      </c>
    </row>
    <row r="825" spans="1:19" ht="15" customHeight="1">
      <c r="A825" s="561">
        <f t="shared" si="13"/>
        <v>825</v>
      </c>
      <c r="B825" s="31">
        <v>108</v>
      </c>
      <c r="C825" s="249" t="s">
        <v>255</v>
      </c>
      <c r="D825" s="320" t="s">
        <v>22</v>
      </c>
      <c r="E825" s="321"/>
      <c r="F825" s="322" t="s">
        <v>272</v>
      </c>
      <c r="G825" s="323" t="s">
        <v>1764</v>
      </c>
      <c r="H825" s="322" t="s">
        <v>1055</v>
      </c>
      <c r="I825" s="324">
        <v>2.8</v>
      </c>
      <c r="J825" s="325"/>
      <c r="K825" s="325"/>
      <c r="L825" s="325"/>
      <c r="M825" s="325">
        <v>11.5</v>
      </c>
      <c r="N825" s="325">
        <v>3.5</v>
      </c>
      <c r="O825" s="326"/>
      <c r="P825" s="326"/>
      <c r="Q825" s="326"/>
      <c r="R825" s="326">
        <f>I825</f>
        <v>2.8</v>
      </c>
      <c r="S825" s="327" t="s">
        <v>1056</v>
      </c>
    </row>
    <row r="826" spans="1:19" ht="15" customHeight="1">
      <c r="A826" s="561">
        <f t="shared" si="13"/>
        <v>826</v>
      </c>
      <c r="B826" s="31">
        <v>108</v>
      </c>
      <c r="C826" s="249" t="s">
        <v>255</v>
      </c>
      <c r="D826" s="320" t="s">
        <v>22</v>
      </c>
      <c r="E826" s="321"/>
      <c r="F826" s="322" t="s">
        <v>273</v>
      </c>
      <c r="G826" s="323" t="s">
        <v>1765</v>
      </c>
      <c r="H826" s="322" t="s">
        <v>109</v>
      </c>
      <c r="I826" s="324">
        <v>6.7</v>
      </c>
      <c r="J826" s="325"/>
      <c r="K826" s="325"/>
      <c r="L826" s="325"/>
      <c r="M826" s="325"/>
      <c r="N826" s="325">
        <v>26.4</v>
      </c>
      <c r="O826" s="326"/>
      <c r="P826" s="326"/>
      <c r="Q826" s="326">
        <f>I826</f>
        <v>6.7</v>
      </c>
      <c r="R826" s="326"/>
      <c r="S826" s="327"/>
    </row>
    <row r="827" spans="1:19" ht="15" customHeight="1">
      <c r="A827" s="561">
        <f t="shared" si="13"/>
        <v>827</v>
      </c>
      <c r="B827" s="31">
        <v>108</v>
      </c>
      <c r="C827" s="249" t="s">
        <v>255</v>
      </c>
      <c r="D827" s="320" t="s">
        <v>22</v>
      </c>
      <c r="E827" s="321"/>
      <c r="F827" s="322" t="s">
        <v>274</v>
      </c>
      <c r="G827" s="323" t="s">
        <v>1735</v>
      </c>
      <c r="H827" s="322" t="s">
        <v>1327</v>
      </c>
      <c r="I827" s="324">
        <v>62.31</v>
      </c>
      <c r="J827" s="325"/>
      <c r="K827" s="325"/>
      <c r="L827" s="325"/>
      <c r="M827" s="325"/>
      <c r="N827" s="325"/>
      <c r="O827" s="326"/>
      <c r="P827" s="326">
        <f>I827</f>
        <v>62.31</v>
      </c>
      <c r="Q827" s="326"/>
      <c r="R827" s="326"/>
      <c r="S827" s="327" t="s">
        <v>279</v>
      </c>
    </row>
    <row r="828" spans="1:19" ht="15" customHeight="1">
      <c r="A828" s="561">
        <f t="shared" si="13"/>
        <v>828</v>
      </c>
      <c r="B828" s="31">
        <v>108</v>
      </c>
      <c r="C828" s="249" t="s">
        <v>255</v>
      </c>
      <c r="D828" s="320" t="s">
        <v>22</v>
      </c>
      <c r="E828" s="321"/>
      <c r="F828" s="322" t="s">
        <v>275</v>
      </c>
      <c r="G828" s="323" t="s">
        <v>1766</v>
      </c>
      <c r="H828" s="322" t="s">
        <v>277</v>
      </c>
      <c r="I828" s="324">
        <v>0.52</v>
      </c>
      <c r="J828" s="325"/>
      <c r="K828" s="325"/>
      <c r="L828" s="325">
        <v>8.6999999999999993</v>
      </c>
      <c r="M828" s="325"/>
      <c r="N828" s="325"/>
      <c r="O828" s="326"/>
      <c r="P828" s="326">
        <f>I828</f>
        <v>0.52</v>
      </c>
      <c r="Q828" s="326"/>
      <c r="R828" s="326"/>
      <c r="S828" s="327"/>
    </row>
    <row r="829" spans="1:19" ht="15" customHeight="1">
      <c r="A829" s="561">
        <f t="shared" si="13"/>
        <v>829</v>
      </c>
      <c r="B829" s="31">
        <v>108</v>
      </c>
      <c r="C829" s="249" t="s">
        <v>255</v>
      </c>
      <c r="D829" s="320" t="s">
        <v>22</v>
      </c>
      <c r="E829" s="321"/>
      <c r="F829" s="322" t="s">
        <v>276</v>
      </c>
      <c r="G829" s="323" t="s">
        <v>169</v>
      </c>
      <c r="H829" s="322" t="s">
        <v>68</v>
      </c>
      <c r="I829" s="324">
        <v>21.4</v>
      </c>
      <c r="J829" s="325"/>
      <c r="K829" s="325"/>
      <c r="L829" s="325"/>
      <c r="M829" s="325"/>
      <c r="N829" s="325"/>
      <c r="O829" s="326"/>
      <c r="P829" s="326"/>
      <c r="Q829" s="326"/>
      <c r="R829" s="326"/>
      <c r="S829" s="327"/>
    </row>
    <row r="830" spans="1:19" ht="15" customHeight="1">
      <c r="A830" s="561">
        <f t="shared" si="13"/>
        <v>830</v>
      </c>
      <c r="B830" s="31">
        <v>109</v>
      </c>
      <c r="C830" s="249" t="s">
        <v>853</v>
      </c>
      <c r="D830" s="320" t="s">
        <v>22</v>
      </c>
      <c r="E830" s="321"/>
      <c r="F830" s="322" t="s">
        <v>1041</v>
      </c>
      <c r="G830" s="323" t="s">
        <v>1767</v>
      </c>
      <c r="H830" s="322" t="s">
        <v>160</v>
      </c>
      <c r="I830" s="324">
        <v>15</v>
      </c>
      <c r="J830" s="325"/>
      <c r="K830" s="325"/>
      <c r="L830" s="325">
        <v>42</v>
      </c>
      <c r="M830" s="325"/>
      <c r="N830" s="325"/>
      <c r="O830" s="326"/>
      <c r="P830" s="326"/>
      <c r="Q830" s="326">
        <v>15</v>
      </c>
      <c r="R830" s="326"/>
      <c r="S830" s="327"/>
    </row>
    <row r="831" spans="1:19" ht="15" customHeight="1">
      <c r="A831" s="561">
        <f t="shared" si="13"/>
        <v>831</v>
      </c>
      <c r="B831" s="31">
        <v>109</v>
      </c>
      <c r="C831" s="249" t="s">
        <v>853</v>
      </c>
      <c r="D831" s="320" t="s">
        <v>22</v>
      </c>
      <c r="E831" s="321"/>
      <c r="F831" s="322" t="s">
        <v>1042</v>
      </c>
      <c r="G831" s="323" t="s">
        <v>1768</v>
      </c>
      <c r="H831" s="322" t="s">
        <v>160</v>
      </c>
      <c r="I831" s="324">
        <v>11</v>
      </c>
      <c r="J831" s="325"/>
      <c r="K831" s="325"/>
      <c r="L831" s="325">
        <v>37</v>
      </c>
      <c r="M831" s="325"/>
      <c r="N831" s="325"/>
      <c r="O831" s="326"/>
      <c r="P831" s="326"/>
      <c r="Q831" s="326">
        <v>11</v>
      </c>
      <c r="R831" s="326"/>
      <c r="S831" s="327"/>
    </row>
    <row r="832" spans="1:19" ht="15" customHeight="1">
      <c r="A832" s="561">
        <f t="shared" si="13"/>
        <v>832</v>
      </c>
      <c r="B832" s="31">
        <v>109</v>
      </c>
      <c r="C832" s="249" t="s">
        <v>853</v>
      </c>
      <c r="D832" s="320" t="s">
        <v>22</v>
      </c>
      <c r="E832" s="321"/>
      <c r="F832" s="322" t="s">
        <v>293</v>
      </c>
      <c r="G832" s="323" t="s">
        <v>1769</v>
      </c>
      <c r="H832" s="322" t="s">
        <v>109</v>
      </c>
      <c r="I832" s="324">
        <v>11</v>
      </c>
      <c r="J832" s="325"/>
      <c r="K832" s="325"/>
      <c r="L832" s="325">
        <v>37</v>
      </c>
      <c r="M832" s="325"/>
      <c r="N832" s="325"/>
      <c r="O832" s="326"/>
      <c r="P832" s="326"/>
      <c r="Q832" s="326">
        <v>11</v>
      </c>
      <c r="R832" s="326"/>
      <c r="S832" s="327"/>
    </row>
    <row r="833" spans="1:19" ht="15" customHeight="1">
      <c r="A833" s="561">
        <f t="shared" si="13"/>
        <v>833</v>
      </c>
      <c r="B833" s="31">
        <v>109</v>
      </c>
      <c r="C833" s="249" t="s">
        <v>853</v>
      </c>
      <c r="D833" s="320" t="s">
        <v>22</v>
      </c>
      <c r="E833" s="321"/>
      <c r="F833" s="322" t="s">
        <v>1043</v>
      </c>
      <c r="G833" s="323" t="s">
        <v>1714</v>
      </c>
      <c r="H833" s="322" t="s">
        <v>176</v>
      </c>
      <c r="I833" s="324">
        <v>12</v>
      </c>
      <c r="J833" s="325"/>
      <c r="K833" s="325"/>
      <c r="L833" s="325">
        <v>40</v>
      </c>
      <c r="M833" s="325"/>
      <c r="N833" s="325"/>
      <c r="O833" s="326"/>
      <c r="P833" s="326"/>
      <c r="Q833" s="326">
        <v>12</v>
      </c>
      <c r="R833" s="326"/>
      <c r="S833" s="327"/>
    </row>
    <row r="834" spans="1:19" ht="15" customHeight="1">
      <c r="A834" s="561">
        <f t="shared" si="13"/>
        <v>834</v>
      </c>
      <c r="B834" s="31">
        <v>110</v>
      </c>
      <c r="C834" s="249" t="s">
        <v>103</v>
      </c>
      <c r="D834" s="320" t="s">
        <v>22</v>
      </c>
      <c r="E834" s="321"/>
      <c r="F834" s="322" t="s">
        <v>1395</v>
      </c>
      <c r="G834" s="323"/>
      <c r="H834" s="322" t="s">
        <v>1396</v>
      </c>
      <c r="I834" s="324">
        <v>48</v>
      </c>
      <c r="J834" s="325"/>
      <c r="K834" s="325"/>
      <c r="L834" s="325"/>
      <c r="M834" s="325"/>
      <c r="N834" s="325"/>
      <c r="O834" s="326"/>
      <c r="P834" s="326"/>
      <c r="Q834" s="326"/>
      <c r="R834" s="326"/>
      <c r="S834" s="327"/>
    </row>
    <row r="835" spans="1:19" ht="15" customHeight="1">
      <c r="A835" s="561">
        <f t="shared" ref="A835:A898" si="14">1+A834</f>
        <v>835</v>
      </c>
      <c r="B835" s="31">
        <v>110</v>
      </c>
      <c r="C835" s="249" t="s">
        <v>103</v>
      </c>
      <c r="D835" s="320" t="s">
        <v>22</v>
      </c>
      <c r="E835" s="321"/>
      <c r="F835" s="322" t="s">
        <v>54</v>
      </c>
      <c r="G835" s="323" t="s">
        <v>1742</v>
      </c>
      <c r="H835" s="322" t="s">
        <v>113</v>
      </c>
      <c r="I835" s="324">
        <v>1503.23</v>
      </c>
      <c r="J835" s="325"/>
      <c r="K835" s="325"/>
      <c r="L835" s="325"/>
      <c r="M835" s="325"/>
      <c r="N835" s="325"/>
      <c r="O835" s="326">
        <f>165.16*9.82</f>
        <v>1621.8712</v>
      </c>
      <c r="P835" s="326"/>
      <c r="Q835" s="326"/>
      <c r="R835" s="326"/>
      <c r="S835" s="327"/>
    </row>
    <row r="836" spans="1:19" ht="15" customHeight="1">
      <c r="A836" s="561">
        <f t="shared" si="14"/>
        <v>836</v>
      </c>
      <c r="B836" s="31">
        <v>110</v>
      </c>
      <c r="C836" s="249" t="s">
        <v>103</v>
      </c>
      <c r="D836" s="320" t="s">
        <v>22</v>
      </c>
      <c r="E836" s="321"/>
      <c r="F836" s="322" t="s">
        <v>104</v>
      </c>
      <c r="G836" s="323" t="s">
        <v>1743</v>
      </c>
      <c r="H836" s="322" t="s">
        <v>68</v>
      </c>
      <c r="I836" s="324">
        <v>42.69</v>
      </c>
      <c r="J836" s="325" t="s">
        <v>1057</v>
      </c>
      <c r="K836" s="325"/>
      <c r="L836" s="325"/>
      <c r="M836" s="325"/>
      <c r="N836" s="325"/>
      <c r="O836" s="326"/>
      <c r="P836" s="326"/>
      <c r="Q836" s="326"/>
      <c r="R836" s="326"/>
      <c r="S836" s="327" t="s">
        <v>132</v>
      </c>
    </row>
    <row r="837" spans="1:19" ht="15" customHeight="1">
      <c r="A837" s="561">
        <f t="shared" si="14"/>
        <v>837</v>
      </c>
      <c r="B837" s="31">
        <v>110</v>
      </c>
      <c r="C837" s="249" t="s">
        <v>103</v>
      </c>
      <c r="D837" s="320" t="s">
        <v>22</v>
      </c>
      <c r="E837" s="321"/>
      <c r="F837" s="322" t="s">
        <v>105</v>
      </c>
      <c r="G837" s="323" t="s">
        <v>1744</v>
      </c>
      <c r="H837" s="322" t="s">
        <v>68</v>
      </c>
      <c r="I837" s="324">
        <v>42.68</v>
      </c>
      <c r="J837" s="325" t="s">
        <v>1057</v>
      </c>
      <c r="K837" s="325"/>
      <c r="L837" s="325"/>
      <c r="M837" s="325"/>
      <c r="N837" s="325"/>
      <c r="O837" s="326"/>
      <c r="P837" s="326"/>
      <c r="Q837" s="326"/>
      <c r="R837" s="326"/>
      <c r="S837" s="327" t="s">
        <v>133</v>
      </c>
    </row>
    <row r="838" spans="1:19" ht="15" customHeight="1">
      <c r="A838" s="561">
        <f t="shared" si="14"/>
        <v>838</v>
      </c>
      <c r="B838" s="31">
        <v>110</v>
      </c>
      <c r="C838" s="249" t="s">
        <v>103</v>
      </c>
      <c r="D838" s="320" t="s">
        <v>22</v>
      </c>
      <c r="E838" s="321"/>
      <c r="F838" s="322" t="s">
        <v>106</v>
      </c>
      <c r="G838" s="323" t="s">
        <v>1745</v>
      </c>
      <c r="H838" s="322" t="s">
        <v>1324</v>
      </c>
      <c r="I838" s="324">
        <v>31.63</v>
      </c>
      <c r="J838" s="325"/>
      <c r="K838" s="325"/>
      <c r="L838" s="325"/>
      <c r="M838" s="325"/>
      <c r="N838" s="325"/>
      <c r="O838" s="326"/>
      <c r="P838" s="326"/>
      <c r="Q838" s="326"/>
      <c r="R838" s="326"/>
      <c r="S838" s="327" t="s">
        <v>132</v>
      </c>
    </row>
    <row r="839" spans="1:19" ht="15" customHeight="1">
      <c r="A839" s="561">
        <f t="shared" si="14"/>
        <v>839</v>
      </c>
      <c r="B839" s="31">
        <v>110</v>
      </c>
      <c r="C839" s="249" t="s">
        <v>103</v>
      </c>
      <c r="D839" s="320" t="s">
        <v>22</v>
      </c>
      <c r="E839" s="321"/>
      <c r="F839" s="322" t="s">
        <v>107</v>
      </c>
      <c r="G839" s="323" t="s">
        <v>1746</v>
      </c>
      <c r="H839" s="322" t="s">
        <v>821</v>
      </c>
      <c r="I839" s="324">
        <v>31.68</v>
      </c>
      <c r="J839" s="325"/>
      <c r="K839" s="325"/>
      <c r="L839" s="325"/>
      <c r="M839" s="325"/>
      <c r="N839" s="325"/>
      <c r="O839" s="326"/>
      <c r="P839" s="326"/>
      <c r="Q839" s="326"/>
      <c r="R839" s="326"/>
      <c r="S839" s="327" t="s">
        <v>133</v>
      </c>
    </row>
    <row r="840" spans="1:19" ht="15" customHeight="1">
      <c r="A840" s="561">
        <f t="shared" si="14"/>
        <v>840</v>
      </c>
      <c r="B840" s="31">
        <v>110</v>
      </c>
      <c r="C840" s="249" t="s">
        <v>103</v>
      </c>
      <c r="D840" s="320" t="s">
        <v>22</v>
      </c>
      <c r="E840" s="321"/>
      <c r="F840" s="322" t="s">
        <v>108</v>
      </c>
      <c r="G840" s="323" t="s">
        <v>1724</v>
      </c>
      <c r="H840" s="322" t="s">
        <v>109</v>
      </c>
      <c r="I840" s="324">
        <v>224.45</v>
      </c>
      <c r="J840" s="325"/>
      <c r="K840" s="325"/>
      <c r="L840" s="325"/>
      <c r="M840" s="325">
        <v>20</v>
      </c>
      <c r="N840" s="325">
        <v>589</v>
      </c>
      <c r="O840" s="326"/>
      <c r="P840" s="326"/>
      <c r="Q840" s="326">
        <f>224.5+33.6/1.5+(12.7+2.9+3)</f>
        <v>265.5</v>
      </c>
      <c r="R840" s="326"/>
      <c r="S840" s="327" t="s">
        <v>133</v>
      </c>
    </row>
    <row r="841" spans="1:19" ht="15" customHeight="1">
      <c r="A841" s="561">
        <f t="shared" si="14"/>
        <v>841</v>
      </c>
      <c r="B841" s="31">
        <v>110</v>
      </c>
      <c r="C841" s="249" t="s">
        <v>103</v>
      </c>
      <c r="D841" s="320" t="s">
        <v>22</v>
      </c>
      <c r="E841" s="321"/>
      <c r="F841" s="322" t="s">
        <v>110</v>
      </c>
      <c r="G841" s="323" t="s">
        <v>1770</v>
      </c>
      <c r="H841" s="322" t="s">
        <v>109</v>
      </c>
      <c r="I841" s="324">
        <v>243.2</v>
      </c>
      <c r="J841" s="325"/>
      <c r="K841" s="325"/>
      <c r="L841" s="325"/>
      <c r="M841" s="325">
        <v>20</v>
      </c>
      <c r="N841" s="325">
        <v>593</v>
      </c>
      <c r="O841" s="326"/>
      <c r="P841" s="326"/>
      <c r="Q841" s="326">
        <f>243.2+33.6/1.5+(12.7+2.9+3)</f>
        <v>284.2</v>
      </c>
      <c r="R841" s="326"/>
      <c r="S841" s="327" t="s">
        <v>132</v>
      </c>
    </row>
    <row r="842" spans="1:19" ht="15" customHeight="1">
      <c r="A842" s="561">
        <f t="shared" si="14"/>
        <v>842</v>
      </c>
      <c r="B842" s="31">
        <v>110</v>
      </c>
      <c r="C842" s="249" t="s">
        <v>103</v>
      </c>
      <c r="D842" s="320" t="s">
        <v>22</v>
      </c>
      <c r="E842" s="321"/>
      <c r="F842" s="322" t="s">
        <v>111</v>
      </c>
      <c r="G842" s="323" t="s">
        <v>1725</v>
      </c>
      <c r="H842" s="322" t="s">
        <v>109</v>
      </c>
      <c r="I842" s="324">
        <v>12.9</v>
      </c>
      <c r="J842" s="325"/>
      <c r="K842" s="325"/>
      <c r="L842" s="325"/>
      <c r="M842" s="325"/>
      <c r="N842" s="325">
        <v>51</v>
      </c>
      <c r="O842" s="326"/>
      <c r="P842" s="326"/>
      <c r="Q842" s="326"/>
      <c r="R842" s="326"/>
      <c r="S842" s="327" t="s">
        <v>134</v>
      </c>
    </row>
    <row r="843" spans="1:19" ht="15" customHeight="1">
      <c r="A843" s="561">
        <f t="shared" si="14"/>
        <v>843</v>
      </c>
      <c r="B843" s="31">
        <v>110</v>
      </c>
      <c r="C843" s="249" t="s">
        <v>103</v>
      </c>
      <c r="D843" s="320" t="s">
        <v>22</v>
      </c>
      <c r="E843" s="321"/>
      <c r="F843" s="322" t="s">
        <v>112</v>
      </c>
      <c r="G843" s="323" t="s">
        <v>1726</v>
      </c>
      <c r="H843" s="322" t="s">
        <v>160</v>
      </c>
      <c r="I843" s="324">
        <v>4.2</v>
      </c>
      <c r="J843" s="325"/>
      <c r="K843" s="325"/>
      <c r="L843" s="325">
        <v>14.2</v>
      </c>
      <c r="M843" s="325"/>
      <c r="N843" s="325"/>
      <c r="O843" s="326"/>
      <c r="P843" s="326">
        <f>I843</f>
        <v>4.2</v>
      </c>
      <c r="Q843" s="326"/>
      <c r="R843" s="326"/>
      <c r="S843" s="327" t="s">
        <v>133</v>
      </c>
    </row>
    <row r="844" spans="1:19" ht="15" customHeight="1">
      <c r="A844" s="561">
        <f t="shared" si="14"/>
        <v>844</v>
      </c>
      <c r="B844" s="31">
        <v>110</v>
      </c>
      <c r="C844" s="249" t="s">
        <v>103</v>
      </c>
      <c r="D844" s="320" t="s">
        <v>22</v>
      </c>
      <c r="E844" s="321"/>
      <c r="F844" s="322" t="s">
        <v>111</v>
      </c>
      <c r="G844" s="323" t="s">
        <v>1727</v>
      </c>
      <c r="H844" s="322" t="s">
        <v>160</v>
      </c>
      <c r="I844" s="324">
        <v>29.76</v>
      </c>
      <c r="J844" s="325"/>
      <c r="K844" s="325"/>
      <c r="L844" s="325"/>
      <c r="M844" s="325"/>
      <c r="N844" s="325">
        <v>76</v>
      </c>
      <c r="O844" s="326"/>
      <c r="P844" s="326"/>
      <c r="Q844" s="326"/>
      <c r="R844" s="326"/>
      <c r="S844" s="327" t="s">
        <v>132</v>
      </c>
    </row>
    <row r="845" spans="1:19" ht="15" customHeight="1">
      <c r="A845" s="561">
        <f t="shared" si="14"/>
        <v>845</v>
      </c>
      <c r="B845" s="31">
        <v>110</v>
      </c>
      <c r="C845" s="249" t="s">
        <v>103</v>
      </c>
      <c r="D845" s="320" t="s">
        <v>22</v>
      </c>
      <c r="E845" s="321"/>
      <c r="F845" s="322" t="s">
        <v>114</v>
      </c>
      <c r="G845" s="323" t="s">
        <v>1756</v>
      </c>
      <c r="H845" s="322" t="s">
        <v>160</v>
      </c>
      <c r="I845" s="324">
        <v>32.6</v>
      </c>
      <c r="J845" s="325"/>
      <c r="K845" s="325"/>
      <c r="L845" s="325"/>
      <c r="M845" s="325"/>
      <c r="N845" s="325">
        <v>66</v>
      </c>
      <c r="O845" s="326"/>
      <c r="P845" s="326"/>
      <c r="Q845" s="326"/>
      <c r="R845" s="326"/>
      <c r="S845" s="327" t="s">
        <v>132</v>
      </c>
    </row>
    <row r="846" spans="1:19" ht="15" customHeight="1">
      <c r="A846" s="561">
        <f t="shared" si="14"/>
        <v>846</v>
      </c>
      <c r="B846" s="31">
        <v>110</v>
      </c>
      <c r="C846" s="249" t="s">
        <v>103</v>
      </c>
      <c r="D846" s="320" t="s">
        <v>22</v>
      </c>
      <c r="E846" s="321"/>
      <c r="F846" s="322" t="s">
        <v>115</v>
      </c>
      <c r="G846" s="323" t="s">
        <v>1728</v>
      </c>
      <c r="H846" s="322" t="s">
        <v>160</v>
      </c>
      <c r="I846" s="324">
        <v>10.6</v>
      </c>
      <c r="J846" s="325"/>
      <c r="K846" s="325"/>
      <c r="L846" s="325"/>
      <c r="M846" s="325"/>
      <c r="N846" s="325">
        <v>48.3</v>
      </c>
      <c r="O846" s="326"/>
      <c r="P846" s="326"/>
      <c r="Q846" s="326"/>
      <c r="R846" s="326"/>
      <c r="S846" s="327" t="s">
        <v>132</v>
      </c>
    </row>
    <row r="847" spans="1:19" ht="15" customHeight="1">
      <c r="A847" s="561">
        <f t="shared" si="14"/>
        <v>847</v>
      </c>
      <c r="B847" s="31">
        <v>110</v>
      </c>
      <c r="C847" s="249" t="s">
        <v>103</v>
      </c>
      <c r="D847" s="320" t="s">
        <v>22</v>
      </c>
      <c r="E847" s="321"/>
      <c r="F847" s="322" t="s">
        <v>116</v>
      </c>
      <c r="G847" s="323" t="s">
        <v>1729</v>
      </c>
      <c r="H847" s="322" t="s">
        <v>160</v>
      </c>
      <c r="I847" s="324">
        <v>7</v>
      </c>
      <c r="J847" s="325"/>
      <c r="K847" s="325"/>
      <c r="L847" s="325">
        <v>29.5</v>
      </c>
      <c r="M847" s="325"/>
      <c r="N847" s="325"/>
      <c r="O847" s="326"/>
      <c r="P847" s="326">
        <f>I847</f>
        <v>7</v>
      </c>
      <c r="Q847" s="326"/>
      <c r="R847" s="326"/>
      <c r="S847" s="327" t="s">
        <v>135</v>
      </c>
    </row>
    <row r="848" spans="1:19" ht="15" customHeight="1">
      <c r="A848" s="561">
        <f t="shared" si="14"/>
        <v>848</v>
      </c>
      <c r="B848" s="31">
        <v>110</v>
      </c>
      <c r="C848" s="249" t="s">
        <v>103</v>
      </c>
      <c r="D848" s="320" t="s">
        <v>22</v>
      </c>
      <c r="E848" s="321"/>
      <c r="F848" s="322" t="s">
        <v>117</v>
      </c>
      <c r="G848" s="323" t="s">
        <v>1771</v>
      </c>
      <c r="H848" s="322" t="s">
        <v>160</v>
      </c>
      <c r="I848" s="324">
        <v>13.1</v>
      </c>
      <c r="J848" s="325"/>
      <c r="K848" s="325"/>
      <c r="L848" s="325">
        <v>42</v>
      </c>
      <c r="M848" s="325"/>
      <c r="N848" s="325"/>
      <c r="O848" s="326"/>
      <c r="P848" s="326">
        <f>I848</f>
        <v>13.1</v>
      </c>
      <c r="Q848" s="326"/>
      <c r="R848" s="326"/>
      <c r="S848" s="327" t="s">
        <v>133</v>
      </c>
    </row>
    <row r="849" spans="1:19" ht="15" customHeight="1">
      <c r="A849" s="561">
        <f t="shared" si="14"/>
        <v>849</v>
      </c>
      <c r="B849" s="31">
        <v>110</v>
      </c>
      <c r="C849" s="249" t="s">
        <v>103</v>
      </c>
      <c r="D849" s="320" t="s">
        <v>22</v>
      </c>
      <c r="E849" s="321"/>
      <c r="F849" s="322" t="s">
        <v>118</v>
      </c>
      <c r="G849" s="323" t="s">
        <v>1772</v>
      </c>
      <c r="H849" s="322" t="s">
        <v>160</v>
      </c>
      <c r="I849" s="324">
        <v>9.4</v>
      </c>
      <c r="J849" s="325"/>
      <c r="K849" s="325"/>
      <c r="L849" s="325">
        <v>41.1</v>
      </c>
      <c r="M849" s="325"/>
      <c r="N849" s="325"/>
      <c r="O849" s="326"/>
      <c r="P849" s="326">
        <f>I849</f>
        <v>9.4</v>
      </c>
      <c r="Q849" s="326"/>
      <c r="R849" s="326"/>
      <c r="S849" s="327" t="s">
        <v>132</v>
      </c>
    </row>
    <row r="850" spans="1:19" ht="15" customHeight="1">
      <c r="A850" s="561">
        <f t="shared" si="14"/>
        <v>850</v>
      </c>
      <c r="B850" s="31">
        <v>110</v>
      </c>
      <c r="C850" s="249" t="s">
        <v>103</v>
      </c>
      <c r="D850" s="320" t="s">
        <v>22</v>
      </c>
      <c r="E850" s="321"/>
      <c r="F850" s="322" t="s">
        <v>37</v>
      </c>
      <c r="G850" s="323" t="s">
        <v>1730</v>
      </c>
      <c r="H850" s="322" t="s">
        <v>160</v>
      </c>
      <c r="I850" s="324">
        <v>15.2</v>
      </c>
      <c r="J850" s="325"/>
      <c r="K850" s="325"/>
      <c r="L850" s="325"/>
      <c r="M850" s="325"/>
      <c r="N850" s="325">
        <v>46.8</v>
      </c>
      <c r="O850" s="326"/>
      <c r="P850" s="326"/>
      <c r="Q850" s="326"/>
      <c r="R850" s="326"/>
      <c r="S850" s="327" t="s">
        <v>133</v>
      </c>
    </row>
    <row r="851" spans="1:19" ht="15" customHeight="1">
      <c r="A851" s="561">
        <f t="shared" si="14"/>
        <v>851</v>
      </c>
      <c r="B851" s="31">
        <v>110</v>
      </c>
      <c r="C851" s="249" t="s">
        <v>103</v>
      </c>
      <c r="D851" s="320" t="s">
        <v>22</v>
      </c>
      <c r="E851" s="321"/>
      <c r="F851" s="322" t="s">
        <v>41</v>
      </c>
      <c r="G851" s="323" t="s">
        <v>1731</v>
      </c>
      <c r="H851" s="322" t="s">
        <v>160</v>
      </c>
      <c r="I851" s="324">
        <v>19.64</v>
      </c>
      <c r="J851" s="325"/>
      <c r="K851" s="325"/>
      <c r="L851" s="325"/>
      <c r="M851" s="325"/>
      <c r="N851" s="325">
        <v>85</v>
      </c>
      <c r="O851" s="326"/>
      <c r="P851" s="326"/>
      <c r="Q851" s="326"/>
      <c r="R851" s="326"/>
      <c r="S851" s="327" t="s">
        <v>133</v>
      </c>
    </row>
    <row r="852" spans="1:19" ht="15" customHeight="1">
      <c r="A852" s="561">
        <f t="shared" si="14"/>
        <v>852</v>
      </c>
      <c r="B852" s="31">
        <v>110</v>
      </c>
      <c r="C852" s="249" t="s">
        <v>103</v>
      </c>
      <c r="D852" s="320" t="s">
        <v>22</v>
      </c>
      <c r="E852" s="321"/>
      <c r="F852" s="322" t="s">
        <v>119</v>
      </c>
      <c r="G852" s="323" t="s">
        <v>1773</v>
      </c>
      <c r="H852" s="322" t="s">
        <v>160</v>
      </c>
      <c r="I852" s="324">
        <v>3.8</v>
      </c>
      <c r="J852" s="325"/>
      <c r="K852" s="325"/>
      <c r="L852" s="325"/>
      <c r="M852" s="325"/>
      <c r="N852" s="325">
        <v>20.5</v>
      </c>
      <c r="O852" s="326"/>
      <c r="P852" s="326"/>
      <c r="Q852" s="326"/>
      <c r="R852" s="326"/>
      <c r="S852" s="327" t="s">
        <v>136</v>
      </c>
    </row>
    <row r="853" spans="1:19" ht="15" customHeight="1">
      <c r="A853" s="561">
        <f t="shared" si="14"/>
        <v>853</v>
      </c>
      <c r="B853" s="31">
        <v>110</v>
      </c>
      <c r="C853" s="249" t="s">
        <v>103</v>
      </c>
      <c r="D853" s="320" t="s">
        <v>22</v>
      </c>
      <c r="E853" s="321"/>
      <c r="F853" s="322" t="s">
        <v>120</v>
      </c>
      <c r="G853" s="323" t="s">
        <v>1774</v>
      </c>
      <c r="H853" s="322" t="s">
        <v>148</v>
      </c>
      <c r="I853" s="324">
        <v>2.9</v>
      </c>
      <c r="J853" s="325">
        <v>17.8</v>
      </c>
      <c r="K853" s="325"/>
      <c r="L853" s="325"/>
      <c r="M853" s="325"/>
      <c r="N853" s="325"/>
      <c r="O853" s="326"/>
      <c r="P853" s="326"/>
      <c r="Q853" s="326"/>
      <c r="R853" s="326">
        <f>I853</f>
        <v>2.9</v>
      </c>
      <c r="S853" s="327" t="s">
        <v>133</v>
      </c>
    </row>
    <row r="854" spans="1:19" ht="15" customHeight="1">
      <c r="A854" s="561">
        <f t="shared" si="14"/>
        <v>854</v>
      </c>
      <c r="B854" s="31">
        <v>110</v>
      </c>
      <c r="C854" s="249" t="s">
        <v>103</v>
      </c>
      <c r="D854" s="320" t="s">
        <v>22</v>
      </c>
      <c r="E854" s="321"/>
      <c r="F854" s="322" t="s">
        <v>121</v>
      </c>
      <c r="G854" s="323" t="s">
        <v>1775</v>
      </c>
      <c r="H854" s="322" t="s">
        <v>148</v>
      </c>
      <c r="I854" s="324">
        <v>2.9</v>
      </c>
      <c r="J854" s="325">
        <v>17.8</v>
      </c>
      <c r="K854" s="325"/>
      <c r="L854" s="325"/>
      <c r="M854" s="325"/>
      <c r="N854" s="325"/>
      <c r="O854" s="326"/>
      <c r="P854" s="326"/>
      <c r="Q854" s="326"/>
      <c r="R854" s="326">
        <f>I854</f>
        <v>2.9</v>
      </c>
      <c r="S854" s="327" t="s">
        <v>133</v>
      </c>
    </row>
    <row r="855" spans="1:19" ht="15" customHeight="1">
      <c r="A855" s="561">
        <f t="shared" si="14"/>
        <v>855</v>
      </c>
      <c r="B855" s="31">
        <v>110</v>
      </c>
      <c r="C855" s="249" t="s">
        <v>103</v>
      </c>
      <c r="D855" s="320" t="s">
        <v>22</v>
      </c>
      <c r="E855" s="321"/>
      <c r="F855" s="322" t="s">
        <v>122</v>
      </c>
      <c r="G855" s="323" t="s">
        <v>1758</v>
      </c>
      <c r="H855" s="322" t="s">
        <v>109</v>
      </c>
      <c r="I855" s="324">
        <v>2.2000000000000002</v>
      </c>
      <c r="J855" s="325" t="s">
        <v>1059</v>
      </c>
      <c r="K855" s="325"/>
      <c r="L855" s="325"/>
      <c r="M855" s="325"/>
      <c r="N855" s="325"/>
      <c r="O855" s="326"/>
      <c r="P855" s="326"/>
      <c r="Q855" s="326"/>
      <c r="R855" s="326"/>
      <c r="S855" s="327" t="s">
        <v>132</v>
      </c>
    </row>
    <row r="856" spans="1:19" ht="15" customHeight="1">
      <c r="A856" s="561">
        <f t="shared" si="14"/>
        <v>856</v>
      </c>
      <c r="B856" s="31">
        <v>110</v>
      </c>
      <c r="C856" s="249" t="s">
        <v>103</v>
      </c>
      <c r="D856" s="320" t="s">
        <v>22</v>
      </c>
      <c r="E856" s="321"/>
      <c r="F856" s="322" t="s">
        <v>122</v>
      </c>
      <c r="G856" s="323" t="s">
        <v>1759</v>
      </c>
      <c r="H856" s="322" t="s">
        <v>160</v>
      </c>
      <c r="I856" s="324">
        <v>2.2000000000000002</v>
      </c>
      <c r="J856" s="325" t="s">
        <v>1059</v>
      </c>
      <c r="K856" s="325"/>
      <c r="L856" s="325"/>
      <c r="M856" s="325"/>
      <c r="N856" s="325"/>
      <c r="O856" s="326"/>
      <c r="P856" s="326"/>
      <c r="Q856" s="326"/>
      <c r="R856" s="326"/>
      <c r="S856" s="327" t="s">
        <v>133</v>
      </c>
    </row>
    <row r="857" spans="1:19" ht="15" customHeight="1">
      <c r="A857" s="561">
        <f t="shared" si="14"/>
        <v>857</v>
      </c>
      <c r="B857" s="31">
        <v>110</v>
      </c>
      <c r="C857" s="249" t="s">
        <v>103</v>
      </c>
      <c r="D857" s="320" t="s">
        <v>22</v>
      </c>
      <c r="E857" s="321"/>
      <c r="F857" s="322" t="s">
        <v>123</v>
      </c>
      <c r="G857" s="323" t="s">
        <v>1760</v>
      </c>
      <c r="H857" s="322" t="s">
        <v>109</v>
      </c>
      <c r="I857" s="324">
        <v>7.8</v>
      </c>
      <c r="J857" s="325"/>
      <c r="K857" s="325"/>
      <c r="L857" s="325"/>
      <c r="M857" s="325"/>
      <c r="N857" s="325">
        <v>26.6</v>
      </c>
      <c r="O857" s="326"/>
      <c r="P857" s="326"/>
      <c r="Q857" s="326">
        <f>I857</f>
        <v>7.8</v>
      </c>
      <c r="R857" s="326"/>
      <c r="S857" s="327" t="s">
        <v>251</v>
      </c>
    </row>
    <row r="858" spans="1:19" ht="15" customHeight="1">
      <c r="A858" s="561">
        <f t="shared" si="14"/>
        <v>858</v>
      </c>
      <c r="B858" s="31">
        <v>110</v>
      </c>
      <c r="C858" s="249" t="s">
        <v>103</v>
      </c>
      <c r="D858" s="320" t="s">
        <v>22</v>
      </c>
      <c r="E858" s="321"/>
      <c r="F858" s="322" t="s">
        <v>124</v>
      </c>
      <c r="G858" s="323">
        <v>34</v>
      </c>
      <c r="H858" s="322" t="s">
        <v>299</v>
      </c>
      <c r="I858" s="324">
        <v>2.8</v>
      </c>
      <c r="J858" s="325"/>
      <c r="K858" s="325"/>
      <c r="L858" s="325"/>
      <c r="M858" s="325">
        <v>11.5</v>
      </c>
      <c r="N858" s="325">
        <v>3.5</v>
      </c>
      <c r="O858" s="326"/>
      <c r="P858" s="326"/>
      <c r="Q858" s="326"/>
      <c r="R858" s="326">
        <f>I858</f>
        <v>2.8</v>
      </c>
      <c r="S858" s="327" t="s">
        <v>1058</v>
      </c>
    </row>
    <row r="859" spans="1:19" ht="15" customHeight="1">
      <c r="A859" s="561">
        <f t="shared" si="14"/>
        <v>859</v>
      </c>
      <c r="B859" s="31">
        <v>110</v>
      </c>
      <c r="C859" s="249" t="s">
        <v>103</v>
      </c>
      <c r="D859" s="320" t="s">
        <v>22</v>
      </c>
      <c r="E859" s="321"/>
      <c r="F859" s="322" t="s">
        <v>123</v>
      </c>
      <c r="G859" s="323" t="s">
        <v>1776</v>
      </c>
      <c r="H859" s="322" t="s">
        <v>12</v>
      </c>
      <c r="I859" s="324">
        <v>7.25</v>
      </c>
      <c r="J859" s="325"/>
      <c r="K859" s="325"/>
      <c r="L859" s="325">
        <v>26.6</v>
      </c>
      <c r="M859" s="325"/>
      <c r="N859" s="325"/>
      <c r="O859" s="326"/>
      <c r="P859" s="326">
        <f>I859</f>
        <v>7.25</v>
      </c>
      <c r="Q859" s="326"/>
      <c r="R859" s="326"/>
      <c r="S859" s="327" t="s">
        <v>137</v>
      </c>
    </row>
    <row r="860" spans="1:19" ht="15" customHeight="1">
      <c r="A860" s="561">
        <f t="shared" si="14"/>
        <v>860</v>
      </c>
      <c r="B860" s="31">
        <v>110</v>
      </c>
      <c r="C860" s="249" t="s">
        <v>103</v>
      </c>
      <c r="D860" s="320" t="s">
        <v>22</v>
      </c>
      <c r="E860" s="321"/>
      <c r="F860" s="322" t="s">
        <v>125</v>
      </c>
      <c r="G860" s="323" t="s">
        <v>1777</v>
      </c>
      <c r="H860" s="322" t="s">
        <v>75</v>
      </c>
      <c r="I860" s="324">
        <v>5.75</v>
      </c>
      <c r="J860" s="325" t="s">
        <v>1060</v>
      </c>
      <c r="K860" s="325"/>
      <c r="L860" s="325"/>
      <c r="M860" s="325"/>
      <c r="N860" s="325"/>
      <c r="O860" s="326"/>
      <c r="P860" s="326"/>
      <c r="Q860" s="326"/>
      <c r="R860" s="326"/>
      <c r="S860" s="327" t="s">
        <v>138</v>
      </c>
    </row>
    <row r="861" spans="1:19" ht="15" customHeight="1">
      <c r="A861" s="561">
        <f t="shared" si="14"/>
        <v>861</v>
      </c>
      <c r="B861" s="31">
        <v>110</v>
      </c>
      <c r="C861" s="249" t="s">
        <v>103</v>
      </c>
      <c r="D861" s="320" t="s">
        <v>22</v>
      </c>
      <c r="E861" s="321"/>
      <c r="F861" s="322" t="s">
        <v>126</v>
      </c>
      <c r="G861" s="323" t="s">
        <v>1778</v>
      </c>
      <c r="H861" s="322" t="s">
        <v>160</v>
      </c>
      <c r="I861" s="324">
        <v>10.4</v>
      </c>
      <c r="J861" s="325"/>
      <c r="K861" s="325"/>
      <c r="L861" s="325">
        <v>39.1</v>
      </c>
      <c r="M861" s="325"/>
      <c r="N861" s="325"/>
      <c r="O861" s="326"/>
      <c r="P861" s="326">
        <f>I861</f>
        <v>10.4</v>
      </c>
      <c r="Q861" s="326"/>
      <c r="R861" s="326"/>
      <c r="S861" s="327" t="s">
        <v>139</v>
      </c>
    </row>
    <row r="862" spans="1:19" ht="15" customHeight="1">
      <c r="A862" s="561">
        <f t="shared" si="14"/>
        <v>862</v>
      </c>
      <c r="B862" s="31">
        <v>110</v>
      </c>
      <c r="C862" s="249" t="s">
        <v>103</v>
      </c>
      <c r="D862" s="320" t="s">
        <v>22</v>
      </c>
      <c r="E862" s="321"/>
      <c r="F862" s="322" t="s">
        <v>127</v>
      </c>
      <c r="G862" s="323" t="s">
        <v>1736</v>
      </c>
      <c r="H862" s="322" t="s">
        <v>160</v>
      </c>
      <c r="I862" s="324">
        <v>20.7</v>
      </c>
      <c r="J862" s="325"/>
      <c r="K862" s="325"/>
      <c r="L862" s="325">
        <v>50.6</v>
      </c>
      <c r="M862" s="325"/>
      <c r="N862" s="325"/>
      <c r="O862" s="326"/>
      <c r="P862" s="326">
        <f>I862</f>
        <v>20.7</v>
      </c>
      <c r="Q862" s="326"/>
      <c r="R862" s="326"/>
      <c r="S862" s="327" t="s">
        <v>133</v>
      </c>
    </row>
    <row r="863" spans="1:19" ht="15" customHeight="1">
      <c r="A863" s="561">
        <f t="shared" si="14"/>
        <v>863</v>
      </c>
      <c r="B863" s="31">
        <v>110</v>
      </c>
      <c r="C863" s="249" t="s">
        <v>103</v>
      </c>
      <c r="D863" s="320" t="s">
        <v>22</v>
      </c>
      <c r="E863" s="321"/>
      <c r="F863" s="322" t="s">
        <v>128</v>
      </c>
      <c r="G863" s="323" t="s">
        <v>1779</v>
      </c>
      <c r="H863" s="322" t="s">
        <v>160</v>
      </c>
      <c r="I863" s="324">
        <v>9.4</v>
      </c>
      <c r="J863" s="325"/>
      <c r="K863" s="325"/>
      <c r="L863" s="325">
        <v>23.7</v>
      </c>
      <c r="M863" s="325"/>
      <c r="N863" s="325"/>
      <c r="O863" s="326"/>
      <c r="P863" s="326">
        <f>I863</f>
        <v>9.4</v>
      </c>
      <c r="Q863" s="326"/>
      <c r="R863" s="326"/>
      <c r="S863" s="327" t="s">
        <v>132</v>
      </c>
    </row>
    <row r="864" spans="1:19" ht="15" customHeight="1">
      <c r="A864" s="561">
        <f t="shared" si="14"/>
        <v>864</v>
      </c>
      <c r="B864" s="31">
        <v>110</v>
      </c>
      <c r="C864" s="249" t="s">
        <v>103</v>
      </c>
      <c r="D864" s="320" t="s">
        <v>22</v>
      </c>
      <c r="E864" s="321"/>
      <c r="F864" s="322" t="s">
        <v>129</v>
      </c>
      <c r="G864" s="323" t="s">
        <v>1739</v>
      </c>
      <c r="H864" s="322" t="s">
        <v>176</v>
      </c>
      <c r="I864" s="324">
        <v>25.79</v>
      </c>
      <c r="J864" s="325"/>
      <c r="K864" s="325"/>
      <c r="L864" s="325"/>
      <c r="M864" s="325"/>
      <c r="N864" s="325">
        <v>63</v>
      </c>
      <c r="O864" s="326"/>
      <c r="P864" s="326"/>
      <c r="Q864" s="326"/>
      <c r="R864" s="326"/>
      <c r="S864" s="327" t="s">
        <v>133</v>
      </c>
    </row>
    <row r="865" spans="1:19" ht="15" customHeight="1">
      <c r="A865" s="561">
        <f t="shared" si="14"/>
        <v>865</v>
      </c>
      <c r="B865" s="31">
        <v>110</v>
      </c>
      <c r="C865" s="249" t="s">
        <v>103</v>
      </c>
      <c r="D865" s="320" t="s">
        <v>22</v>
      </c>
      <c r="E865" s="321"/>
      <c r="F865" s="322" t="s">
        <v>130</v>
      </c>
      <c r="G865" s="323" t="s">
        <v>1780</v>
      </c>
      <c r="H865" s="322" t="s">
        <v>160</v>
      </c>
      <c r="I865" s="324">
        <v>46.17</v>
      </c>
      <c r="J865" s="325"/>
      <c r="K865" s="325"/>
      <c r="L865" s="325"/>
      <c r="M865" s="325"/>
      <c r="N865" s="325">
        <v>58</v>
      </c>
      <c r="O865" s="326"/>
      <c r="P865" s="326"/>
      <c r="Q865" s="326">
        <f>I865</f>
        <v>46.17</v>
      </c>
      <c r="R865" s="326"/>
      <c r="S865" s="327" t="s">
        <v>132</v>
      </c>
    </row>
    <row r="866" spans="1:19" ht="15" customHeight="1">
      <c r="A866" s="561">
        <f t="shared" si="14"/>
        <v>866</v>
      </c>
      <c r="B866" s="31">
        <v>110</v>
      </c>
      <c r="C866" s="249" t="s">
        <v>103</v>
      </c>
      <c r="D866" s="320" t="s">
        <v>22</v>
      </c>
      <c r="E866" s="321"/>
      <c r="F866" s="322" t="s">
        <v>130</v>
      </c>
      <c r="G866" s="323" t="s">
        <v>1781</v>
      </c>
      <c r="H866" s="322" t="s">
        <v>160</v>
      </c>
      <c r="I866" s="324">
        <v>47.88</v>
      </c>
      <c r="J866" s="325"/>
      <c r="K866" s="325"/>
      <c r="L866" s="325"/>
      <c r="M866" s="325"/>
      <c r="N866" s="325">
        <v>51</v>
      </c>
      <c r="O866" s="326"/>
      <c r="P866" s="326"/>
      <c r="Q866" s="326">
        <f>I866</f>
        <v>47.88</v>
      </c>
      <c r="R866" s="326"/>
      <c r="S866" s="327" t="s">
        <v>133</v>
      </c>
    </row>
    <row r="867" spans="1:19" ht="15" customHeight="1">
      <c r="A867" s="561">
        <f t="shared" si="14"/>
        <v>867</v>
      </c>
      <c r="B867" s="31">
        <v>110</v>
      </c>
      <c r="C867" s="249" t="s">
        <v>103</v>
      </c>
      <c r="D867" s="320" t="s">
        <v>22</v>
      </c>
      <c r="E867" s="321"/>
      <c r="F867" s="322" t="s">
        <v>131</v>
      </c>
      <c r="G867" s="323" t="s">
        <v>1782</v>
      </c>
      <c r="H867" s="322" t="s">
        <v>109</v>
      </c>
      <c r="I867" s="324">
        <v>46.25</v>
      </c>
      <c r="J867" s="325"/>
      <c r="K867" s="325"/>
      <c r="L867" s="325"/>
      <c r="M867" s="325"/>
      <c r="N867" s="325">
        <v>62.6</v>
      </c>
      <c r="O867" s="326"/>
      <c r="P867" s="326"/>
      <c r="Q867" s="326">
        <v>13.1</v>
      </c>
      <c r="R867" s="326"/>
      <c r="S867" s="327" t="s">
        <v>252</v>
      </c>
    </row>
    <row r="868" spans="1:19" ht="15" customHeight="1">
      <c r="A868" s="561">
        <f t="shared" si="14"/>
        <v>868</v>
      </c>
      <c r="B868" s="31">
        <v>110</v>
      </c>
      <c r="C868" s="249" t="s">
        <v>103</v>
      </c>
      <c r="D868" s="320" t="s">
        <v>22</v>
      </c>
      <c r="E868" s="321"/>
      <c r="F868" s="322" t="s">
        <v>131</v>
      </c>
      <c r="G868" s="323" t="s">
        <v>1783</v>
      </c>
      <c r="H868" s="322" t="s">
        <v>160</v>
      </c>
      <c r="I868" s="324">
        <v>42.01</v>
      </c>
      <c r="J868" s="325"/>
      <c r="K868" s="325"/>
      <c r="L868" s="325"/>
      <c r="M868" s="325"/>
      <c r="N868" s="325">
        <v>63</v>
      </c>
      <c r="O868" s="326"/>
      <c r="P868" s="326"/>
      <c r="Q868" s="326">
        <v>13.1</v>
      </c>
      <c r="R868" s="326"/>
      <c r="S868" s="327" t="s">
        <v>253</v>
      </c>
    </row>
    <row r="869" spans="1:19" ht="15" customHeight="1">
      <c r="A869" s="561">
        <f t="shared" si="14"/>
        <v>869</v>
      </c>
      <c r="B869" s="31">
        <v>111</v>
      </c>
      <c r="C869" s="249" t="s">
        <v>854</v>
      </c>
      <c r="D869" s="320" t="s">
        <v>22</v>
      </c>
      <c r="E869" s="321"/>
      <c r="F869" s="322" t="s">
        <v>1045</v>
      </c>
      <c r="G869" s="323" t="s">
        <v>1731</v>
      </c>
      <c r="H869" s="322" t="s">
        <v>160</v>
      </c>
      <c r="I869" s="324">
        <v>11.4</v>
      </c>
      <c r="J869" s="325"/>
      <c r="K869" s="325"/>
      <c r="L869" s="325"/>
      <c r="M869" s="325"/>
      <c r="N869" s="325">
        <v>48</v>
      </c>
      <c r="O869" s="326"/>
      <c r="P869" s="326">
        <v>1.9</v>
      </c>
      <c r="Q869" s="326"/>
      <c r="R869" s="326"/>
      <c r="S869" s="327"/>
    </row>
    <row r="870" spans="1:19" ht="15" customHeight="1">
      <c r="A870" s="561">
        <f t="shared" si="14"/>
        <v>870</v>
      </c>
      <c r="B870" s="31">
        <v>111</v>
      </c>
      <c r="C870" s="249" t="s">
        <v>854</v>
      </c>
      <c r="D870" s="320" t="s">
        <v>22</v>
      </c>
      <c r="E870" s="321"/>
      <c r="F870" s="322" t="s">
        <v>1046</v>
      </c>
      <c r="G870" s="323" t="s">
        <v>1726</v>
      </c>
      <c r="H870" s="322" t="s">
        <v>160</v>
      </c>
      <c r="I870" s="324">
        <v>1.9</v>
      </c>
      <c r="J870" s="325"/>
      <c r="K870" s="325"/>
      <c r="L870" s="325"/>
      <c r="M870" s="325"/>
      <c r="N870" s="325">
        <f>12.5-2.5</f>
        <v>10</v>
      </c>
      <c r="O870" s="326"/>
      <c r="P870" s="326">
        <v>23.625</v>
      </c>
      <c r="Q870" s="326"/>
      <c r="R870" s="326"/>
      <c r="S870" s="327"/>
    </row>
    <row r="871" spans="1:19" ht="15" customHeight="1">
      <c r="A871" s="561">
        <f t="shared" si="14"/>
        <v>871</v>
      </c>
      <c r="B871" s="31">
        <v>111</v>
      </c>
      <c r="C871" s="249" t="s">
        <v>854</v>
      </c>
      <c r="D871" s="320" t="s">
        <v>22</v>
      </c>
      <c r="E871" s="321"/>
      <c r="F871" s="322" t="s">
        <v>1046</v>
      </c>
      <c r="G871" s="323" t="s">
        <v>1748</v>
      </c>
      <c r="H871" s="322" t="s">
        <v>160</v>
      </c>
      <c r="I871" s="324">
        <f>18.9</f>
        <v>18.899999999999999</v>
      </c>
      <c r="J871" s="325"/>
      <c r="K871" s="325"/>
      <c r="L871" s="325"/>
      <c r="M871" s="325"/>
      <c r="N871" s="325">
        <f>23.7-1.9</f>
        <v>21.8</v>
      </c>
      <c r="O871" s="326"/>
      <c r="P871" s="326">
        <v>17.274999999999999</v>
      </c>
      <c r="Q871" s="326"/>
      <c r="R871" s="326"/>
      <c r="S871" s="327"/>
    </row>
    <row r="872" spans="1:19" ht="15" customHeight="1">
      <c r="A872" s="561">
        <f t="shared" si="14"/>
        <v>872</v>
      </c>
      <c r="B872" s="31">
        <v>111</v>
      </c>
      <c r="C872" s="249" t="s">
        <v>854</v>
      </c>
      <c r="D872" s="320" t="s">
        <v>22</v>
      </c>
      <c r="E872" s="321"/>
      <c r="F872" s="322" t="s">
        <v>123</v>
      </c>
      <c r="G872" s="323" t="s">
        <v>1782</v>
      </c>
      <c r="H872" s="322" t="s">
        <v>160</v>
      </c>
      <c r="I872" s="324">
        <v>13.82</v>
      </c>
      <c r="J872" s="325"/>
      <c r="K872" s="325"/>
      <c r="L872" s="325">
        <v>19.64</v>
      </c>
      <c r="M872" s="325"/>
      <c r="N872" s="325"/>
      <c r="O872" s="326"/>
      <c r="P872" s="326">
        <f t="shared" ref="P872:P879" si="15">I872</f>
        <v>13.82</v>
      </c>
      <c r="Q872" s="326"/>
      <c r="R872" s="326"/>
      <c r="S872" s="327"/>
    </row>
    <row r="873" spans="1:19" ht="15" customHeight="1">
      <c r="A873" s="561">
        <f t="shared" si="14"/>
        <v>873</v>
      </c>
      <c r="B873" s="31">
        <v>111</v>
      </c>
      <c r="C873" s="249" t="s">
        <v>854</v>
      </c>
      <c r="D873" s="320" t="s">
        <v>22</v>
      </c>
      <c r="E873" s="321"/>
      <c r="F873" s="322" t="s">
        <v>1047</v>
      </c>
      <c r="G873" s="323" t="s">
        <v>1784</v>
      </c>
      <c r="H873" s="322" t="s">
        <v>160</v>
      </c>
      <c r="I873" s="324">
        <v>34.200000000000003</v>
      </c>
      <c r="J873" s="325"/>
      <c r="K873" s="325"/>
      <c r="L873" s="325"/>
      <c r="M873" s="325"/>
      <c r="N873" s="325">
        <f>100.2-7*2.5</f>
        <v>82.7</v>
      </c>
      <c r="O873" s="326"/>
      <c r="P873" s="326">
        <f t="shared" si="15"/>
        <v>34.200000000000003</v>
      </c>
      <c r="Q873" s="326"/>
      <c r="R873" s="326"/>
      <c r="S873" s="327"/>
    </row>
    <row r="874" spans="1:19" ht="15" customHeight="1">
      <c r="A874" s="561">
        <f t="shared" si="14"/>
        <v>874</v>
      </c>
      <c r="B874" s="31">
        <v>111</v>
      </c>
      <c r="C874" s="249" t="s">
        <v>854</v>
      </c>
      <c r="D874" s="320" t="s">
        <v>22</v>
      </c>
      <c r="E874" s="321"/>
      <c r="F874" s="322" t="s">
        <v>177</v>
      </c>
      <c r="G874" s="323" t="s">
        <v>1785</v>
      </c>
      <c r="H874" s="322" t="s">
        <v>160</v>
      </c>
      <c r="I874" s="324">
        <v>13.8</v>
      </c>
      <c r="J874" s="325"/>
      <c r="K874" s="325"/>
      <c r="L874" s="325"/>
      <c r="M874" s="325"/>
      <c r="N874" s="325">
        <f>55.5-2.5</f>
        <v>53</v>
      </c>
      <c r="O874" s="326"/>
      <c r="P874" s="326">
        <f t="shared" si="15"/>
        <v>13.8</v>
      </c>
      <c r="Q874" s="326"/>
      <c r="R874" s="326"/>
      <c r="S874" s="327"/>
    </row>
    <row r="875" spans="1:19" ht="15" customHeight="1">
      <c r="A875" s="561">
        <f t="shared" si="14"/>
        <v>875</v>
      </c>
      <c r="B875" s="31">
        <v>111</v>
      </c>
      <c r="C875" s="249" t="s">
        <v>854</v>
      </c>
      <c r="D875" s="320" t="s">
        <v>22</v>
      </c>
      <c r="E875" s="321"/>
      <c r="F875" s="322" t="s">
        <v>1048</v>
      </c>
      <c r="G875" s="323" t="s">
        <v>1786</v>
      </c>
      <c r="H875" s="322" t="s">
        <v>160</v>
      </c>
      <c r="I875" s="324">
        <v>8.6</v>
      </c>
      <c r="J875" s="325"/>
      <c r="K875" s="325"/>
      <c r="L875" s="325"/>
      <c r="M875" s="325"/>
      <c r="N875" s="325">
        <f>35.2-2.5</f>
        <v>32.700000000000003</v>
      </c>
      <c r="O875" s="326"/>
      <c r="P875" s="326">
        <f t="shared" si="15"/>
        <v>8.6</v>
      </c>
      <c r="Q875" s="326"/>
      <c r="R875" s="326"/>
      <c r="S875" s="327"/>
    </row>
    <row r="876" spans="1:19" ht="15" customHeight="1">
      <c r="A876" s="561">
        <f t="shared" si="14"/>
        <v>876</v>
      </c>
      <c r="B876" s="31">
        <v>111</v>
      </c>
      <c r="C876" s="249" t="s">
        <v>854</v>
      </c>
      <c r="D876" s="320" t="s">
        <v>22</v>
      </c>
      <c r="E876" s="321"/>
      <c r="F876" s="322" t="s">
        <v>1048</v>
      </c>
      <c r="G876" s="323" t="s">
        <v>1787</v>
      </c>
      <c r="H876" s="322" t="s">
        <v>160</v>
      </c>
      <c r="I876" s="324">
        <v>8.6</v>
      </c>
      <c r="J876" s="325"/>
      <c r="K876" s="325"/>
      <c r="L876" s="325"/>
      <c r="M876" s="325"/>
      <c r="N876" s="325">
        <f>35.2-2.5</f>
        <v>32.700000000000003</v>
      </c>
      <c r="O876" s="326"/>
      <c r="P876" s="326">
        <f t="shared" si="15"/>
        <v>8.6</v>
      </c>
      <c r="Q876" s="326"/>
      <c r="R876" s="326"/>
      <c r="S876" s="327"/>
    </row>
    <row r="877" spans="1:19" ht="15" customHeight="1">
      <c r="A877" s="561">
        <f t="shared" si="14"/>
        <v>877</v>
      </c>
      <c r="B877" s="31">
        <v>111</v>
      </c>
      <c r="C877" s="249" t="s">
        <v>854</v>
      </c>
      <c r="D877" s="320" t="s">
        <v>22</v>
      </c>
      <c r="E877" s="321"/>
      <c r="F877" s="322" t="s">
        <v>31</v>
      </c>
      <c r="G877" s="323" t="s">
        <v>1788</v>
      </c>
      <c r="H877" s="322" t="s">
        <v>160</v>
      </c>
      <c r="I877" s="324">
        <v>15.4</v>
      </c>
      <c r="J877" s="325"/>
      <c r="K877" s="325"/>
      <c r="L877" s="325"/>
      <c r="M877" s="325"/>
      <c r="N877" s="325">
        <f>56.1-2.5</f>
        <v>53.6</v>
      </c>
      <c r="O877" s="326"/>
      <c r="P877" s="326">
        <f t="shared" si="15"/>
        <v>15.4</v>
      </c>
      <c r="Q877" s="326"/>
      <c r="R877" s="326"/>
      <c r="S877" s="327"/>
    </row>
    <row r="878" spans="1:19" ht="15" customHeight="1">
      <c r="A878" s="561">
        <f t="shared" si="14"/>
        <v>878</v>
      </c>
      <c r="B878" s="31">
        <v>111</v>
      </c>
      <c r="C878" s="249" t="s">
        <v>854</v>
      </c>
      <c r="D878" s="320" t="s">
        <v>22</v>
      </c>
      <c r="E878" s="321"/>
      <c r="F878" s="322" t="s">
        <v>1049</v>
      </c>
      <c r="G878" s="323" t="s">
        <v>1774</v>
      </c>
      <c r="H878" s="322" t="s">
        <v>109</v>
      </c>
      <c r="I878" s="324">
        <v>3.6</v>
      </c>
      <c r="J878" s="325">
        <v>19.399999999999999</v>
      </c>
      <c r="K878" s="325"/>
      <c r="L878" s="325"/>
      <c r="M878" s="325"/>
      <c r="N878" s="325"/>
      <c r="O878" s="326"/>
      <c r="P878" s="326">
        <f t="shared" si="15"/>
        <v>3.6</v>
      </c>
      <c r="Q878" s="326"/>
      <c r="R878" s="326"/>
      <c r="S878" s="327"/>
    </row>
    <row r="879" spans="1:19" ht="15" customHeight="1">
      <c r="A879" s="561">
        <f t="shared" si="14"/>
        <v>879</v>
      </c>
      <c r="B879" s="31">
        <v>111</v>
      </c>
      <c r="C879" s="249" t="s">
        <v>854</v>
      </c>
      <c r="D879" s="320" t="s">
        <v>22</v>
      </c>
      <c r="E879" s="321"/>
      <c r="F879" s="322" t="s">
        <v>1049</v>
      </c>
      <c r="G879" s="323" t="s">
        <v>1775</v>
      </c>
      <c r="H879" s="322" t="s">
        <v>109</v>
      </c>
      <c r="I879" s="324">
        <v>4.3</v>
      </c>
      <c r="J879" s="325">
        <v>21.4</v>
      </c>
      <c r="K879" s="325"/>
      <c r="L879" s="325"/>
      <c r="M879" s="325"/>
      <c r="N879" s="325"/>
      <c r="O879" s="326"/>
      <c r="P879" s="326">
        <f t="shared" si="15"/>
        <v>4.3</v>
      </c>
      <c r="Q879" s="326"/>
      <c r="R879" s="326"/>
      <c r="S879" s="327"/>
    </row>
    <row r="880" spans="1:19" ht="15" customHeight="1">
      <c r="A880" s="561">
        <f t="shared" si="14"/>
        <v>880</v>
      </c>
      <c r="B880" s="31">
        <v>111</v>
      </c>
      <c r="C880" s="249" t="s">
        <v>854</v>
      </c>
      <c r="D880" s="320" t="s">
        <v>22</v>
      </c>
      <c r="E880" s="321"/>
      <c r="F880" s="322" t="s">
        <v>54</v>
      </c>
      <c r="G880" s="323" t="s">
        <v>67</v>
      </c>
      <c r="H880" s="322" t="s">
        <v>160</v>
      </c>
      <c r="I880" s="324">
        <v>2152</v>
      </c>
      <c r="J880" s="325"/>
      <c r="K880" s="325"/>
      <c r="L880" s="325"/>
      <c r="M880" s="325"/>
      <c r="N880" s="325"/>
      <c r="O880" s="326">
        <v>2704</v>
      </c>
      <c r="P880" s="326"/>
      <c r="Q880" s="326"/>
      <c r="R880" s="326"/>
      <c r="S880" s="327"/>
    </row>
    <row r="881" spans="1:19" ht="15" customHeight="1">
      <c r="A881" s="561">
        <f t="shared" si="14"/>
        <v>881</v>
      </c>
      <c r="B881" s="31">
        <v>111</v>
      </c>
      <c r="C881" s="249" t="s">
        <v>854</v>
      </c>
      <c r="D881" s="320" t="s">
        <v>22</v>
      </c>
      <c r="E881" s="321"/>
      <c r="F881" s="322" t="s">
        <v>143</v>
      </c>
      <c r="G881" s="323" t="s">
        <v>71</v>
      </c>
      <c r="H881" s="322" t="s">
        <v>109</v>
      </c>
      <c r="I881" s="324">
        <v>100</v>
      </c>
      <c r="J881" s="325"/>
      <c r="K881" s="325"/>
      <c r="L881" s="325"/>
      <c r="M881" s="325"/>
      <c r="N881" s="325"/>
      <c r="O881" s="326"/>
      <c r="P881" s="326"/>
      <c r="Q881" s="326"/>
      <c r="R881" s="326"/>
      <c r="S881" s="327"/>
    </row>
    <row r="882" spans="1:19" ht="15" customHeight="1">
      <c r="A882" s="561">
        <f t="shared" si="14"/>
        <v>882</v>
      </c>
      <c r="B882" s="31">
        <v>111</v>
      </c>
      <c r="C882" s="249" t="s">
        <v>854</v>
      </c>
      <c r="D882" s="320" t="s">
        <v>22</v>
      </c>
      <c r="E882" s="321"/>
      <c r="F882" s="322" t="s">
        <v>889</v>
      </c>
      <c r="G882" s="323" t="s">
        <v>1789</v>
      </c>
      <c r="H882" s="322" t="s">
        <v>72</v>
      </c>
      <c r="I882" s="324">
        <v>21</v>
      </c>
      <c r="J882" s="325"/>
      <c r="K882" s="325"/>
      <c r="L882" s="325"/>
      <c r="M882" s="325"/>
      <c r="N882" s="325"/>
      <c r="O882" s="326"/>
      <c r="P882" s="326">
        <f>I882</f>
        <v>21</v>
      </c>
      <c r="Q882" s="326"/>
      <c r="R882" s="326"/>
      <c r="S882" s="327"/>
    </row>
    <row r="883" spans="1:19" ht="15" customHeight="1">
      <c r="A883" s="561">
        <f t="shared" si="14"/>
        <v>883</v>
      </c>
      <c r="B883" s="31">
        <v>111</v>
      </c>
      <c r="C883" s="249" t="s">
        <v>854</v>
      </c>
      <c r="D883" s="320" t="s">
        <v>22</v>
      </c>
      <c r="E883" s="321"/>
      <c r="F883" s="322" t="s">
        <v>1050</v>
      </c>
      <c r="G883" s="323" t="s">
        <v>1790</v>
      </c>
      <c r="H883" s="322" t="s">
        <v>160</v>
      </c>
      <c r="I883" s="324">
        <v>13.4</v>
      </c>
      <c r="J883" s="325"/>
      <c r="K883" s="325"/>
      <c r="L883" s="325"/>
      <c r="M883" s="325"/>
      <c r="N883" s="325">
        <f>51.7-2.5</f>
        <v>49.2</v>
      </c>
      <c r="O883" s="326"/>
      <c r="P883" s="326">
        <f>I883</f>
        <v>13.4</v>
      </c>
      <c r="Q883" s="326"/>
      <c r="R883" s="326"/>
      <c r="S883" s="327"/>
    </row>
    <row r="884" spans="1:19" ht="15" customHeight="1">
      <c r="A884" s="561">
        <f t="shared" si="14"/>
        <v>884</v>
      </c>
      <c r="B884" s="31">
        <v>111</v>
      </c>
      <c r="C884" s="249" t="s">
        <v>854</v>
      </c>
      <c r="D884" s="320" t="s">
        <v>22</v>
      </c>
      <c r="E884" s="321"/>
      <c r="F884" s="322" t="s">
        <v>125</v>
      </c>
      <c r="G884" s="323"/>
      <c r="H884" s="322" t="s">
        <v>299</v>
      </c>
      <c r="I884" s="324">
        <v>2.5</v>
      </c>
      <c r="J884" s="325"/>
      <c r="K884" s="325"/>
      <c r="L884" s="325"/>
      <c r="M884" s="325">
        <v>2.3849999999999998</v>
      </c>
      <c r="N884" s="325"/>
      <c r="O884" s="326"/>
      <c r="P884" s="326"/>
      <c r="Q884" s="326"/>
      <c r="R884" s="326">
        <v>2.5</v>
      </c>
      <c r="S884" s="327" t="s">
        <v>1056</v>
      </c>
    </row>
    <row r="885" spans="1:19" ht="15" customHeight="1">
      <c r="A885" s="561">
        <f t="shared" si="14"/>
        <v>885</v>
      </c>
      <c r="B885" s="31">
        <v>111</v>
      </c>
      <c r="C885" s="249" t="s">
        <v>854</v>
      </c>
      <c r="D885" s="320" t="s">
        <v>22</v>
      </c>
      <c r="E885" s="321"/>
      <c r="F885" s="322" t="s">
        <v>1051</v>
      </c>
      <c r="G885" s="323"/>
      <c r="H885" s="322" t="s">
        <v>821</v>
      </c>
      <c r="I885" s="324">
        <f>26.6*1.4*1.5</f>
        <v>55.86</v>
      </c>
      <c r="J885" s="325"/>
      <c r="K885" s="325"/>
      <c r="L885" s="325"/>
      <c r="M885" s="325"/>
      <c r="N885" s="325"/>
      <c r="O885" s="326"/>
      <c r="P885" s="326"/>
      <c r="Q885" s="326"/>
      <c r="R885" s="326"/>
      <c r="S885" s="327"/>
    </row>
    <row r="886" spans="1:19" ht="15" customHeight="1">
      <c r="A886" s="561">
        <f t="shared" si="14"/>
        <v>886</v>
      </c>
      <c r="B886" s="31">
        <v>111</v>
      </c>
      <c r="C886" s="249" t="s">
        <v>854</v>
      </c>
      <c r="D886" s="320" t="s">
        <v>22</v>
      </c>
      <c r="E886" s="321"/>
      <c r="F886" s="322" t="s">
        <v>1052</v>
      </c>
      <c r="G886" s="323"/>
      <c r="H886" s="322" t="s">
        <v>821</v>
      </c>
      <c r="I886" s="324">
        <f>26.6*1.4*1.5</f>
        <v>55.86</v>
      </c>
      <c r="J886" s="325"/>
      <c r="K886" s="325"/>
      <c r="L886" s="325"/>
      <c r="M886" s="325"/>
      <c r="N886" s="325"/>
      <c r="O886" s="326"/>
      <c r="P886" s="326"/>
      <c r="Q886" s="326"/>
      <c r="R886" s="326"/>
      <c r="S886" s="327"/>
    </row>
    <row r="887" spans="1:19" ht="15" customHeight="1">
      <c r="A887" s="561">
        <f t="shared" si="14"/>
        <v>887</v>
      </c>
      <c r="B887" s="31">
        <v>111</v>
      </c>
      <c r="C887" s="249" t="s">
        <v>854</v>
      </c>
      <c r="D887" s="320" t="s">
        <v>22</v>
      </c>
      <c r="E887" s="321"/>
      <c r="F887" s="322" t="s">
        <v>1053</v>
      </c>
      <c r="G887" s="323"/>
      <c r="H887" s="322" t="s">
        <v>821</v>
      </c>
      <c r="I887" s="324">
        <f>26.6*1.4*1.5</f>
        <v>55.86</v>
      </c>
      <c r="J887" s="325"/>
      <c r="K887" s="325"/>
      <c r="L887" s="325"/>
      <c r="M887" s="325"/>
      <c r="N887" s="325"/>
      <c r="O887" s="326"/>
      <c r="P887" s="326"/>
      <c r="Q887" s="326"/>
      <c r="R887" s="326"/>
      <c r="S887" s="327"/>
    </row>
    <row r="888" spans="1:19" ht="15" customHeight="1">
      <c r="A888" s="561">
        <f t="shared" si="14"/>
        <v>888</v>
      </c>
      <c r="B888" s="31">
        <v>111</v>
      </c>
      <c r="C888" s="249" t="s">
        <v>854</v>
      </c>
      <c r="D888" s="320" t="s">
        <v>22</v>
      </c>
      <c r="E888" s="321"/>
      <c r="F888" s="322" t="s">
        <v>64</v>
      </c>
      <c r="G888" s="323"/>
      <c r="H888" s="322" t="s">
        <v>68</v>
      </c>
      <c r="I888" s="324">
        <f>26.6*3.7*1.5</f>
        <v>147.63000000000002</v>
      </c>
      <c r="J888" s="325"/>
      <c r="K888" s="325"/>
      <c r="L888" s="325"/>
      <c r="M888" s="325">
        <f>12*3+14*0.93*0.57+11*1.4*0.57</f>
        <v>52.199399999999997</v>
      </c>
      <c r="N888" s="325"/>
      <c r="O888" s="326"/>
      <c r="P888" s="326"/>
      <c r="Q888" s="326"/>
      <c r="R888" s="326"/>
      <c r="S888" s="327"/>
    </row>
    <row r="889" spans="1:19" ht="15" customHeight="1">
      <c r="A889" s="561">
        <f t="shared" si="14"/>
        <v>889</v>
      </c>
      <c r="B889" s="31">
        <v>111</v>
      </c>
      <c r="C889" s="249" t="s">
        <v>854</v>
      </c>
      <c r="D889" s="320" t="s">
        <v>22</v>
      </c>
      <c r="E889" s="321"/>
      <c r="F889" s="322" t="s">
        <v>1054</v>
      </c>
      <c r="G889" s="323"/>
      <c r="H889" s="322" t="s">
        <v>160</v>
      </c>
      <c r="I889" s="324">
        <f>3.7*3.7</f>
        <v>13.690000000000001</v>
      </c>
      <c r="J889" s="325"/>
      <c r="K889" s="325"/>
      <c r="L889" s="325"/>
      <c r="M889" s="325"/>
      <c r="N889" s="325">
        <f>3.7*3.7*3</f>
        <v>41.070000000000007</v>
      </c>
      <c r="O889" s="326"/>
      <c r="P889" s="326">
        <f>I889</f>
        <v>13.690000000000001</v>
      </c>
      <c r="Q889" s="326"/>
      <c r="R889" s="326"/>
      <c r="S889" s="327"/>
    </row>
    <row r="890" spans="1:19" ht="15" customHeight="1">
      <c r="A890" s="561">
        <f t="shared" si="14"/>
        <v>890</v>
      </c>
      <c r="B890" s="31">
        <v>112</v>
      </c>
      <c r="C890" s="249" t="s">
        <v>140</v>
      </c>
      <c r="D890" s="320" t="s">
        <v>22</v>
      </c>
      <c r="E890" s="321"/>
      <c r="F890" s="322" t="s">
        <v>141</v>
      </c>
      <c r="G890" s="323" t="s">
        <v>1782</v>
      </c>
      <c r="H890" s="322" t="s">
        <v>160</v>
      </c>
      <c r="I890" s="324">
        <v>32</v>
      </c>
      <c r="J890" s="325"/>
      <c r="K890" s="325"/>
      <c r="L890" s="325"/>
      <c r="M890" s="325"/>
      <c r="N890" s="325">
        <v>54</v>
      </c>
      <c r="O890" s="326"/>
      <c r="P890" s="326"/>
      <c r="Q890" s="326">
        <v>13.1</v>
      </c>
      <c r="R890" s="326"/>
      <c r="S890" s="327" t="s">
        <v>132</v>
      </c>
    </row>
    <row r="891" spans="1:19" ht="15" customHeight="1">
      <c r="A891" s="561">
        <f t="shared" si="14"/>
        <v>891</v>
      </c>
      <c r="B891" s="31">
        <v>112</v>
      </c>
      <c r="C891" s="249" t="s">
        <v>140</v>
      </c>
      <c r="D891" s="320" t="s">
        <v>22</v>
      </c>
      <c r="E891" s="321"/>
      <c r="F891" s="322" t="s">
        <v>141</v>
      </c>
      <c r="G891" s="323" t="s">
        <v>1783</v>
      </c>
      <c r="H891" s="322" t="s">
        <v>160</v>
      </c>
      <c r="I891" s="324">
        <v>27.08</v>
      </c>
      <c r="J891" s="325"/>
      <c r="K891" s="325"/>
      <c r="L891" s="325"/>
      <c r="M891" s="325"/>
      <c r="N891" s="325">
        <v>44</v>
      </c>
      <c r="O891" s="326"/>
      <c r="P891" s="326"/>
      <c r="Q891" s="326">
        <v>13.1</v>
      </c>
      <c r="R891" s="326"/>
      <c r="S891" s="327" t="s">
        <v>133</v>
      </c>
    </row>
    <row r="892" spans="1:19" ht="15" customHeight="1">
      <c r="A892" s="561">
        <f t="shared" si="14"/>
        <v>892</v>
      </c>
      <c r="B892" s="31">
        <v>112</v>
      </c>
      <c r="C892" s="249" t="s">
        <v>140</v>
      </c>
      <c r="D892" s="320" t="s">
        <v>22</v>
      </c>
      <c r="E892" s="321"/>
      <c r="F892" s="322" t="s">
        <v>143</v>
      </c>
      <c r="G892" s="323" t="s">
        <v>1724</v>
      </c>
      <c r="H892" s="322" t="s">
        <v>109</v>
      </c>
      <c r="I892" s="324">
        <v>181.72</v>
      </c>
      <c r="J892" s="325"/>
      <c r="K892" s="325"/>
      <c r="L892" s="325"/>
      <c r="M892" s="325">
        <v>20</v>
      </c>
      <c r="N892" s="325">
        <v>590</v>
      </c>
      <c r="O892" s="326"/>
      <c r="P892" s="326"/>
      <c r="Q892" s="326"/>
      <c r="R892" s="326"/>
      <c r="S892" s="327"/>
    </row>
    <row r="893" spans="1:19" ht="15" customHeight="1">
      <c r="A893" s="561">
        <f t="shared" si="14"/>
        <v>893</v>
      </c>
      <c r="B893" s="31">
        <v>112</v>
      </c>
      <c r="C893" s="249" t="s">
        <v>140</v>
      </c>
      <c r="D893" s="320" t="s">
        <v>22</v>
      </c>
      <c r="E893" s="321"/>
      <c r="F893" s="322" t="s">
        <v>143</v>
      </c>
      <c r="G893" s="323" t="s">
        <v>1770</v>
      </c>
      <c r="H893" s="322" t="s">
        <v>109</v>
      </c>
      <c r="I893" s="324">
        <v>149.87</v>
      </c>
      <c r="J893" s="325"/>
      <c r="K893" s="325"/>
      <c r="L893" s="325"/>
      <c r="M893" s="325">
        <v>20</v>
      </c>
      <c r="N893" s="325">
        <v>593</v>
      </c>
      <c r="O893" s="326"/>
      <c r="P893" s="326"/>
      <c r="Q893" s="326"/>
      <c r="R893" s="326"/>
      <c r="S893" s="327"/>
    </row>
    <row r="894" spans="1:19" ht="15" customHeight="1">
      <c r="A894" s="561">
        <f t="shared" si="14"/>
        <v>894</v>
      </c>
      <c r="B894" s="31">
        <v>112</v>
      </c>
      <c r="C894" s="249" t="s">
        <v>140</v>
      </c>
      <c r="D894" s="320" t="s">
        <v>22</v>
      </c>
      <c r="E894" s="321"/>
      <c r="F894" s="322" t="s">
        <v>144</v>
      </c>
      <c r="G894" s="323" t="s">
        <v>1725</v>
      </c>
      <c r="H894" s="322" t="s">
        <v>109</v>
      </c>
      <c r="I894" s="324">
        <v>7.4</v>
      </c>
      <c r="J894" s="325"/>
      <c r="K894" s="325"/>
      <c r="L894" s="325"/>
      <c r="M894" s="325"/>
      <c r="N894" s="325">
        <f>31.7-5*1.9</f>
        <v>22.2</v>
      </c>
      <c r="O894" s="326"/>
      <c r="P894" s="326">
        <f>I894</f>
        <v>7.4</v>
      </c>
      <c r="Q894" s="326"/>
      <c r="R894" s="326"/>
      <c r="S894" s="327"/>
    </row>
    <row r="895" spans="1:19" ht="15" customHeight="1">
      <c r="A895" s="561">
        <f t="shared" si="14"/>
        <v>895</v>
      </c>
      <c r="B895" s="31">
        <v>112</v>
      </c>
      <c r="C895" s="249" t="s">
        <v>140</v>
      </c>
      <c r="D895" s="320" t="s">
        <v>22</v>
      </c>
      <c r="E895" s="321"/>
      <c r="F895" s="322" t="s">
        <v>112</v>
      </c>
      <c r="G895" s="323" t="s">
        <v>1726</v>
      </c>
      <c r="H895" s="322" t="s">
        <v>109</v>
      </c>
      <c r="I895" s="324">
        <v>3.9</v>
      </c>
      <c r="J895" s="325"/>
      <c r="K895" s="325"/>
      <c r="L895" s="325">
        <f>22.8-3*2.4-1.9</f>
        <v>13.700000000000001</v>
      </c>
      <c r="M895" s="325"/>
      <c r="N895" s="325"/>
      <c r="O895" s="326">
        <f>I895</f>
        <v>3.9</v>
      </c>
      <c r="P895" s="326"/>
      <c r="Q895" s="326"/>
      <c r="R895" s="326"/>
      <c r="S895" s="327" t="s">
        <v>133</v>
      </c>
    </row>
    <row r="896" spans="1:19" ht="15" customHeight="1">
      <c r="A896" s="561">
        <f t="shared" si="14"/>
        <v>896</v>
      </c>
      <c r="B896" s="31">
        <v>112</v>
      </c>
      <c r="C896" s="249" t="s">
        <v>140</v>
      </c>
      <c r="D896" s="320" t="s">
        <v>22</v>
      </c>
      <c r="E896" s="321"/>
      <c r="F896" s="322" t="s">
        <v>145</v>
      </c>
      <c r="G896" s="323" t="s">
        <v>1727</v>
      </c>
      <c r="H896" s="322" t="s">
        <v>160</v>
      </c>
      <c r="I896" s="324">
        <v>5</v>
      </c>
      <c r="J896" s="325"/>
      <c r="K896" s="325"/>
      <c r="L896" s="325">
        <v>76</v>
      </c>
      <c r="M896" s="325"/>
      <c r="N896" s="325">
        <f>21.4-3*1.9</f>
        <v>15.7</v>
      </c>
      <c r="O896" s="326">
        <f>I896</f>
        <v>5</v>
      </c>
      <c r="P896" s="326"/>
      <c r="Q896" s="326"/>
      <c r="R896" s="326"/>
      <c r="S896" s="327"/>
    </row>
    <row r="897" spans="1:19" ht="15" customHeight="1">
      <c r="A897" s="561">
        <f t="shared" si="14"/>
        <v>897</v>
      </c>
      <c r="B897" s="31">
        <v>112</v>
      </c>
      <c r="C897" s="249" t="s">
        <v>140</v>
      </c>
      <c r="D897" s="320" t="s">
        <v>22</v>
      </c>
      <c r="E897" s="321"/>
      <c r="F897" s="322" t="s">
        <v>146</v>
      </c>
      <c r="G897" s="323" t="s">
        <v>1728</v>
      </c>
      <c r="H897" s="322" t="s">
        <v>160</v>
      </c>
      <c r="I897" s="324">
        <v>8.6999999999999993</v>
      </c>
      <c r="J897" s="325"/>
      <c r="K897" s="325"/>
      <c r="L897" s="325"/>
      <c r="M897" s="325"/>
      <c r="N897" s="325">
        <f>40.3-3*1.9</f>
        <v>34.599999999999994</v>
      </c>
      <c r="O897" s="326"/>
      <c r="P897" s="326">
        <f>I897</f>
        <v>8.6999999999999993</v>
      </c>
      <c r="Q897" s="326"/>
      <c r="R897" s="326"/>
      <c r="S897" s="327"/>
    </row>
    <row r="898" spans="1:19" ht="15" customHeight="1">
      <c r="A898" s="561">
        <f t="shared" si="14"/>
        <v>898</v>
      </c>
      <c r="B898" s="31">
        <v>112</v>
      </c>
      <c r="C898" s="249" t="s">
        <v>140</v>
      </c>
      <c r="D898" s="320" t="s">
        <v>22</v>
      </c>
      <c r="E898" s="321"/>
      <c r="F898" s="322" t="s">
        <v>147</v>
      </c>
      <c r="G898" s="323" t="s">
        <v>1791</v>
      </c>
      <c r="H898" s="322" t="s">
        <v>142</v>
      </c>
      <c r="I898" s="324">
        <v>15.9</v>
      </c>
      <c r="J898" s="325"/>
      <c r="K898" s="325"/>
      <c r="L898" s="325"/>
      <c r="M898" s="325"/>
      <c r="N898" s="325">
        <f>52.8-2*1.9</f>
        <v>49</v>
      </c>
      <c r="O898" s="326">
        <f>I898</f>
        <v>15.9</v>
      </c>
      <c r="P898" s="326"/>
      <c r="Q898" s="326"/>
      <c r="R898" s="326"/>
      <c r="S898" s="327"/>
    </row>
    <row r="899" spans="1:19" ht="15" customHeight="1">
      <c r="A899" s="561">
        <f t="shared" ref="A899:A962" si="16">1+A898</f>
        <v>899</v>
      </c>
      <c r="B899" s="31">
        <v>112</v>
      </c>
      <c r="C899" s="249" t="s">
        <v>140</v>
      </c>
      <c r="D899" s="320" t="s">
        <v>22</v>
      </c>
      <c r="E899" s="321"/>
      <c r="F899" s="322" t="s">
        <v>31</v>
      </c>
      <c r="G899" s="323" t="s">
        <v>1792</v>
      </c>
      <c r="H899" s="322" t="s">
        <v>1325</v>
      </c>
      <c r="I899" s="324">
        <v>22.6</v>
      </c>
      <c r="J899" s="325"/>
      <c r="K899" s="325"/>
      <c r="L899" s="325"/>
      <c r="M899" s="325"/>
      <c r="N899" s="325">
        <f>66.1-1.9</f>
        <v>64.199999999999989</v>
      </c>
      <c r="O899" s="326"/>
      <c r="P899" s="326">
        <f>I899</f>
        <v>22.6</v>
      </c>
      <c r="Q899" s="326"/>
      <c r="R899" s="326"/>
      <c r="S899" s="327"/>
    </row>
    <row r="900" spans="1:19" ht="15" customHeight="1">
      <c r="A900" s="561">
        <f t="shared" si="16"/>
        <v>900</v>
      </c>
      <c r="B900" s="31">
        <v>112</v>
      </c>
      <c r="C900" s="249" t="s">
        <v>140</v>
      </c>
      <c r="D900" s="320" t="s">
        <v>22</v>
      </c>
      <c r="E900" s="321"/>
      <c r="F900" s="322" t="s">
        <v>116</v>
      </c>
      <c r="G900" s="323" t="s">
        <v>1729</v>
      </c>
      <c r="H900" s="322" t="s">
        <v>160</v>
      </c>
      <c r="I900" s="324">
        <v>6.8</v>
      </c>
      <c r="J900" s="325"/>
      <c r="K900" s="325"/>
      <c r="L900" s="325">
        <f>30.8-1.9</f>
        <v>28.900000000000002</v>
      </c>
      <c r="M900" s="325"/>
      <c r="N900" s="325"/>
      <c r="O900" s="326"/>
      <c r="P900" s="326">
        <f>I900</f>
        <v>6.8</v>
      </c>
      <c r="Q900" s="326"/>
      <c r="R900" s="326"/>
      <c r="S900" s="327"/>
    </row>
    <row r="901" spans="1:19" ht="15" customHeight="1">
      <c r="A901" s="561">
        <f t="shared" si="16"/>
        <v>901</v>
      </c>
      <c r="B901" s="31">
        <v>112</v>
      </c>
      <c r="C901" s="249" t="s">
        <v>140</v>
      </c>
      <c r="D901" s="320" t="s">
        <v>22</v>
      </c>
      <c r="E901" s="321"/>
      <c r="F901" s="322" t="s">
        <v>36</v>
      </c>
      <c r="G901" s="323" t="s">
        <v>1771</v>
      </c>
      <c r="H901" s="322" t="s">
        <v>160</v>
      </c>
      <c r="I901" s="324">
        <v>13</v>
      </c>
      <c r="J901" s="325"/>
      <c r="K901" s="325"/>
      <c r="L901" s="325">
        <f>44-12.4</f>
        <v>31.6</v>
      </c>
      <c r="M901" s="325"/>
      <c r="N901" s="325"/>
      <c r="O901" s="326">
        <f>I901</f>
        <v>13</v>
      </c>
      <c r="P901" s="326"/>
      <c r="Q901" s="326"/>
      <c r="R901" s="326"/>
      <c r="S901" s="327"/>
    </row>
    <row r="902" spans="1:19" ht="15" customHeight="1">
      <c r="A902" s="561">
        <f t="shared" si="16"/>
        <v>902</v>
      </c>
      <c r="B902" s="31">
        <v>112</v>
      </c>
      <c r="C902" s="249" t="s">
        <v>140</v>
      </c>
      <c r="D902" s="320" t="s">
        <v>22</v>
      </c>
      <c r="E902" s="321"/>
      <c r="F902" s="322" t="s">
        <v>36</v>
      </c>
      <c r="G902" s="323" t="s">
        <v>1772</v>
      </c>
      <c r="H902" s="322" t="s">
        <v>160</v>
      </c>
      <c r="I902" s="324">
        <v>9.6</v>
      </c>
      <c r="J902" s="325"/>
      <c r="K902" s="325"/>
      <c r="L902" s="325">
        <f>30.5-1.9</f>
        <v>28.6</v>
      </c>
      <c r="M902" s="325"/>
      <c r="N902" s="325">
        <v>15.3</v>
      </c>
      <c r="O902" s="326">
        <f>I902</f>
        <v>9.6</v>
      </c>
      <c r="P902" s="326"/>
      <c r="Q902" s="326"/>
      <c r="R902" s="326"/>
      <c r="S902" s="327"/>
    </row>
    <row r="903" spans="1:19" ht="15" customHeight="1">
      <c r="A903" s="561">
        <f t="shared" si="16"/>
        <v>903</v>
      </c>
      <c r="B903" s="31">
        <v>112</v>
      </c>
      <c r="C903" s="249" t="s">
        <v>140</v>
      </c>
      <c r="D903" s="320" t="s">
        <v>22</v>
      </c>
      <c r="E903" s="321"/>
      <c r="F903" s="322" t="s">
        <v>37</v>
      </c>
      <c r="G903" s="323" t="s">
        <v>1730</v>
      </c>
      <c r="H903" s="322" t="s">
        <v>160</v>
      </c>
      <c r="I903" s="324">
        <v>10.6</v>
      </c>
      <c r="J903" s="325"/>
      <c r="K903" s="325"/>
      <c r="L903" s="325">
        <f>37.3-2.4</f>
        <v>34.9</v>
      </c>
      <c r="M903" s="325"/>
      <c r="N903" s="325"/>
      <c r="O903" s="326">
        <f>I903</f>
        <v>10.6</v>
      </c>
      <c r="P903" s="326"/>
      <c r="Q903" s="326"/>
      <c r="R903" s="326"/>
      <c r="S903" s="327"/>
    </row>
    <row r="904" spans="1:19" ht="15" customHeight="1">
      <c r="A904" s="561">
        <f t="shared" si="16"/>
        <v>904</v>
      </c>
      <c r="B904" s="31">
        <v>112</v>
      </c>
      <c r="C904" s="249" t="s">
        <v>140</v>
      </c>
      <c r="D904" s="320" t="s">
        <v>22</v>
      </c>
      <c r="E904" s="321"/>
      <c r="F904" s="322" t="s">
        <v>119</v>
      </c>
      <c r="G904" s="323" t="s">
        <v>1731</v>
      </c>
      <c r="H904" s="322" t="s">
        <v>160</v>
      </c>
      <c r="I904" s="324">
        <v>4</v>
      </c>
      <c r="J904" s="325"/>
      <c r="K904" s="325"/>
      <c r="L904" s="325"/>
      <c r="M904" s="325"/>
      <c r="N904" s="325">
        <v>23</v>
      </c>
      <c r="O904" s="326">
        <f>I904</f>
        <v>4</v>
      </c>
      <c r="P904" s="326"/>
      <c r="Q904" s="326"/>
      <c r="R904" s="326"/>
      <c r="S904" s="327"/>
    </row>
    <row r="905" spans="1:19" ht="15" customHeight="1">
      <c r="A905" s="561">
        <f t="shared" si="16"/>
        <v>905</v>
      </c>
      <c r="B905" s="31">
        <v>112</v>
      </c>
      <c r="C905" s="249" t="s">
        <v>140</v>
      </c>
      <c r="D905" s="320" t="s">
        <v>22</v>
      </c>
      <c r="E905" s="321"/>
      <c r="F905" s="322" t="s">
        <v>41</v>
      </c>
      <c r="G905" s="323" t="s">
        <v>1773</v>
      </c>
      <c r="H905" s="322" t="s">
        <v>160</v>
      </c>
      <c r="I905" s="324">
        <v>14.1</v>
      </c>
      <c r="J905" s="325"/>
      <c r="K905" s="325"/>
      <c r="L905" s="325"/>
      <c r="M905" s="325"/>
      <c r="N905" s="325">
        <f>23-1.9</f>
        <v>21.1</v>
      </c>
      <c r="O905" s="326"/>
      <c r="P905" s="326">
        <f>I905</f>
        <v>14.1</v>
      </c>
      <c r="Q905" s="326"/>
      <c r="R905" s="326"/>
      <c r="S905" s="327"/>
    </row>
    <row r="906" spans="1:19" ht="15" customHeight="1">
      <c r="A906" s="561">
        <f t="shared" si="16"/>
        <v>906</v>
      </c>
      <c r="B906" s="31">
        <v>112</v>
      </c>
      <c r="C906" s="249" t="s">
        <v>140</v>
      </c>
      <c r="D906" s="320" t="s">
        <v>22</v>
      </c>
      <c r="E906" s="321"/>
      <c r="F906" s="322" t="s">
        <v>128</v>
      </c>
      <c r="G906" s="323" t="s">
        <v>1793</v>
      </c>
      <c r="H906" s="322" t="s">
        <v>160</v>
      </c>
      <c r="I906" s="324">
        <v>6.24</v>
      </c>
      <c r="J906" s="325"/>
      <c r="K906" s="325"/>
      <c r="L906" s="325">
        <f>13-1.9</f>
        <v>11.1</v>
      </c>
      <c r="M906" s="325"/>
      <c r="N906" s="325"/>
      <c r="O906" s="326">
        <f>I906</f>
        <v>6.24</v>
      </c>
      <c r="P906" s="326"/>
      <c r="Q906" s="326"/>
      <c r="R906" s="326"/>
      <c r="S906" s="327"/>
    </row>
    <row r="907" spans="1:19" ht="15" customHeight="1">
      <c r="A907" s="561">
        <f t="shared" si="16"/>
        <v>907</v>
      </c>
      <c r="B907" s="31">
        <v>112</v>
      </c>
      <c r="C907" s="249" t="s">
        <v>140</v>
      </c>
      <c r="D907" s="320" t="s">
        <v>22</v>
      </c>
      <c r="E907" s="321"/>
      <c r="F907" s="322" t="s">
        <v>120</v>
      </c>
      <c r="G907" s="323" t="s">
        <v>1774</v>
      </c>
      <c r="H907" s="322" t="s">
        <v>148</v>
      </c>
      <c r="I907" s="324">
        <v>2.6</v>
      </c>
      <c r="J907" s="325">
        <f>21.6-3*1.9</f>
        <v>15.900000000000002</v>
      </c>
      <c r="K907" s="325"/>
      <c r="L907" s="325"/>
      <c r="M907" s="325"/>
      <c r="N907" s="325"/>
      <c r="O907" s="326"/>
      <c r="P907" s="326"/>
      <c r="Q907" s="326">
        <f>I907</f>
        <v>2.6</v>
      </c>
      <c r="R907" s="326"/>
      <c r="S907" s="327"/>
    </row>
    <row r="908" spans="1:19" ht="15" customHeight="1">
      <c r="A908" s="561">
        <f t="shared" si="16"/>
        <v>908</v>
      </c>
      <c r="B908" s="31">
        <v>112</v>
      </c>
      <c r="C908" s="249" t="s">
        <v>140</v>
      </c>
      <c r="D908" s="320" t="s">
        <v>22</v>
      </c>
      <c r="E908" s="321"/>
      <c r="F908" s="322" t="s">
        <v>121</v>
      </c>
      <c r="G908" s="323" t="s">
        <v>1775</v>
      </c>
      <c r="H908" s="322" t="s">
        <v>148</v>
      </c>
      <c r="I908" s="324">
        <v>2.6</v>
      </c>
      <c r="J908" s="325">
        <f>21.6-3*1.9</f>
        <v>15.900000000000002</v>
      </c>
      <c r="K908" s="325"/>
      <c r="L908" s="325"/>
      <c r="M908" s="325"/>
      <c r="N908" s="325"/>
      <c r="O908" s="326"/>
      <c r="P908" s="326"/>
      <c r="Q908" s="326">
        <f>I908</f>
        <v>2.6</v>
      </c>
      <c r="R908" s="326"/>
      <c r="S908" s="327"/>
    </row>
    <row r="909" spans="1:19" ht="15" customHeight="1">
      <c r="A909" s="561">
        <f t="shared" si="16"/>
        <v>909</v>
      </c>
      <c r="B909" s="31">
        <v>112</v>
      </c>
      <c r="C909" s="249" t="s">
        <v>140</v>
      </c>
      <c r="D909" s="320" t="s">
        <v>22</v>
      </c>
      <c r="E909" s="321"/>
      <c r="F909" s="322" t="s">
        <v>149</v>
      </c>
      <c r="G909" s="323" t="s">
        <v>1758</v>
      </c>
      <c r="H909" s="322" t="s">
        <v>160</v>
      </c>
      <c r="I909" s="324">
        <v>2</v>
      </c>
      <c r="J909" s="325"/>
      <c r="K909" s="325"/>
      <c r="L909" s="325"/>
      <c r="M909" s="325">
        <v>3.2</v>
      </c>
      <c r="N909" s="325">
        <v>13</v>
      </c>
      <c r="O909" s="326"/>
      <c r="P909" s="326">
        <f>I909</f>
        <v>2</v>
      </c>
      <c r="Q909" s="326"/>
      <c r="R909" s="326"/>
      <c r="S909" s="327"/>
    </row>
    <row r="910" spans="1:19" ht="15" customHeight="1">
      <c r="A910" s="561">
        <f t="shared" si="16"/>
        <v>910</v>
      </c>
      <c r="B910" s="31">
        <v>112</v>
      </c>
      <c r="C910" s="249" t="s">
        <v>140</v>
      </c>
      <c r="D910" s="320" t="s">
        <v>22</v>
      </c>
      <c r="E910" s="321"/>
      <c r="F910" s="322" t="s">
        <v>149</v>
      </c>
      <c r="G910" s="323" t="s">
        <v>1759</v>
      </c>
      <c r="H910" s="322" t="s">
        <v>160</v>
      </c>
      <c r="I910" s="324">
        <v>2</v>
      </c>
      <c r="J910" s="325"/>
      <c r="K910" s="325"/>
      <c r="L910" s="325"/>
      <c r="M910" s="325">
        <v>3.2</v>
      </c>
      <c r="N910" s="325">
        <v>13</v>
      </c>
      <c r="O910" s="326"/>
      <c r="P910" s="326">
        <f>I910</f>
        <v>2</v>
      </c>
      <c r="Q910" s="326"/>
      <c r="R910" s="326"/>
      <c r="S910" s="327"/>
    </row>
    <row r="911" spans="1:19" ht="15" customHeight="1">
      <c r="A911" s="561">
        <f t="shared" si="16"/>
        <v>911</v>
      </c>
      <c r="B911" s="31">
        <v>112</v>
      </c>
      <c r="C911" s="249" t="s">
        <v>140</v>
      </c>
      <c r="D911" s="320" t="s">
        <v>22</v>
      </c>
      <c r="E911" s="321"/>
      <c r="F911" s="322" t="s">
        <v>315</v>
      </c>
      <c r="G911" s="323" t="s">
        <v>1760</v>
      </c>
      <c r="H911" s="322" t="s">
        <v>109</v>
      </c>
      <c r="I911" s="324">
        <v>5.8</v>
      </c>
      <c r="J911" s="325"/>
      <c r="K911" s="325"/>
      <c r="L911" s="325"/>
      <c r="M911" s="325"/>
      <c r="N911" s="325">
        <v>17</v>
      </c>
      <c r="O911" s="326"/>
      <c r="P911" s="326">
        <f>I911</f>
        <v>5.8</v>
      </c>
      <c r="Q911" s="326"/>
      <c r="R911" s="326"/>
      <c r="S911" s="327"/>
    </row>
    <row r="912" spans="1:19" ht="15" customHeight="1">
      <c r="A912" s="561">
        <f t="shared" si="16"/>
        <v>912</v>
      </c>
      <c r="B912" s="31">
        <v>112</v>
      </c>
      <c r="C912" s="249" t="s">
        <v>140</v>
      </c>
      <c r="D912" s="320" t="s">
        <v>22</v>
      </c>
      <c r="E912" s="321"/>
      <c r="F912" s="322" t="s">
        <v>46</v>
      </c>
      <c r="G912" s="323" t="s">
        <v>46</v>
      </c>
      <c r="H912" s="322" t="s">
        <v>299</v>
      </c>
      <c r="I912" s="324">
        <v>2.8</v>
      </c>
      <c r="J912" s="325"/>
      <c r="K912" s="325"/>
      <c r="L912" s="325"/>
      <c r="M912" s="325">
        <v>3.5</v>
      </c>
      <c r="N912" s="325"/>
      <c r="O912" s="326"/>
      <c r="P912" s="326"/>
      <c r="Q912" s="326">
        <f>I912</f>
        <v>2.8</v>
      </c>
      <c r="R912" s="326"/>
      <c r="S912" s="327" t="s">
        <v>1058</v>
      </c>
    </row>
    <row r="913" spans="1:19" ht="15" customHeight="1">
      <c r="A913" s="561">
        <f t="shared" si="16"/>
        <v>913</v>
      </c>
      <c r="B913" s="31">
        <v>112</v>
      </c>
      <c r="C913" s="249" t="s">
        <v>140</v>
      </c>
      <c r="D913" s="320" t="s">
        <v>22</v>
      </c>
      <c r="E913" s="321"/>
      <c r="F913" s="322" t="s">
        <v>150</v>
      </c>
      <c r="G913" s="323" t="s">
        <v>1776</v>
      </c>
      <c r="H913" s="322" t="s">
        <v>12</v>
      </c>
      <c r="I913" s="324">
        <v>5.8</v>
      </c>
      <c r="J913" s="325"/>
      <c r="K913" s="325"/>
      <c r="L913" s="325">
        <v>25.3</v>
      </c>
      <c r="M913" s="325"/>
      <c r="N913" s="325"/>
      <c r="O913" s="326">
        <f>I913</f>
        <v>5.8</v>
      </c>
      <c r="P913" s="326"/>
      <c r="Q913" s="326"/>
      <c r="R913" s="326"/>
      <c r="S913" s="327"/>
    </row>
    <row r="914" spans="1:19" ht="15" customHeight="1">
      <c r="A914" s="561">
        <f t="shared" si="16"/>
        <v>914</v>
      </c>
      <c r="B914" s="31">
        <v>112</v>
      </c>
      <c r="C914" s="249" t="s">
        <v>140</v>
      </c>
      <c r="D914" s="320" t="s">
        <v>22</v>
      </c>
      <c r="E914" s="321"/>
      <c r="F914" s="322" t="s">
        <v>151</v>
      </c>
      <c r="G914" s="323" t="s">
        <v>1777</v>
      </c>
      <c r="H914" s="322" t="s">
        <v>12</v>
      </c>
      <c r="I914" s="324">
        <v>3.97</v>
      </c>
      <c r="J914" s="325"/>
      <c r="K914" s="325"/>
      <c r="L914" s="325"/>
      <c r="M914" s="325"/>
      <c r="N914" s="325"/>
      <c r="O914" s="326"/>
      <c r="P914" s="326"/>
      <c r="Q914" s="326"/>
      <c r="R914" s="326"/>
      <c r="S914" s="327" t="s">
        <v>316</v>
      </c>
    </row>
    <row r="915" spans="1:19" ht="15" customHeight="1">
      <c r="A915" s="561">
        <f t="shared" si="16"/>
        <v>915</v>
      </c>
      <c r="B915" s="31">
        <v>112</v>
      </c>
      <c r="C915" s="249" t="s">
        <v>140</v>
      </c>
      <c r="D915" s="320" t="s">
        <v>22</v>
      </c>
      <c r="E915" s="321"/>
      <c r="F915" s="322" t="s">
        <v>184</v>
      </c>
      <c r="G915" s="323" t="s">
        <v>1778</v>
      </c>
      <c r="H915" s="322" t="s">
        <v>160</v>
      </c>
      <c r="I915" s="324">
        <v>10.4</v>
      </c>
      <c r="J915" s="325"/>
      <c r="K915" s="325"/>
      <c r="L915" s="325">
        <f>41.1-2.4</f>
        <v>38.700000000000003</v>
      </c>
      <c r="M915" s="325"/>
      <c r="N915" s="325"/>
      <c r="O915" s="326">
        <f>I915</f>
        <v>10.4</v>
      </c>
      <c r="P915" s="326"/>
      <c r="Q915" s="326"/>
      <c r="R915" s="326"/>
      <c r="S915" s="327" t="s">
        <v>139</v>
      </c>
    </row>
    <row r="916" spans="1:19" ht="15" customHeight="1">
      <c r="A916" s="561">
        <f t="shared" si="16"/>
        <v>916</v>
      </c>
      <c r="B916" s="31">
        <v>112</v>
      </c>
      <c r="C916" s="249" t="s">
        <v>140</v>
      </c>
      <c r="D916" s="320" t="s">
        <v>22</v>
      </c>
      <c r="E916" s="321"/>
      <c r="F916" s="322" t="s">
        <v>127</v>
      </c>
      <c r="G916" s="323" t="s">
        <v>1736</v>
      </c>
      <c r="H916" s="322" t="s">
        <v>160</v>
      </c>
      <c r="I916" s="324">
        <v>20.7</v>
      </c>
      <c r="J916" s="325"/>
      <c r="K916" s="325"/>
      <c r="L916" s="325">
        <v>50.6</v>
      </c>
      <c r="M916" s="325"/>
      <c r="N916" s="325"/>
      <c r="O916" s="326">
        <f>I916</f>
        <v>20.7</v>
      </c>
      <c r="P916" s="326"/>
      <c r="Q916" s="326"/>
      <c r="R916" s="326"/>
      <c r="S916" s="327"/>
    </row>
    <row r="917" spans="1:19" ht="15" customHeight="1">
      <c r="A917" s="561">
        <f t="shared" si="16"/>
        <v>917</v>
      </c>
      <c r="B917" s="31">
        <v>112</v>
      </c>
      <c r="C917" s="249" t="s">
        <v>140</v>
      </c>
      <c r="D917" s="320" t="s">
        <v>22</v>
      </c>
      <c r="E917" s="321"/>
      <c r="F917" s="322" t="s">
        <v>152</v>
      </c>
      <c r="G917" s="323" t="s">
        <v>1739</v>
      </c>
      <c r="H917" s="322" t="s">
        <v>176</v>
      </c>
      <c r="I917" s="324">
        <v>18.2</v>
      </c>
      <c r="J917" s="325">
        <v>2.8</v>
      </c>
      <c r="K917" s="325"/>
      <c r="L917" s="325"/>
      <c r="M917" s="325"/>
      <c r="N917" s="325">
        <f>43.6+4.8</f>
        <v>48.4</v>
      </c>
      <c r="O917" s="326"/>
      <c r="P917" s="326">
        <f>I917</f>
        <v>18.2</v>
      </c>
      <c r="Q917" s="326"/>
      <c r="R917" s="326"/>
      <c r="S917" s="327"/>
    </row>
    <row r="918" spans="1:19" ht="15" customHeight="1">
      <c r="A918" s="561">
        <f t="shared" si="16"/>
        <v>918</v>
      </c>
      <c r="B918" s="31">
        <v>112</v>
      </c>
      <c r="C918" s="249" t="s">
        <v>140</v>
      </c>
      <c r="D918" s="320" t="s">
        <v>22</v>
      </c>
      <c r="E918" s="321"/>
      <c r="F918" s="322" t="s">
        <v>153</v>
      </c>
      <c r="G918" s="323" t="s">
        <v>1740</v>
      </c>
      <c r="H918" s="322" t="s">
        <v>109</v>
      </c>
      <c r="I918" s="324">
        <v>15.4</v>
      </c>
      <c r="J918" s="325"/>
      <c r="K918" s="325"/>
      <c r="L918" s="325"/>
      <c r="M918" s="325"/>
      <c r="N918" s="325">
        <v>21.5</v>
      </c>
      <c r="O918" s="326"/>
      <c r="P918" s="326">
        <f>I918</f>
        <v>15.4</v>
      </c>
      <c r="Q918" s="326"/>
      <c r="R918" s="326"/>
      <c r="S918" s="327"/>
    </row>
    <row r="919" spans="1:19" ht="15" customHeight="1">
      <c r="A919" s="561">
        <f t="shared" si="16"/>
        <v>919</v>
      </c>
      <c r="B919" s="31">
        <v>112</v>
      </c>
      <c r="C919" s="249" t="s">
        <v>140</v>
      </c>
      <c r="D919" s="320" t="s">
        <v>22</v>
      </c>
      <c r="E919" s="321"/>
      <c r="F919" s="322" t="s">
        <v>154</v>
      </c>
      <c r="G919" s="323" t="s">
        <v>1784</v>
      </c>
      <c r="H919" s="322" t="s">
        <v>176</v>
      </c>
      <c r="I919" s="324">
        <v>5.5</v>
      </c>
      <c r="J919" s="325"/>
      <c r="K919" s="325"/>
      <c r="L919" s="325"/>
      <c r="M919" s="325"/>
      <c r="N919" s="325">
        <f>30.5-2*1.9</f>
        <v>26.7</v>
      </c>
      <c r="O919" s="326"/>
      <c r="P919" s="326">
        <f>I919</f>
        <v>5.5</v>
      </c>
      <c r="Q919" s="326"/>
      <c r="R919" s="326"/>
      <c r="S919" s="327"/>
    </row>
    <row r="920" spans="1:19" ht="15" customHeight="1">
      <c r="A920" s="561">
        <f t="shared" si="16"/>
        <v>920</v>
      </c>
      <c r="B920" s="31">
        <v>112</v>
      </c>
      <c r="C920" s="249" t="s">
        <v>140</v>
      </c>
      <c r="D920" s="320" t="s">
        <v>22</v>
      </c>
      <c r="E920" s="321"/>
      <c r="F920" s="322" t="s">
        <v>155</v>
      </c>
      <c r="G920" s="323" t="s">
        <v>1794</v>
      </c>
      <c r="H920" s="322" t="s">
        <v>160</v>
      </c>
      <c r="I920" s="324">
        <v>13.9</v>
      </c>
      <c r="J920" s="325"/>
      <c r="K920" s="325"/>
      <c r="L920" s="325"/>
      <c r="M920" s="325"/>
      <c r="N920" s="325">
        <f>48.6-1.9</f>
        <v>46.7</v>
      </c>
      <c r="O920" s="326">
        <f>I920</f>
        <v>13.9</v>
      </c>
      <c r="P920" s="326"/>
      <c r="Q920" s="326"/>
      <c r="R920" s="326"/>
      <c r="S920" s="327"/>
    </row>
    <row r="921" spans="1:19" ht="15" customHeight="1">
      <c r="A921" s="561">
        <f t="shared" si="16"/>
        <v>921</v>
      </c>
      <c r="B921" s="31">
        <v>112</v>
      </c>
      <c r="C921" s="249" t="s">
        <v>140</v>
      </c>
      <c r="D921" s="320" t="s">
        <v>22</v>
      </c>
      <c r="E921" s="321"/>
      <c r="F921" s="322" t="s">
        <v>156</v>
      </c>
      <c r="G921" s="323" t="s">
        <v>1795</v>
      </c>
      <c r="H921" s="322" t="s">
        <v>176</v>
      </c>
      <c r="I921" s="324">
        <v>29.8</v>
      </c>
      <c r="J921" s="325"/>
      <c r="K921" s="325"/>
      <c r="L921" s="325"/>
      <c r="M921" s="325"/>
      <c r="N921" s="325">
        <f>67.3-1.9</f>
        <v>65.399999999999991</v>
      </c>
      <c r="O921" s="326"/>
      <c r="P921" s="326">
        <f>I921</f>
        <v>29.8</v>
      </c>
      <c r="Q921" s="326"/>
      <c r="R921" s="326"/>
      <c r="S921" s="327"/>
    </row>
    <row r="922" spans="1:19" ht="15" customHeight="1">
      <c r="A922" s="561">
        <f t="shared" si="16"/>
        <v>922</v>
      </c>
      <c r="B922" s="31">
        <v>112</v>
      </c>
      <c r="C922" s="249" t="s">
        <v>140</v>
      </c>
      <c r="D922" s="320" t="s">
        <v>22</v>
      </c>
      <c r="E922" s="321"/>
      <c r="F922" s="322" t="s">
        <v>157</v>
      </c>
      <c r="G922" s="323" t="s">
        <v>1780</v>
      </c>
      <c r="H922" s="322" t="s">
        <v>160</v>
      </c>
      <c r="I922" s="324">
        <v>31.36</v>
      </c>
      <c r="J922" s="325"/>
      <c r="K922" s="325"/>
      <c r="L922" s="325"/>
      <c r="M922" s="325"/>
      <c r="N922" s="325">
        <v>53</v>
      </c>
      <c r="O922" s="326"/>
      <c r="P922" s="326">
        <f>I922</f>
        <v>31.36</v>
      </c>
      <c r="Q922" s="326">
        <v>24</v>
      </c>
      <c r="R922" s="326"/>
      <c r="S922" s="327"/>
    </row>
    <row r="923" spans="1:19" ht="15" customHeight="1">
      <c r="A923" s="561">
        <f t="shared" si="16"/>
        <v>923</v>
      </c>
      <c r="B923" s="31">
        <v>112</v>
      </c>
      <c r="C923" s="249" t="s">
        <v>140</v>
      </c>
      <c r="D923" s="320" t="s">
        <v>22</v>
      </c>
      <c r="E923" s="321"/>
      <c r="F923" s="322" t="s">
        <v>158</v>
      </c>
      <c r="G923" s="323" t="s">
        <v>1781</v>
      </c>
      <c r="H923" s="322" t="s">
        <v>160</v>
      </c>
      <c r="I923" s="324">
        <v>34.200000000000003</v>
      </c>
      <c r="J923" s="325"/>
      <c r="K923" s="325"/>
      <c r="L923" s="325"/>
      <c r="M923" s="325"/>
      <c r="N923" s="325">
        <f>50.6-1.9</f>
        <v>48.7</v>
      </c>
      <c r="O923" s="326"/>
      <c r="P923" s="326">
        <f>I923</f>
        <v>34.200000000000003</v>
      </c>
      <c r="Q923" s="326">
        <v>26</v>
      </c>
      <c r="R923" s="326"/>
      <c r="S923" s="327"/>
    </row>
    <row r="924" spans="1:19" ht="15" customHeight="1">
      <c r="A924" s="561">
        <f t="shared" si="16"/>
        <v>924</v>
      </c>
      <c r="B924" s="31">
        <v>112</v>
      </c>
      <c r="C924" s="249" t="s">
        <v>140</v>
      </c>
      <c r="D924" s="320" t="s">
        <v>22</v>
      </c>
      <c r="E924" s="321"/>
      <c r="F924" s="322" t="s">
        <v>159</v>
      </c>
      <c r="G924" s="323" t="s">
        <v>1796</v>
      </c>
      <c r="H924" s="322" t="s">
        <v>176</v>
      </c>
      <c r="I924" s="324">
        <v>10.76</v>
      </c>
      <c r="J924" s="325"/>
      <c r="K924" s="325"/>
      <c r="L924" s="325"/>
      <c r="M924" s="325"/>
      <c r="N924" s="325">
        <v>20.3</v>
      </c>
      <c r="O924" s="326"/>
      <c r="P924" s="326">
        <f>I924</f>
        <v>10.76</v>
      </c>
      <c r="Q924" s="326"/>
      <c r="R924" s="326"/>
      <c r="S924" s="327"/>
    </row>
    <row r="925" spans="1:19" ht="15" customHeight="1">
      <c r="A925" s="561">
        <f t="shared" si="16"/>
        <v>925</v>
      </c>
      <c r="B925" s="31">
        <v>112</v>
      </c>
      <c r="C925" s="249" t="s">
        <v>140</v>
      </c>
      <c r="D925" s="320" t="s">
        <v>22</v>
      </c>
      <c r="E925" s="321"/>
      <c r="F925" s="322" t="s">
        <v>54</v>
      </c>
      <c r="G925" s="323" t="s">
        <v>1742</v>
      </c>
      <c r="H925" s="322" t="s">
        <v>113</v>
      </c>
      <c r="I925" s="324">
        <v>1504.46</v>
      </c>
      <c r="J925" s="325"/>
      <c r="K925" s="325"/>
      <c r="L925" s="325"/>
      <c r="M925" s="325"/>
      <c r="N925" s="325"/>
      <c r="O925" s="326">
        <f>166.39*10.09</f>
        <v>1678.8750999999997</v>
      </c>
      <c r="P925" s="326"/>
      <c r="Q925" s="326"/>
      <c r="R925" s="326"/>
      <c r="S925" s="327"/>
    </row>
    <row r="926" spans="1:19" ht="15" customHeight="1">
      <c r="A926" s="561">
        <f t="shared" si="16"/>
        <v>926</v>
      </c>
      <c r="B926" s="31">
        <v>112</v>
      </c>
      <c r="C926" s="249" t="s">
        <v>140</v>
      </c>
      <c r="D926" s="320" t="s">
        <v>22</v>
      </c>
      <c r="E926" s="321"/>
      <c r="F926" s="322" t="s">
        <v>161</v>
      </c>
      <c r="G926" s="323" t="s">
        <v>1743</v>
      </c>
      <c r="H926" s="322" t="s">
        <v>68</v>
      </c>
      <c r="I926" s="324">
        <v>32.74</v>
      </c>
      <c r="J926" s="325" t="s">
        <v>1057</v>
      </c>
      <c r="K926" s="325"/>
      <c r="L926" s="325"/>
      <c r="M926" s="325"/>
      <c r="N926" s="325"/>
      <c r="O926" s="326"/>
      <c r="P926" s="326"/>
      <c r="Q926" s="326"/>
      <c r="R926" s="326"/>
      <c r="S926" s="327"/>
    </row>
    <row r="927" spans="1:19" ht="15" customHeight="1">
      <c r="A927" s="561">
        <f t="shared" si="16"/>
        <v>927</v>
      </c>
      <c r="B927" s="31">
        <v>112</v>
      </c>
      <c r="C927" s="249" t="s">
        <v>140</v>
      </c>
      <c r="D927" s="320" t="s">
        <v>22</v>
      </c>
      <c r="E927" s="321"/>
      <c r="F927" s="322" t="s">
        <v>162</v>
      </c>
      <c r="G927" s="323" t="s">
        <v>1744</v>
      </c>
      <c r="H927" s="322" t="s">
        <v>68</v>
      </c>
      <c r="I927" s="324">
        <v>32.74</v>
      </c>
      <c r="J927" s="325" t="s">
        <v>1057</v>
      </c>
      <c r="K927" s="325"/>
      <c r="L927" s="325"/>
      <c r="M927" s="325"/>
      <c r="N927" s="325"/>
      <c r="O927" s="326"/>
      <c r="P927" s="326"/>
      <c r="Q927" s="326"/>
      <c r="R927" s="326"/>
      <c r="S927" s="327"/>
    </row>
    <row r="928" spans="1:19" ht="15" customHeight="1">
      <c r="A928" s="561">
        <f t="shared" si="16"/>
        <v>928</v>
      </c>
      <c r="B928" s="31">
        <v>112</v>
      </c>
      <c r="C928" s="249" t="s">
        <v>140</v>
      </c>
      <c r="D928" s="320" t="s">
        <v>22</v>
      </c>
      <c r="E928" s="321"/>
      <c r="F928" s="322" t="s">
        <v>163</v>
      </c>
      <c r="G928" s="323" t="s">
        <v>1746</v>
      </c>
      <c r="H928" s="322" t="s">
        <v>821</v>
      </c>
      <c r="I928" s="324">
        <f>18*1*1.5</f>
        <v>27</v>
      </c>
      <c r="J928" s="325"/>
      <c r="K928" s="325"/>
      <c r="L928" s="325"/>
      <c r="M928" s="325"/>
      <c r="N928" s="325"/>
      <c r="O928" s="326"/>
      <c r="P928" s="326"/>
      <c r="Q928" s="326"/>
      <c r="R928" s="326"/>
      <c r="S928" s="327"/>
    </row>
    <row r="929" spans="1:19" ht="15" customHeight="1">
      <c r="A929" s="561">
        <f t="shared" si="16"/>
        <v>929</v>
      </c>
      <c r="B929" s="31">
        <v>112</v>
      </c>
      <c r="C929" s="249" t="s">
        <v>140</v>
      </c>
      <c r="D929" s="320" t="s">
        <v>22</v>
      </c>
      <c r="E929" s="321"/>
      <c r="F929" s="322" t="s">
        <v>164</v>
      </c>
      <c r="G929" s="323" t="s">
        <v>1797</v>
      </c>
      <c r="H929" s="322" t="s">
        <v>821</v>
      </c>
      <c r="I929" s="324">
        <f>18*1*1.5</f>
        <v>27</v>
      </c>
      <c r="J929" s="325"/>
      <c r="K929" s="325"/>
      <c r="L929" s="325"/>
      <c r="M929" s="325"/>
      <c r="N929" s="325"/>
      <c r="O929" s="326"/>
      <c r="P929" s="326"/>
      <c r="Q929" s="326"/>
      <c r="R929" s="326"/>
      <c r="S929" s="327"/>
    </row>
    <row r="930" spans="1:19" ht="15" customHeight="1">
      <c r="A930" s="561">
        <f t="shared" si="16"/>
        <v>930</v>
      </c>
      <c r="B930" s="31">
        <v>113</v>
      </c>
      <c r="C930" s="249" t="s">
        <v>855</v>
      </c>
      <c r="D930" s="320" t="s">
        <v>22</v>
      </c>
      <c r="E930" s="321"/>
      <c r="F930" s="322" t="s">
        <v>54</v>
      </c>
      <c r="G930" s="323" t="s">
        <v>1742</v>
      </c>
      <c r="H930" s="322" t="s">
        <v>113</v>
      </c>
      <c r="I930" s="324">
        <v>1503.23</v>
      </c>
      <c r="J930" s="325"/>
      <c r="K930" s="325"/>
      <c r="L930" s="325"/>
      <c r="M930" s="325"/>
      <c r="N930" s="325"/>
      <c r="O930" s="326">
        <f>165.16*9.82</f>
        <v>1621.8712</v>
      </c>
      <c r="P930" s="326"/>
      <c r="Q930" s="326"/>
      <c r="R930" s="326"/>
      <c r="S930" s="327"/>
    </row>
    <row r="931" spans="1:19" ht="15" customHeight="1">
      <c r="A931" s="561">
        <f t="shared" si="16"/>
        <v>931</v>
      </c>
      <c r="B931" s="31">
        <v>113</v>
      </c>
      <c r="C931" s="249" t="s">
        <v>855</v>
      </c>
      <c r="D931" s="320" t="s">
        <v>22</v>
      </c>
      <c r="E931" s="321"/>
      <c r="F931" s="322" t="s">
        <v>104</v>
      </c>
      <c r="G931" s="323" t="s">
        <v>1743</v>
      </c>
      <c r="H931" s="322" t="s">
        <v>68</v>
      </c>
      <c r="I931" s="324">
        <v>42.69</v>
      </c>
      <c r="J931" s="325" t="s">
        <v>1057</v>
      </c>
      <c r="K931" s="325"/>
      <c r="L931" s="325"/>
      <c r="M931" s="325"/>
      <c r="N931" s="325"/>
      <c r="O931" s="326"/>
      <c r="P931" s="326"/>
      <c r="Q931" s="326"/>
      <c r="R931" s="326"/>
      <c r="S931" s="327" t="s">
        <v>132</v>
      </c>
    </row>
    <row r="932" spans="1:19" ht="15" customHeight="1">
      <c r="A932" s="561">
        <f t="shared" si="16"/>
        <v>932</v>
      </c>
      <c r="B932" s="31">
        <v>113</v>
      </c>
      <c r="C932" s="249" t="s">
        <v>855</v>
      </c>
      <c r="D932" s="320" t="s">
        <v>22</v>
      </c>
      <c r="E932" s="321"/>
      <c r="F932" s="322" t="s">
        <v>105</v>
      </c>
      <c r="G932" s="323" t="s">
        <v>1744</v>
      </c>
      <c r="H932" s="322" t="s">
        <v>68</v>
      </c>
      <c r="I932" s="324">
        <v>42.68</v>
      </c>
      <c r="J932" s="325" t="s">
        <v>1057</v>
      </c>
      <c r="K932" s="325"/>
      <c r="L932" s="325"/>
      <c r="M932" s="325"/>
      <c r="N932" s="325"/>
      <c r="O932" s="326"/>
      <c r="P932" s="326"/>
      <c r="Q932" s="326"/>
      <c r="R932" s="326"/>
      <c r="S932" s="327" t="s">
        <v>133</v>
      </c>
    </row>
    <row r="933" spans="1:19" ht="15" customHeight="1">
      <c r="A933" s="561">
        <f t="shared" si="16"/>
        <v>933</v>
      </c>
      <c r="B933" s="31">
        <v>113</v>
      </c>
      <c r="C933" s="249" t="s">
        <v>855</v>
      </c>
      <c r="D933" s="320" t="s">
        <v>22</v>
      </c>
      <c r="E933" s="321"/>
      <c r="F933" s="322" t="s">
        <v>106</v>
      </c>
      <c r="G933" s="323" t="s">
        <v>1745</v>
      </c>
      <c r="H933" s="322" t="s">
        <v>1324</v>
      </c>
      <c r="I933" s="324">
        <v>31.63</v>
      </c>
      <c r="J933" s="325"/>
      <c r="K933" s="325"/>
      <c r="L933" s="325"/>
      <c r="M933" s="325"/>
      <c r="N933" s="325"/>
      <c r="O933" s="326"/>
      <c r="P933" s="326"/>
      <c r="Q933" s="326"/>
      <c r="R933" s="326"/>
      <c r="S933" s="327" t="s">
        <v>132</v>
      </c>
    </row>
    <row r="934" spans="1:19" ht="15" customHeight="1">
      <c r="A934" s="561">
        <f t="shared" si="16"/>
        <v>934</v>
      </c>
      <c r="B934" s="31">
        <v>113</v>
      </c>
      <c r="C934" s="249" t="s">
        <v>855</v>
      </c>
      <c r="D934" s="320" t="s">
        <v>22</v>
      </c>
      <c r="E934" s="321"/>
      <c r="F934" s="322" t="s">
        <v>107</v>
      </c>
      <c r="G934" s="323" t="s">
        <v>1746</v>
      </c>
      <c r="H934" s="322" t="s">
        <v>821</v>
      </c>
      <c r="I934" s="324">
        <v>31.68</v>
      </c>
      <c r="J934" s="325"/>
      <c r="K934" s="325"/>
      <c r="L934" s="325"/>
      <c r="M934" s="325"/>
      <c r="N934" s="325"/>
      <c r="O934" s="326"/>
      <c r="P934" s="326"/>
      <c r="Q934" s="326"/>
      <c r="R934" s="326"/>
      <c r="S934" s="327" t="s">
        <v>133</v>
      </c>
    </row>
    <row r="935" spans="1:19" ht="15" customHeight="1">
      <c r="A935" s="561">
        <f t="shared" si="16"/>
        <v>935</v>
      </c>
      <c r="B935" s="31">
        <v>113</v>
      </c>
      <c r="C935" s="249" t="s">
        <v>855</v>
      </c>
      <c r="D935" s="320" t="s">
        <v>22</v>
      </c>
      <c r="E935" s="321"/>
      <c r="F935" s="322" t="s">
        <v>108</v>
      </c>
      <c r="G935" s="323" t="s">
        <v>1724</v>
      </c>
      <c r="H935" s="322" t="s">
        <v>109</v>
      </c>
      <c r="I935" s="324">
        <v>224.45</v>
      </c>
      <c r="J935" s="325"/>
      <c r="K935" s="325"/>
      <c r="L935" s="325"/>
      <c r="M935" s="325">
        <v>20</v>
      </c>
      <c r="N935" s="325">
        <v>589</v>
      </c>
      <c r="O935" s="326"/>
      <c r="P935" s="326"/>
      <c r="Q935" s="326">
        <f>224.5+33.6/1.5+(12.7+2.9+3)</f>
        <v>265.5</v>
      </c>
      <c r="R935" s="326"/>
      <c r="S935" s="327" t="s">
        <v>133</v>
      </c>
    </row>
    <row r="936" spans="1:19" ht="15" customHeight="1">
      <c r="A936" s="561">
        <f t="shared" si="16"/>
        <v>936</v>
      </c>
      <c r="B936" s="31">
        <v>113</v>
      </c>
      <c r="C936" s="249" t="s">
        <v>855</v>
      </c>
      <c r="D936" s="320" t="s">
        <v>22</v>
      </c>
      <c r="E936" s="321"/>
      <c r="F936" s="322" t="s">
        <v>110</v>
      </c>
      <c r="G936" s="323" t="s">
        <v>1770</v>
      </c>
      <c r="H936" s="322" t="s">
        <v>109</v>
      </c>
      <c r="I936" s="324">
        <v>243.2</v>
      </c>
      <c r="J936" s="325"/>
      <c r="K936" s="325"/>
      <c r="L936" s="325"/>
      <c r="M936" s="325">
        <v>20</v>
      </c>
      <c r="N936" s="325">
        <v>593</v>
      </c>
      <c r="O936" s="326"/>
      <c r="P936" s="326"/>
      <c r="Q936" s="326">
        <f>243.2+33.6/1.5+(12.7+2.9+3)</f>
        <v>284.2</v>
      </c>
      <c r="R936" s="326"/>
      <c r="S936" s="327" t="s">
        <v>132</v>
      </c>
    </row>
    <row r="937" spans="1:19" ht="15" customHeight="1">
      <c r="A937" s="561">
        <f t="shared" si="16"/>
        <v>937</v>
      </c>
      <c r="B937" s="31">
        <v>113</v>
      </c>
      <c r="C937" s="249" t="s">
        <v>855</v>
      </c>
      <c r="D937" s="320" t="s">
        <v>22</v>
      </c>
      <c r="E937" s="321"/>
      <c r="F937" s="322" t="s">
        <v>111</v>
      </c>
      <c r="G937" s="323" t="s">
        <v>1725</v>
      </c>
      <c r="H937" s="322" t="s">
        <v>109</v>
      </c>
      <c r="I937" s="324">
        <v>12.9</v>
      </c>
      <c r="J937" s="325"/>
      <c r="K937" s="325"/>
      <c r="L937" s="325"/>
      <c r="M937" s="325"/>
      <c r="N937" s="325">
        <v>51</v>
      </c>
      <c r="O937" s="326"/>
      <c r="P937" s="326"/>
      <c r="Q937" s="326"/>
      <c r="R937" s="326"/>
      <c r="S937" s="327" t="s">
        <v>134</v>
      </c>
    </row>
    <row r="938" spans="1:19" ht="15" customHeight="1">
      <c r="A938" s="561">
        <f t="shared" si="16"/>
        <v>938</v>
      </c>
      <c r="B938" s="31">
        <v>113</v>
      </c>
      <c r="C938" s="249" t="s">
        <v>855</v>
      </c>
      <c r="D938" s="320" t="s">
        <v>22</v>
      </c>
      <c r="E938" s="321"/>
      <c r="F938" s="322" t="s">
        <v>112</v>
      </c>
      <c r="G938" s="323" t="s">
        <v>1726</v>
      </c>
      <c r="H938" s="322" t="s">
        <v>160</v>
      </c>
      <c r="I938" s="324">
        <v>4.2</v>
      </c>
      <c r="J938" s="325"/>
      <c r="K938" s="325"/>
      <c r="L938" s="325">
        <v>14.2</v>
      </c>
      <c r="M938" s="325"/>
      <c r="N938" s="325"/>
      <c r="O938" s="326"/>
      <c r="P938" s="326">
        <f>I938</f>
        <v>4.2</v>
      </c>
      <c r="Q938" s="326"/>
      <c r="R938" s="326"/>
      <c r="S938" s="327" t="s">
        <v>133</v>
      </c>
    </row>
    <row r="939" spans="1:19" ht="15" customHeight="1">
      <c r="A939" s="561">
        <f t="shared" si="16"/>
        <v>939</v>
      </c>
      <c r="B939" s="31">
        <v>113</v>
      </c>
      <c r="C939" s="249" t="s">
        <v>855</v>
      </c>
      <c r="D939" s="320" t="s">
        <v>22</v>
      </c>
      <c r="E939" s="321"/>
      <c r="F939" s="322" t="s">
        <v>111</v>
      </c>
      <c r="G939" s="323" t="s">
        <v>1727</v>
      </c>
      <c r="H939" s="322" t="s">
        <v>160</v>
      </c>
      <c r="I939" s="324">
        <v>29.76</v>
      </c>
      <c r="J939" s="325"/>
      <c r="K939" s="325"/>
      <c r="L939" s="325"/>
      <c r="M939" s="325"/>
      <c r="N939" s="325">
        <v>76</v>
      </c>
      <c r="O939" s="326"/>
      <c r="P939" s="326"/>
      <c r="Q939" s="326"/>
      <c r="R939" s="326"/>
      <c r="S939" s="327" t="s">
        <v>132</v>
      </c>
    </row>
    <row r="940" spans="1:19" ht="15" customHeight="1">
      <c r="A940" s="561">
        <f t="shared" si="16"/>
        <v>940</v>
      </c>
      <c r="B940" s="31">
        <v>113</v>
      </c>
      <c r="C940" s="249" t="s">
        <v>855</v>
      </c>
      <c r="D940" s="320" t="s">
        <v>22</v>
      </c>
      <c r="E940" s="321"/>
      <c r="F940" s="322" t="s">
        <v>114</v>
      </c>
      <c r="G940" s="323" t="s">
        <v>1756</v>
      </c>
      <c r="H940" s="322" t="s">
        <v>160</v>
      </c>
      <c r="I940" s="324">
        <v>32.6</v>
      </c>
      <c r="J940" s="325"/>
      <c r="K940" s="325"/>
      <c r="L940" s="325"/>
      <c r="M940" s="325"/>
      <c r="N940" s="325">
        <v>66</v>
      </c>
      <c r="O940" s="326"/>
      <c r="P940" s="326"/>
      <c r="Q940" s="326"/>
      <c r="R940" s="326"/>
      <c r="S940" s="327" t="s">
        <v>132</v>
      </c>
    </row>
    <row r="941" spans="1:19" ht="15" customHeight="1">
      <c r="A941" s="561">
        <f t="shared" si="16"/>
        <v>941</v>
      </c>
      <c r="B941" s="31">
        <v>113</v>
      </c>
      <c r="C941" s="249" t="s">
        <v>855</v>
      </c>
      <c r="D941" s="320" t="s">
        <v>22</v>
      </c>
      <c r="E941" s="321"/>
      <c r="F941" s="322" t="s">
        <v>115</v>
      </c>
      <c r="G941" s="323" t="s">
        <v>1728</v>
      </c>
      <c r="H941" s="322" t="s">
        <v>160</v>
      </c>
      <c r="I941" s="324">
        <v>10.6</v>
      </c>
      <c r="J941" s="325"/>
      <c r="K941" s="325"/>
      <c r="L941" s="325"/>
      <c r="M941" s="325"/>
      <c r="N941" s="325">
        <v>48.3</v>
      </c>
      <c r="O941" s="326"/>
      <c r="P941" s="326"/>
      <c r="Q941" s="326"/>
      <c r="R941" s="326"/>
      <c r="S941" s="327" t="s">
        <v>132</v>
      </c>
    </row>
    <row r="942" spans="1:19" ht="15" customHeight="1">
      <c r="A942" s="561">
        <f t="shared" si="16"/>
        <v>942</v>
      </c>
      <c r="B942" s="31">
        <v>113</v>
      </c>
      <c r="C942" s="249" t="s">
        <v>855</v>
      </c>
      <c r="D942" s="320" t="s">
        <v>22</v>
      </c>
      <c r="E942" s="321"/>
      <c r="F942" s="322" t="s">
        <v>116</v>
      </c>
      <c r="G942" s="323" t="s">
        <v>1729</v>
      </c>
      <c r="H942" s="322" t="s">
        <v>160</v>
      </c>
      <c r="I942" s="324">
        <v>7</v>
      </c>
      <c r="J942" s="325"/>
      <c r="K942" s="325"/>
      <c r="L942" s="325">
        <v>29.5</v>
      </c>
      <c r="M942" s="325"/>
      <c r="N942" s="325"/>
      <c r="O942" s="326"/>
      <c r="P942" s="326">
        <f>I942</f>
        <v>7</v>
      </c>
      <c r="Q942" s="326"/>
      <c r="R942" s="326"/>
      <c r="S942" s="327" t="s">
        <v>135</v>
      </c>
    </row>
    <row r="943" spans="1:19" ht="15" customHeight="1">
      <c r="A943" s="561">
        <f t="shared" si="16"/>
        <v>943</v>
      </c>
      <c r="B943" s="31">
        <v>113</v>
      </c>
      <c r="C943" s="249" t="s">
        <v>855</v>
      </c>
      <c r="D943" s="320" t="s">
        <v>22</v>
      </c>
      <c r="E943" s="321"/>
      <c r="F943" s="322" t="s">
        <v>117</v>
      </c>
      <c r="G943" s="323" t="s">
        <v>1771</v>
      </c>
      <c r="H943" s="322" t="s">
        <v>160</v>
      </c>
      <c r="I943" s="324">
        <v>13.1</v>
      </c>
      <c r="J943" s="325"/>
      <c r="K943" s="325"/>
      <c r="L943" s="325">
        <v>42</v>
      </c>
      <c r="M943" s="325"/>
      <c r="N943" s="325"/>
      <c r="O943" s="326"/>
      <c r="P943" s="326">
        <f>I943</f>
        <v>13.1</v>
      </c>
      <c r="Q943" s="326"/>
      <c r="R943" s="326"/>
      <c r="S943" s="327" t="s">
        <v>133</v>
      </c>
    </row>
    <row r="944" spans="1:19" ht="15" customHeight="1">
      <c r="A944" s="561">
        <f t="shared" si="16"/>
        <v>944</v>
      </c>
      <c r="B944" s="31">
        <v>113</v>
      </c>
      <c r="C944" s="249" t="s">
        <v>855</v>
      </c>
      <c r="D944" s="320" t="s">
        <v>22</v>
      </c>
      <c r="E944" s="321"/>
      <c r="F944" s="322" t="s">
        <v>118</v>
      </c>
      <c r="G944" s="323" t="s">
        <v>1772</v>
      </c>
      <c r="H944" s="322" t="s">
        <v>160</v>
      </c>
      <c r="I944" s="324">
        <v>9.4</v>
      </c>
      <c r="J944" s="325"/>
      <c r="K944" s="325"/>
      <c r="L944" s="325">
        <v>41.1</v>
      </c>
      <c r="M944" s="325"/>
      <c r="N944" s="325"/>
      <c r="O944" s="326"/>
      <c r="P944" s="326">
        <f>I944</f>
        <v>9.4</v>
      </c>
      <c r="Q944" s="326"/>
      <c r="R944" s="326"/>
      <c r="S944" s="327" t="s">
        <v>132</v>
      </c>
    </row>
    <row r="945" spans="1:19" ht="15" customHeight="1">
      <c r="A945" s="561">
        <f t="shared" si="16"/>
        <v>945</v>
      </c>
      <c r="B945" s="31">
        <v>113</v>
      </c>
      <c r="C945" s="249" t="s">
        <v>855</v>
      </c>
      <c r="D945" s="320" t="s">
        <v>22</v>
      </c>
      <c r="E945" s="321"/>
      <c r="F945" s="322" t="s">
        <v>37</v>
      </c>
      <c r="G945" s="323" t="s">
        <v>1730</v>
      </c>
      <c r="H945" s="322" t="s">
        <v>160</v>
      </c>
      <c r="I945" s="324">
        <v>15.2</v>
      </c>
      <c r="J945" s="325"/>
      <c r="K945" s="325"/>
      <c r="L945" s="325"/>
      <c r="M945" s="325"/>
      <c r="N945" s="325">
        <v>46.8</v>
      </c>
      <c r="O945" s="326"/>
      <c r="P945" s="326"/>
      <c r="Q945" s="326"/>
      <c r="R945" s="326"/>
      <c r="S945" s="327" t="s">
        <v>133</v>
      </c>
    </row>
    <row r="946" spans="1:19" ht="15" customHeight="1">
      <c r="A946" s="561">
        <f t="shared" si="16"/>
        <v>946</v>
      </c>
      <c r="B946" s="31">
        <v>113</v>
      </c>
      <c r="C946" s="249" t="s">
        <v>855</v>
      </c>
      <c r="D946" s="320" t="s">
        <v>22</v>
      </c>
      <c r="E946" s="321"/>
      <c r="F946" s="322" t="s">
        <v>41</v>
      </c>
      <c r="G946" s="323" t="s">
        <v>1731</v>
      </c>
      <c r="H946" s="322" t="s">
        <v>160</v>
      </c>
      <c r="I946" s="324">
        <v>19.64</v>
      </c>
      <c r="J946" s="325"/>
      <c r="K946" s="325"/>
      <c r="L946" s="325"/>
      <c r="M946" s="325"/>
      <c r="N946" s="325">
        <v>85</v>
      </c>
      <c r="O946" s="326"/>
      <c r="P946" s="326"/>
      <c r="Q946" s="326"/>
      <c r="R946" s="326"/>
      <c r="S946" s="327" t="s">
        <v>133</v>
      </c>
    </row>
    <row r="947" spans="1:19" ht="15" customHeight="1">
      <c r="A947" s="561">
        <f t="shared" si="16"/>
        <v>947</v>
      </c>
      <c r="B947" s="31">
        <v>113</v>
      </c>
      <c r="C947" s="249" t="s">
        <v>855</v>
      </c>
      <c r="D947" s="320" t="s">
        <v>22</v>
      </c>
      <c r="E947" s="321"/>
      <c r="F947" s="322" t="s">
        <v>119</v>
      </c>
      <c r="G947" s="323" t="s">
        <v>1773</v>
      </c>
      <c r="H947" s="322" t="s">
        <v>160</v>
      </c>
      <c r="I947" s="324">
        <v>3.8</v>
      </c>
      <c r="J947" s="325"/>
      <c r="K947" s="325"/>
      <c r="L947" s="325"/>
      <c r="M947" s="325"/>
      <c r="N947" s="325">
        <v>20.5</v>
      </c>
      <c r="O947" s="326"/>
      <c r="P947" s="326"/>
      <c r="Q947" s="326"/>
      <c r="R947" s="326"/>
      <c r="S947" s="327" t="s">
        <v>136</v>
      </c>
    </row>
    <row r="948" spans="1:19" ht="15" customHeight="1">
      <c r="A948" s="561">
        <f t="shared" si="16"/>
        <v>948</v>
      </c>
      <c r="B948" s="31">
        <v>113</v>
      </c>
      <c r="C948" s="249" t="s">
        <v>855</v>
      </c>
      <c r="D948" s="320" t="s">
        <v>22</v>
      </c>
      <c r="E948" s="321"/>
      <c r="F948" s="322" t="s">
        <v>120</v>
      </c>
      <c r="G948" s="323" t="s">
        <v>1774</v>
      </c>
      <c r="H948" s="322" t="s">
        <v>148</v>
      </c>
      <c r="I948" s="324">
        <v>2.9</v>
      </c>
      <c r="J948" s="325">
        <v>17.8</v>
      </c>
      <c r="K948" s="325"/>
      <c r="L948" s="325"/>
      <c r="M948" s="325"/>
      <c r="N948" s="325"/>
      <c r="O948" s="326"/>
      <c r="P948" s="326"/>
      <c r="Q948" s="326"/>
      <c r="R948" s="326">
        <f>I948</f>
        <v>2.9</v>
      </c>
      <c r="S948" s="327" t="s">
        <v>133</v>
      </c>
    </row>
    <row r="949" spans="1:19" ht="15" customHeight="1">
      <c r="A949" s="561">
        <f t="shared" si="16"/>
        <v>949</v>
      </c>
      <c r="B949" s="31">
        <v>113</v>
      </c>
      <c r="C949" s="249" t="s">
        <v>855</v>
      </c>
      <c r="D949" s="320" t="s">
        <v>22</v>
      </c>
      <c r="E949" s="321"/>
      <c r="F949" s="322" t="s">
        <v>121</v>
      </c>
      <c r="G949" s="323" t="s">
        <v>1775</v>
      </c>
      <c r="H949" s="322" t="s">
        <v>148</v>
      </c>
      <c r="I949" s="324">
        <v>2.9</v>
      </c>
      <c r="J949" s="325">
        <v>17.8</v>
      </c>
      <c r="K949" s="325"/>
      <c r="L949" s="325"/>
      <c r="M949" s="325"/>
      <c r="N949" s="325"/>
      <c r="O949" s="326"/>
      <c r="P949" s="326"/>
      <c r="Q949" s="326"/>
      <c r="R949" s="326">
        <f>I949</f>
        <v>2.9</v>
      </c>
      <c r="S949" s="327" t="s">
        <v>133</v>
      </c>
    </row>
    <row r="950" spans="1:19" ht="15" customHeight="1">
      <c r="A950" s="561">
        <f t="shared" si="16"/>
        <v>950</v>
      </c>
      <c r="B950" s="31">
        <v>113</v>
      </c>
      <c r="C950" s="249" t="s">
        <v>855</v>
      </c>
      <c r="D950" s="320" t="s">
        <v>22</v>
      </c>
      <c r="E950" s="321"/>
      <c r="F950" s="322" t="s">
        <v>122</v>
      </c>
      <c r="G950" s="323" t="s">
        <v>1758</v>
      </c>
      <c r="H950" s="322" t="s">
        <v>109</v>
      </c>
      <c r="I950" s="324">
        <v>2.2000000000000002</v>
      </c>
      <c r="J950" s="325" t="s">
        <v>1059</v>
      </c>
      <c r="K950" s="325"/>
      <c r="L950" s="325"/>
      <c r="M950" s="325"/>
      <c r="N950" s="325"/>
      <c r="O950" s="326"/>
      <c r="P950" s="326"/>
      <c r="Q950" s="326"/>
      <c r="R950" s="326"/>
      <c r="S950" s="327" t="s">
        <v>132</v>
      </c>
    </row>
    <row r="951" spans="1:19" ht="15" customHeight="1">
      <c r="A951" s="561">
        <f t="shared" si="16"/>
        <v>951</v>
      </c>
      <c r="B951" s="31">
        <v>113</v>
      </c>
      <c r="C951" s="249" t="s">
        <v>855</v>
      </c>
      <c r="D951" s="320" t="s">
        <v>22</v>
      </c>
      <c r="E951" s="321"/>
      <c r="F951" s="322" t="s">
        <v>122</v>
      </c>
      <c r="G951" s="323" t="s">
        <v>1759</v>
      </c>
      <c r="H951" s="322" t="s">
        <v>160</v>
      </c>
      <c r="I951" s="324">
        <v>2.2000000000000002</v>
      </c>
      <c r="J951" s="325" t="s">
        <v>1059</v>
      </c>
      <c r="K951" s="325"/>
      <c r="L951" s="325"/>
      <c r="M951" s="325"/>
      <c r="N951" s="325"/>
      <c r="O951" s="326"/>
      <c r="P951" s="326"/>
      <c r="Q951" s="326"/>
      <c r="R951" s="326"/>
      <c r="S951" s="327" t="s">
        <v>133</v>
      </c>
    </row>
    <row r="952" spans="1:19" ht="15" customHeight="1">
      <c r="A952" s="561">
        <f t="shared" si="16"/>
        <v>952</v>
      </c>
      <c r="B952" s="31">
        <v>113</v>
      </c>
      <c r="C952" s="249" t="s">
        <v>855</v>
      </c>
      <c r="D952" s="320" t="s">
        <v>22</v>
      </c>
      <c r="E952" s="321"/>
      <c r="F952" s="322" t="s">
        <v>123</v>
      </c>
      <c r="G952" s="323" t="s">
        <v>1760</v>
      </c>
      <c r="H952" s="322" t="s">
        <v>109</v>
      </c>
      <c r="I952" s="324">
        <v>7.8</v>
      </c>
      <c r="J952" s="325"/>
      <c r="K952" s="325"/>
      <c r="L952" s="325"/>
      <c r="M952" s="325"/>
      <c r="N952" s="325">
        <v>26.6</v>
      </c>
      <c r="O952" s="326"/>
      <c r="P952" s="326"/>
      <c r="Q952" s="326">
        <f>I952</f>
        <v>7.8</v>
      </c>
      <c r="R952" s="326"/>
      <c r="S952" s="327" t="s">
        <v>251</v>
      </c>
    </row>
    <row r="953" spans="1:19" ht="15" customHeight="1">
      <c r="A953" s="561">
        <f t="shared" si="16"/>
        <v>953</v>
      </c>
      <c r="B953" s="31">
        <v>113</v>
      </c>
      <c r="C953" s="249" t="s">
        <v>855</v>
      </c>
      <c r="D953" s="320" t="s">
        <v>22</v>
      </c>
      <c r="E953" s="321"/>
      <c r="F953" s="322" t="s">
        <v>124</v>
      </c>
      <c r="G953" s="323">
        <v>34</v>
      </c>
      <c r="H953" s="322" t="s">
        <v>299</v>
      </c>
      <c r="I953" s="324">
        <v>2.8</v>
      </c>
      <c r="J953" s="325"/>
      <c r="K953" s="325"/>
      <c r="L953" s="325"/>
      <c r="M953" s="325">
        <v>11.5</v>
      </c>
      <c r="N953" s="325">
        <v>3.5</v>
      </c>
      <c r="O953" s="326"/>
      <c r="P953" s="326"/>
      <c r="Q953" s="326"/>
      <c r="R953" s="326">
        <f>I953</f>
        <v>2.8</v>
      </c>
      <c r="S953" s="327" t="s">
        <v>1058</v>
      </c>
    </row>
    <row r="954" spans="1:19" ht="15" customHeight="1">
      <c r="A954" s="561">
        <f t="shared" si="16"/>
        <v>954</v>
      </c>
      <c r="B954" s="31">
        <v>113</v>
      </c>
      <c r="C954" s="249" t="s">
        <v>855</v>
      </c>
      <c r="D954" s="320" t="s">
        <v>22</v>
      </c>
      <c r="E954" s="321"/>
      <c r="F954" s="322" t="s">
        <v>123</v>
      </c>
      <c r="G954" s="323" t="s">
        <v>1776</v>
      </c>
      <c r="H954" s="322" t="s">
        <v>12</v>
      </c>
      <c r="I954" s="324">
        <v>7.25</v>
      </c>
      <c r="J954" s="325"/>
      <c r="K954" s="325"/>
      <c r="L954" s="325">
        <v>26.6</v>
      </c>
      <c r="M954" s="325"/>
      <c r="N954" s="325"/>
      <c r="O954" s="326"/>
      <c r="P954" s="326">
        <f>I954</f>
        <v>7.25</v>
      </c>
      <c r="Q954" s="326"/>
      <c r="R954" s="326"/>
      <c r="S954" s="327" t="s">
        <v>137</v>
      </c>
    </row>
    <row r="955" spans="1:19" ht="15" customHeight="1">
      <c r="A955" s="561">
        <f t="shared" si="16"/>
        <v>955</v>
      </c>
      <c r="B955" s="31">
        <v>113</v>
      </c>
      <c r="C955" s="249" t="s">
        <v>855</v>
      </c>
      <c r="D955" s="320" t="s">
        <v>22</v>
      </c>
      <c r="E955" s="321"/>
      <c r="F955" s="322" t="s">
        <v>125</v>
      </c>
      <c r="G955" s="323" t="s">
        <v>1777</v>
      </c>
      <c r="H955" s="322" t="s">
        <v>75</v>
      </c>
      <c r="I955" s="324">
        <v>5.75</v>
      </c>
      <c r="J955" s="325" t="s">
        <v>1060</v>
      </c>
      <c r="K955" s="325"/>
      <c r="L955" s="325"/>
      <c r="M955" s="325"/>
      <c r="N955" s="325"/>
      <c r="O955" s="326"/>
      <c r="P955" s="326"/>
      <c r="Q955" s="326"/>
      <c r="R955" s="326"/>
      <c r="S955" s="327" t="s">
        <v>138</v>
      </c>
    </row>
    <row r="956" spans="1:19" ht="15" customHeight="1">
      <c r="A956" s="561">
        <f t="shared" si="16"/>
        <v>956</v>
      </c>
      <c r="B956" s="31">
        <v>113</v>
      </c>
      <c r="C956" s="249" t="s">
        <v>855</v>
      </c>
      <c r="D956" s="320" t="s">
        <v>22</v>
      </c>
      <c r="E956" s="321"/>
      <c r="F956" s="322" t="s">
        <v>126</v>
      </c>
      <c r="G956" s="323" t="s">
        <v>1778</v>
      </c>
      <c r="H956" s="322" t="s">
        <v>160</v>
      </c>
      <c r="I956" s="324">
        <v>10.4</v>
      </c>
      <c r="J956" s="325"/>
      <c r="K956" s="325"/>
      <c r="L956" s="325">
        <v>39.1</v>
      </c>
      <c r="M956" s="325"/>
      <c r="N956" s="325"/>
      <c r="O956" s="326"/>
      <c r="P956" s="326">
        <f>I956</f>
        <v>10.4</v>
      </c>
      <c r="Q956" s="326"/>
      <c r="R956" s="326"/>
      <c r="S956" s="327" t="s">
        <v>139</v>
      </c>
    </row>
    <row r="957" spans="1:19" ht="15" customHeight="1">
      <c r="A957" s="561">
        <f t="shared" si="16"/>
        <v>957</v>
      </c>
      <c r="B957" s="31">
        <v>113</v>
      </c>
      <c r="C957" s="249" t="s">
        <v>855</v>
      </c>
      <c r="D957" s="320" t="s">
        <v>22</v>
      </c>
      <c r="E957" s="321"/>
      <c r="F957" s="322" t="s">
        <v>127</v>
      </c>
      <c r="G957" s="323" t="s">
        <v>1736</v>
      </c>
      <c r="H957" s="322" t="s">
        <v>160</v>
      </c>
      <c r="I957" s="324">
        <v>20.7</v>
      </c>
      <c r="J957" s="325"/>
      <c r="K957" s="325"/>
      <c r="L957" s="325">
        <v>50.6</v>
      </c>
      <c r="M957" s="325"/>
      <c r="N957" s="325"/>
      <c r="O957" s="326"/>
      <c r="P957" s="326">
        <f>I957</f>
        <v>20.7</v>
      </c>
      <c r="Q957" s="326"/>
      <c r="R957" s="326"/>
      <c r="S957" s="327" t="s">
        <v>133</v>
      </c>
    </row>
    <row r="958" spans="1:19" ht="15" customHeight="1">
      <c r="A958" s="561">
        <f t="shared" si="16"/>
        <v>958</v>
      </c>
      <c r="B958" s="31">
        <v>113</v>
      </c>
      <c r="C958" s="249" t="s">
        <v>855</v>
      </c>
      <c r="D958" s="320" t="s">
        <v>22</v>
      </c>
      <c r="E958" s="321"/>
      <c r="F958" s="322" t="s">
        <v>128</v>
      </c>
      <c r="G958" s="323" t="s">
        <v>1779</v>
      </c>
      <c r="H958" s="322" t="s">
        <v>160</v>
      </c>
      <c r="I958" s="324">
        <v>9.4</v>
      </c>
      <c r="J958" s="325"/>
      <c r="K958" s="325"/>
      <c r="L958" s="325">
        <v>23.7</v>
      </c>
      <c r="M958" s="325"/>
      <c r="N958" s="325"/>
      <c r="O958" s="326"/>
      <c r="P958" s="326">
        <f>I958</f>
        <v>9.4</v>
      </c>
      <c r="Q958" s="326"/>
      <c r="R958" s="326"/>
      <c r="S958" s="327" t="s">
        <v>132</v>
      </c>
    </row>
    <row r="959" spans="1:19" ht="15" customHeight="1">
      <c r="A959" s="561">
        <f t="shared" si="16"/>
        <v>959</v>
      </c>
      <c r="B959" s="31">
        <v>113</v>
      </c>
      <c r="C959" s="249" t="s">
        <v>855</v>
      </c>
      <c r="D959" s="320" t="s">
        <v>22</v>
      </c>
      <c r="E959" s="321"/>
      <c r="F959" s="322" t="s">
        <v>129</v>
      </c>
      <c r="G959" s="323" t="s">
        <v>1739</v>
      </c>
      <c r="H959" s="322" t="s">
        <v>176</v>
      </c>
      <c r="I959" s="324">
        <v>25.79</v>
      </c>
      <c r="J959" s="325"/>
      <c r="K959" s="325"/>
      <c r="L959" s="325"/>
      <c r="M959" s="325"/>
      <c r="N959" s="325">
        <v>63</v>
      </c>
      <c r="O959" s="326"/>
      <c r="P959" s="326"/>
      <c r="Q959" s="326"/>
      <c r="R959" s="326"/>
      <c r="S959" s="327" t="s">
        <v>133</v>
      </c>
    </row>
    <row r="960" spans="1:19" ht="15" customHeight="1">
      <c r="A960" s="561">
        <f t="shared" si="16"/>
        <v>960</v>
      </c>
      <c r="B960" s="31">
        <v>113</v>
      </c>
      <c r="C960" s="249" t="s">
        <v>855</v>
      </c>
      <c r="D960" s="320" t="s">
        <v>22</v>
      </c>
      <c r="E960" s="321"/>
      <c r="F960" s="322" t="s">
        <v>130</v>
      </c>
      <c r="G960" s="323" t="s">
        <v>1780</v>
      </c>
      <c r="H960" s="322" t="s">
        <v>160</v>
      </c>
      <c r="I960" s="324">
        <v>46.17</v>
      </c>
      <c r="J960" s="325"/>
      <c r="K960" s="325"/>
      <c r="L960" s="325"/>
      <c r="M960" s="325"/>
      <c r="N960" s="325">
        <v>58</v>
      </c>
      <c r="O960" s="326"/>
      <c r="P960" s="326"/>
      <c r="Q960" s="326">
        <f>I960</f>
        <v>46.17</v>
      </c>
      <c r="R960" s="326"/>
      <c r="S960" s="327" t="s">
        <v>132</v>
      </c>
    </row>
    <row r="961" spans="1:19" ht="15" customHeight="1">
      <c r="A961" s="561">
        <f t="shared" si="16"/>
        <v>961</v>
      </c>
      <c r="B961" s="31">
        <v>113</v>
      </c>
      <c r="C961" s="249" t="s">
        <v>855</v>
      </c>
      <c r="D961" s="320" t="s">
        <v>22</v>
      </c>
      <c r="E961" s="321"/>
      <c r="F961" s="322" t="s">
        <v>130</v>
      </c>
      <c r="G961" s="323" t="s">
        <v>1781</v>
      </c>
      <c r="H961" s="322" t="s">
        <v>160</v>
      </c>
      <c r="I961" s="324">
        <v>47.88</v>
      </c>
      <c r="J961" s="325"/>
      <c r="K961" s="325"/>
      <c r="L961" s="325"/>
      <c r="M961" s="325"/>
      <c r="N961" s="325">
        <v>51</v>
      </c>
      <c r="O961" s="326"/>
      <c r="P961" s="326"/>
      <c r="Q961" s="326">
        <f>I961</f>
        <v>47.88</v>
      </c>
      <c r="R961" s="326"/>
      <c r="S961" s="327" t="s">
        <v>133</v>
      </c>
    </row>
    <row r="962" spans="1:19" ht="15" customHeight="1">
      <c r="A962" s="561">
        <f t="shared" si="16"/>
        <v>962</v>
      </c>
      <c r="B962" s="31">
        <v>113</v>
      </c>
      <c r="C962" s="249" t="s">
        <v>855</v>
      </c>
      <c r="D962" s="320" t="s">
        <v>22</v>
      </c>
      <c r="E962" s="321"/>
      <c r="F962" s="322" t="s">
        <v>131</v>
      </c>
      <c r="G962" s="323" t="s">
        <v>1782</v>
      </c>
      <c r="H962" s="322" t="s">
        <v>109</v>
      </c>
      <c r="I962" s="324">
        <v>46.25</v>
      </c>
      <c r="J962" s="325"/>
      <c r="K962" s="325"/>
      <c r="L962" s="325"/>
      <c r="M962" s="325"/>
      <c r="N962" s="325">
        <v>62.6</v>
      </c>
      <c r="O962" s="326"/>
      <c r="P962" s="326"/>
      <c r="Q962" s="326">
        <v>13.1</v>
      </c>
      <c r="R962" s="326"/>
      <c r="S962" s="327" t="s">
        <v>252</v>
      </c>
    </row>
    <row r="963" spans="1:19" ht="15" customHeight="1">
      <c r="A963" s="561">
        <f t="shared" ref="A963:A1026" si="17">1+A962</f>
        <v>963</v>
      </c>
      <c r="B963" s="31">
        <v>113</v>
      </c>
      <c r="C963" s="249" t="s">
        <v>855</v>
      </c>
      <c r="D963" s="320" t="s">
        <v>22</v>
      </c>
      <c r="E963" s="321"/>
      <c r="F963" s="322" t="s">
        <v>131</v>
      </c>
      <c r="G963" s="323" t="s">
        <v>1783</v>
      </c>
      <c r="H963" s="322" t="s">
        <v>160</v>
      </c>
      <c r="I963" s="324">
        <v>42.01</v>
      </c>
      <c r="J963" s="325"/>
      <c r="K963" s="325"/>
      <c r="L963" s="325"/>
      <c r="M963" s="325"/>
      <c r="N963" s="325">
        <v>63</v>
      </c>
      <c r="O963" s="326"/>
      <c r="P963" s="326"/>
      <c r="Q963" s="326">
        <v>13.1</v>
      </c>
      <c r="R963" s="326"/>
      <c r="S963" s="327" t="s">
        <v>253</v>
      </c>
    </row>
    <row r="964" spans="1:19" ht="15" customHeight="1">
      <c r="A964" s="561">
        <f t="shared" si="17"/>
        <v>964</v>
      </c>
      <c r="B964" s="31">
        <v>114</v>
      </c>
      <c r="C964" s="249" t="s">
        <v>21</v>
      </c>
      <c r="D964" s="320" t="s">
        <v>22</v>
      </c>
      <c r="E964" s="321"/>
      <c r="F964" s="322" t="s">
        <v>23</v>
      </c>
      <c r="G964" s="323" t="s">
        <v>1724</v>
      </c>
      <c r="H964" s="322" t="s">
        <v>109</v>
      </c>
      <c r="I964" s="324">
        <v>202.8</v>
      </c>
      <c r="J964" s="325">
        <f>10*3.8+16.4</f>
        <v>54.4</v>
      </c>
      <c r="K964" s="325"/>
      <c r="L964" s="325"/>
      <c r="M964" s="325"/>
      <c r="N964" s="325"/>
      <c r="O964" s="326"/>
      <c r="P964" s="326"/>
      <c r="Q964" s="326"/>
      <c r="R964" s="326">
        <f>21.5*4*1.8+1.8*1.5*18</f>
        <v>203.4</v>
      </c>
      <c r="S964" s="327" t="s">
        <v>24</v>
      </c>
    </row>
    <row r="965" spans="1:19" ht="15" customHeight="1">
      <c r="A965" s="561">
        <f t="shared" si="17"/>
        <v>965</v>
      </c>
      <c r="B965" s="31">
        <v>114</v>
      </c>
      <c r="C965" s="249" t="s">
        <v>21</v>
      </c>
      <c r="D965" s="320" t="s">
        <v>22</v>
      </c>
      <c r="E965" s="321"/>
      <c r="F965" s="322" t="s">
        <v>25</v>
      </c>
      <c r="G965" s="323" t="s">
        <v>1770</v>
      </c>
      <c r="H965" s="322" t="s">
        <v>109</v>
      </c>
      <c r="I965" s="324">
        <v>176.71</v>
      </c>
      <c r="J965" s="325">
        <v>316</v>
      </c>
      <c r="K965" s="325"/>
      <c r="L965" s="325"/>
      <c r="M965" s="325">
        <v>20</v>
      </c>
      <c r="N965" s="325"/>
      <c r="O965" s="326"/>
      <c r="P965" s="326">
        <f>176.7+16*1.4+18.9*2.4</f>
        <v>244.45999999999998</v>
      </c>
      <c r="Q965" s="326"/>
      <c r="R965" s="326"/>
      <c r="S965" s="327" t="s">
        <v>26</v>
      </c>
    </row>
    <row r="966" spans="1:19" ht="15" customHeight="1">
      <c r="A966" s="561">
        <f t="shared" si="17"/>
        <v>966</v>
      </c>
      <c r="B966" s="31">
        <v>114</v>
      </c>
      <c r="C966" s="249" t="s">
        <v>21</v>
      </c>
      <c r="D966" s="320" t="s">
        <v>22</v>
      </c>
      <c r="E966" s="321"/>
      <c r="F966" s="322" t="s">
        <v>27</v>
      </c>
      <c r="G966" s="323" t="s">
        <v>1725</v>
      </c>
      <c r="H966" s="322" t="s">
        <v>176</v>
      </c>
      <c r="I966" s="324">
        <v>3.9</v>
      </c>
      <c r="J966" s="325"/>
      <c r="K966" s="325"/>
      <c r="L966" s="325"/>
      <c r="M966" s="325"/>
      <c r="N966" s="325"/>
      <c r="O966" s="326"/>
      <c r="P966" s="326"/>
      <c r="Q966" s="326"/>
      <c r="R966" s="326">
        <f>I966</f>
        <v>3.9</v>
      </c>
      <c r="S966" s="327" t="s">
        <v>24</v>
      </c>
    </row>
    <row r="967" spans="1:19" ht="15" customHeight="1">
      <c r="A967" s="561">
        <f t="shared" si="17"/>
        <v>967</v>
      </c>
      <c r="B967" s="31">
        <v>114</v>
      </c>
      <c r="C967" s="249" t="s">
        <v>21</v>
      </c>
      <c r="D967" s="320" t="s">
        <v>22</v>
      </c>
      <c r="E967" s="321"/>
      <c r="F967" s="322" t="s">
        <v>20</v>
      </c>
      <c r="G967" s="323" t="s">
        <v>1726</v>
      </c>
      <c r="H967" s="322" t="s">
        <v>948</v>
      </c>
      <c r="I967" s="324">
        <v>57.2</v>
      </c>
      <c r="J967" s="325"/>
      <c r="K967" s="325"/>
      <c r="L967" s="325"/>
      <c r="M967" s="325"/>
      <c r="N967" s="325">
        <v>316</v>
      </c>
      <c r="O967" s="326"/>
      <c r="P967" s="326">
        <f>57.5-21</f>
        <v>36.5</v>
      </c>
      <c r="Q967" s="326">
        <v>21</v>
      </c>
      <c r="R967" s="326"/>
      <c r="S967" s="327" t="s">
        <v>24</v>
      </c>
    </row>
    <row r="968" spans="1:19" ht="15" customHeight="1">
      <c r="A968" s="561">
        <f t="shared" si="17"/>
        <v>968</v>
      </c>
      <c r="B968" s="31">
        <v>114</v>
      </c>
      <c r="C968" s="249" t="s">
        <v>21</v>
      </c>
      <c r="D968" s="320" t="s">
        <v>22</v>
      </c>
      <c r="E968" s="321"/>
      <c r="F968" s="322" t="s">
        <v>20</v>
      </c>
      <c r="G968" s="323" t="s">
        <v>1727</v>
      </c>
      <c r="H968" s="322" t="s">
        <v>109</v>
      </c>
      <c r="I968" s="324">
        <v>8.7799999999999994</v>
      </c>
      <c r="J968" s="325"/>
      <c r="K968" s="325"/>
      <c r="L968" s="325">
        <v>61</v>
      </c>
      <c r="M968" s="325"/>
      <c r="N968" s="325"/>
      <c r="O968" s="326"/>
      <c r="P968" s="326">
        <f>I968</f>
        <v>8.7799999999999994</v>
      </c>
      <c r="Q968" s="326"/>
      <c r="R968" s="326"/>
      <c r="S968" s="327" t="s">
        <v>24</v>
      </c>
    </row>
    <row r="969" spans="1:19" ht="15" customHeight="1">
      <c r="A969" s="561">
        <f t="shared" si="17"/>
        <v>969</v>
      </c>
      <c r="B969" s="31">
        <v>114</v>
      </c>
      <c r="C969" s="249" t="s">
        <v>21</v>
      </c>
      <c r="D969" s="320" t="s">
        <v>22</v>
      </c>
      <c r="E969" s="321"/>
      <c r="F969" s="322" t="s">
        <v>20</v>
      </c>
      <c r="G969" s="323" t="s">
        <v>1798</v>
      </c>
      <c r="H969" s="322" t="s">
        <v>109</v>
      </c>
      <c r="I969" s="324">
        <v>13.81</v>
      </c>
      <c r="J969" s="325"/>
      <c r="K969" s="325"/>
      <c r="L969" s="325">
        <v>67</v>
      </c>
      <c r="M969" s="325"/>
      <c r="N969" s="325"/>
      <c r="O969" s="326"/>
      <c r="P969" s="326">
        <f>I969</f>
        <v>13.81</v>
      </c>
      <c r="Q969" s="326"/>
      <c r="R969" s="326"/>
      <c r="S969" s="327" t="s">
        <v>26</v>
      </c>
    </row>
    <row r="970" spans="1:19" ht="15" customHeight="1">
      <c r="A970" s="561">
        <f t="shared" si="17"/>
        <v>970</v>
      </c>
      <c r="B970" s="31">
        <v>114</v>
      </c>
      <c r="C970" s="249" t="s">
        <v>21</v>
      </c>
      <c r="D970" s="320" t="s">
        <v>22</v>
      </c>
      <c r="E970" s="321"/>
      <c r="F970" s="322" t="s">
        <v>28</v>
      </c>
      <c r="G970" s="323" t="s">
        <v>1799</v>
      </c>
      <c r="H970" s="322" t="s">
        <v>19</v>
      </c>
      <c r="I970" s="324">
        <v>2.42</v>
      </c>
      <c r="J970" s="325"/>
      <c r="K970" s="325"/>
      <c r="L970" s="325">
        <v>29</v>
      </c>
      <c r="M970" s="325"/>
      <c r="N970" s="325"/>
      <c r="O970" s="326"/>
      <c r="P970" s="326">
        <f>I970</f>
        <v>2.42</v>
      </c>
      <c r="Q970" s="326"/>
      <c r="R970" s="326"/>
      <c r="S970" s="327" t="s">
        <v>26</v>
      </c>
    </row>
    <row r="971" spans="1:19" ht="15" customHeight="1">
      <c r="A971" s="561">
        <f t="shared" si="17"/>
        <v>971</v>
      </c>
      <c r="B971" s="31">
        <v>114</v>
      </c>
      <c r="C971" s="249" t="s">
        <v>21</v>
      </c>
      <c r="D971" s="320" t="s">
        <v>22</v>
      </c>
      <c r="E971" s="321"/>
      <c r="F971" s="322" t="s">
        <v>29</v>
      </c>
      <c r="G971" s="323" t="s">
        <v>1800</v>
      </c>
      <c r="H971" s="322" t="s">
        <v>1328</v>
      </c>
      <c r="I971" s="324">
        <v>40.619999999999997</v>
      </c>
      <c r="J971" s="325"/>
      <c r="K971" s="325"/>
      <c r="L971" s="325"/>
      <c r="M971" s="325"/>
      <c r="N971" s="325"/>
      <c r="O971" s="326"/>
      <c r="P971" s="326"/>
      <c r="Q971" s="326"/>
      <c r="R971" s="326"/>
      <c r="S971" s="327" t="s">
        <v>24</v>
      </c>
    </row>
    <row r="972" spans="1:19" ht="15" customHeight="1">
      <c r="A972" s="561">
        <f t="shared" si="17"/>
        <v>972</v>
      </c>
      <c r="B972" s="31">
        <v>114</v>
      </c>
      <c r="C972" s="249" t="s">
        <v>21</v>
      </c>
      <c r="D972" s="320" t="s">
        <v>22</v>
      </c>
      <c r="E972" s="321"/>
      <c r="F972" s="322" t="s">
        <v>30</v>
      </c>
      <c r="G972" s="323" t="s">
        <v>1801</v>
      </c>
      <c r="H972" s="322" t="s">
        <v>1328</v>
      </c>
      <c r="I972" s="324">
        <v>34.79</v>
      </c>
      <c r="J972" s="325"/>
      <c r="K972" s="325"/>
      <c r="L972" s="325"/>
      <c r="M972" s="325"/>
      <c r="N972" s="325"/>
      <c r="O972" s="326"/>
      <c r="P972" s="326"/>
      <c r="Q972" s="326"/>
      <c r="R972" s="326"/>
      <c r="S972" s="327" t="s">
        <v>24</v>
      </c>
    </row>
    <row r="973" spans="1:19" ht="15" customHeight="1">
      <c r="A973" s="561">
        <f t="shared" si="17"/>
        <v>973</v>
      </c>
      <c r="B973" s="31">
        <v>114</v>
      </c>
      <c r="C973" s="249" t="s">
        <v>21</v>
      </c>
      <c r="D973" s="320" t="s">
        <v>22</v>
      </c>
      <c r="E973" s="321"/>
      <c r="F973" s="322" t="s">
        <v>31</v>
      </c>
      <c r="G973" s="323" t="s">
        <v>1728</v>
      </c>
      <c r="H973" s="322" t="s">
        <v>109</v>
      </c>
      <c r="I973" s="324">
        <v>17.68</v>
      </c>
      <c r="J973" s="325"/>
      <c r="K973" s="325"/>
      <c r="L973" s="325"/>
      <c r="M973" s="325"/>
      <c r="N973" s="325">
        <v>70</v>
      </c>
      <c r="O973" s="326"/>
      <c r="P973" s="326"/>
      <c r="Q973" s="326">
        <f>I973</f>
        <v>17.68</v>
      </c>
      <c r="R973" s="326"/>
      <c r="S973" s="327" t="s">
        <v>24</v>
      </c>
    </row>
    <row r="974" spans="1:19" ht="15" customHeight="1">
      <c r="A974" s="561">
        <f t="shared" si="17"/>
        <v>974</v>
      </c>
      <c r="B974" s="31">
        <v>114</v>
      </c>
      <c r="C974" s="249" t="s">
        <v>21</v>
      </c>
      <c r="D974" s="320" t="s">
        <v>22</v>
      </c>
      <c r="E974" s="321"/>
      <c r="F974" s="322" t="s">
        <v>32</v>
      </c>
      <c r="G974" s="323" t="s">
        <v>1791</v>
      </c>
      <c r="H974" s="322" t="s">
        <v>109</v>
      </c>
      <c r="I974" s="324">
        <v>8.16</v>
      </c>
      <c r="J974" s="325"/>
      <c r="K974" s="325"/>
      <c r="L974" s="325">
        <v>36.799999999999997</v>
      </c>
      <c r="M974" s="325"/>
      <c r="N974" s="325"/>
      <c r="O974" s="326"/>
      <c r="P974" s="326">
        <f>I974</f>
        <v>8.16</v>
      </c>
      <c r="Q974" s="326"/>
      <c r="R974" s="326"/>
      <c r="S974" s="327" t="s">
        <v>33</v>
      </c>
    </row>
    <row r="975" spans="1:19" ht="15" customHeight="1">
      <c r="A975" s="561">
        <f t="shared" si="17"/>
        <v>975</v>
      </c>
      <c r="B975" s="31">
        <v>114</v>
      </c>
      <c r="C975" s="249" t="s">
        <v>21</v>
      </c>
      <c r="D975" s="320" t="s">
        <v>22</v>
      </c>
      <c r="E975" s="321"/>
      <c r="F975" s="322" t="s">
        <v>34</v>
      </c>
      <c r="G975" s="323" t="s">
        <v>1792</v>
      </c>
      <c r="H975" s="322" t="s">
        <v>176</v>
      </c>
      <c r="I975" s="324">
        <v>14.31</v>
      </c>
      <c r="J975" s="325"/>
      <c r="K975" s="325"/>
      <c r="L975" s="325"/>
      <c r="M975" s="325"/>
      <c r="N975" s="325">
        <v>64</v>
      </c>
      <c r="O975" s="326"/>
      <c r="P975" s="326"/>
      <c r="Q975" s="326">
        <f>I975</f>
        <v>14.31</v>
      </c>
      <c r="R975" s="326"/>
      <c r="S975" s="327" t="s">
        <v>26</v>
      </c>
    </row>
    <row r="976" spans="1:19" ht="15" customHeight="1">
      <c r="A976" s="561">
        <f t="shared" si="17"/>
        <v>976</v>
      </c>
      <c r="B976" s="31">
        <v>114</v>
      </c>
      <c r="C976" s="249" t="s">
        <v>21</v>
      </c>
      <c r="D976" s="320" t="s">
        <v>22</v>
      </c>
      <c r="E976" s="321"/>
      <c r="F976" s="322" t="s">
        <v>35</v>
      </c>
      <c r="G976" s="323" t="s">
        <v>1729</v>
      </c>
      <c r="H976" s="322" t="s">
        <v>109</v>
      </c>
      <c r="I976" s="324">
        <v>14.9</v>
      </c>
      <c r="J976" s="325"/>
      <c r="K976" s="325"/>
      <c r="L976" s="325">
        <v>65</v>
      </c>
      <c r="M976" s="325"/>
      <c r="N976" s="325"/>
      <c r="O976" s="326"/>
      <c r="P976" s="326">
        <f>I976</f>
        <v>14.9</v>
      </c>
      <c r="Q976" s="326"/>
      <c r="R976" s="326"/>
      <c r="S976" s="327" t="s">
        <v>24</v>
      </c>
    </row>
    <row r="977" spans="1:19" ht="15" customHeight="1">
      <c r="A977" s="561">
        <f t="shared" si="17"/>
        <v>977</v>
      </c>
      <c r="B977" s="31">
        <v>114</v>
      </c>
      <c r="C977" s="249" t="s">
        <v>21</v>
      </c>
      <c r="D977" s="320" t="s">
        <v>22</v>
      </c>
      <c r="E977" s="321"/>
      <c r="F977" s="322" t="s">
        <v>36</v>
      </c>
      <c r="G977" s="323" t="s">
        <v>1771</v>
      </c>
      <c r="H977" s="322" t="s">
        <v>109</v>
      </c>
      <c r="I977" s="324">
        <v>11.71</v>
      </c>
      <c r="J977" s="325"/>
      <c r="K977" s="325"/>
      <c r="L977" s="325">
        <v>58</v>
      </c>
      <c r="M977" s="325"/>
      <c r="N977" s="325"/>
      <c r="O977" s="326"/>
      <c r="P977" s="326">
        <f>I977</f>
        <v>11.71</v>
      </c>
      <c r="Q977" s="326"/>
      <c r="R977" s="326"/>
      <c r="S977" s="327" t="s">
        <v>26</v>
      </c>
    </row>
    <row r="978" spans="1:19" ht="15" customHeight="1">
      <c r="A978" s="561">
        <f t="shared" si="17"/>
        <v>978</v>
      </c>
      <c r="B978" s="31">
        <v>114</v>
      </c>
      <c r="C978" s="249" t="s">
        <v>21</v>
      </c>
      <c r="D978" s="320" t="s">
        <v>22</v>
      </c>
      <c r="E978" s="321"/>
      <c r="F978" s="322" t="s">
        <v>37</v>
      </c>
      <c r="G978" s="323" t="s">
        <v>1730</v>
      </c>
      <c r="H978" s="322" t="s">
        <v>109</v>
      </c>
      <c r="I978" s="324">
        <v>21.55</v>
      </c>
      <c r="J978" s="325"/>
      <c r="K978" s="325"/>
      <c r="L978" s="325">
        <v>76</v>
      </c>
      <c r="M978" s="325"/>
      <c r="N978" s="325"/>
      <c r="O978" s="326"/>
      <c r="P978" s="326">
        <f>I978</f>
        <v>21.55</v>
      </c>
      <c r="Q978" s="326"/>
      <c r="R978" s="326"/>
      <c r="S978" s="327" t="s">
        <v>24</v>
      </c>
    </row>
    <row r="979" spans="1:19" ht="15" customHeight="1">
      <c r="A979" s="561">
        <f t="shared" si="17"/>
        <v>979</v>
      </c>
      <c r="B979" s="31">
        <v>114</v>
      </c>
      <c r="C979" s="249" t="s">
        <v>21</v>
      </c>
      <c r="D979" s="320" t="s">
        <v>22</v>
      </c>
      <c r="E979" s="321"/>
      <c r="F979" s="322" t="s">
        <v>38</v>
      </c>
      <c r="G979" s="323" t="s">
        <v>1731</v>
      </c>
      <c r="H979" s="322" t="s">
        <v>176</v>
      </c>
      <c r="I979" s="324">
        <v>10.62</v>
      </c>
      <c r="J979" s="325"/>
      <c r="K979" s="325"/>
      <c r="L979" s="325"/>
      <c r="M979" s="325"/>
      <c r="N979" s="325">
        <v>54</v>
      </c>
      <c r="O979" s="326"/>
      <c r="P979" s="326"/>
      <c r="Q979" s="326"/>
      <c r="R979" s="326">
        <f>I979</f>
        <v>10.62</v>
      </c>
      <c r="S979" s="327" t="s">
        <v>24</v>
      </c>
    </row>
    <row r="980" spans="1:19" ht="15" customHeight="1">
      <c r="A980" s="561">
        <f t="shared" si="17"/>
        <v>980</v>
      </c>
      <c r="B980" s="31">
        <v>114</v>
      </c>
      <c r="C980" s="249" t="s">
        <v>21</v>
      </c>
      <c r="D980" s="320" t="s">
        <v>22</v>
      </c>
      <c r="E980" s="321"/>
      <c r="F980" s="322" t="s">
        <v>39</v>
      </c>
      <c r="G980" s="323" t="s">
        <v>1773</v>
      </c>
      <c r="H980" s="322" t="s">
        <v>176</v>
      </c>
      <c r="I980" s="324">
        <v>24.6</v>
      </c>
      <c r="J980" s="325"/>
      <c r="K980" s="325"/>
      <c r="L980" s="325"/>
      <c r="M980" s="325"/>
      <c r="N980" s="325">
        <v>69</v>
      </c>
      <c r="O980" s="326"/>
      <c r="P980" s="326"/>
      <c r="Q980" s="326"/>
      <c r="R980" s="326">
        <f>I980</f>
        <v>24.6</v>
      </c>
      <c r="S980" s="327" t="s">
        <v>24</v>
      </c>
    </row>
    <row r="981" spans="1:19" ht="15" customHeight="1">
      <c r="A981" s="561">
        <f t="shared" si="17"/>
        <v>981</v>
      </c>
      <c r="B981" s="31">
        <v>114</v>
      </c>
      <c r="C981" s="249" t="s">
        <v>21</v>
      </c>
      <c r="D981" s="320" t="s">
        <v>22</v>
      </c>
      <c r="E981" s="321"/>
      <c r="F981" s="322" t="s">
        <v>40</v>
      </c>
      <c r="G981" s="323" t="s">
        <v>1793</v>
      </c>
      <c r="H981" s="322" t="s">
        <v>109</v>
      </c>
      <c r="I981" s="324">
        <v>9.32</v>
      </c>
      <c r="J981" s="325">
        <v>51</v>
      </c>
      <c r="K981" s="325"/>
      <c r="L981" s="325"/>
      <c r="M981" s="325"/>
      <c r="N981" s="325"/>
      <c r="O981" s="326"/>
      <c r="P981" s="326">
        <f>I981</f>
        <v>9.32</v>
      </c>
      <c r="Q981" s="326"/>
      <c r="R981" s="326"/>
      <c r="S981" s="327" t="s">
        <v>24</v>
      </c>
    </row>
    <row r="982" spans="1:19" ht="15" customHeight="1">
      <c r="A982" s="561">
        <f t="shared" si="17"/>
        <v>982</v>
      </c>
      <c r="B982" s="31">
        <v>114</v>
      </c>
      <c r="C982" s="249" t="s">
        <v>21</v>
      </c>
      <c r="D982" s="320" t="s">
        <v>22</v>
      </c>
      <c r="E982" s="321"/>
      <c r="F982" s="322" t="s">
        <v>41</v>
      </c>
      <c r="G982" s="323" t="s">
        <v>1802</v>
      </c>
      <c r="H982" s="322" t="s">
        <v>109</v>
      </c>
      <c r="I982" s="324">
        <v>13.85</v>
      </c>
      <c r="J982" s="325">
        <v>67</v>
      </c>
      <c r="K982" s="325"/>
      <c r="L982" s="325"/>
      <c r="M982" s="325"/>
      <c r="N982" s="325"/>
      <c r="O982" s="326"/>
      <c r="P982" s="326">
        <f>I982</f>
        <v>13.85</v>
      </c>
      <c r="Q982" s="326"/>
      <c r="R982" s="326"/>
      <c r="S982" s="327" t="s">
        <v>24</v>
      </c>
    </row>
    <row r="983" spans="1:19" ht="15" customHeight="1">
      <c r="A983" s="561">
        <f t="shared" si="17"/>
        <v>983</v>
      </c>
      <c r="B983" s="31">
        <v>114</v>
      </c>
      <c r="C983" s="249" t="s">
        <v>21</v>
      </c>
      <c r="D983" s="320" t="s">
        <v>22</v>
      </c>
      <c r="E983" s="321"/>
      <c r="F983" s="322" t="s">
        <v>42</v>
      </c>
      <c r="G983" s="323" t="s">
        <v>1774</v>
      </c>
      <c r="H983" s="322" t="s">
        <v>109</v>
      </c>
      <c r="I983" s="324">
        <v>4.0199999999999996</v>
      </c>
      <c r="J983" s="325">
        <v>31</v>
      </c>
      <c r="K983" s="325"/>
      <c r="L983" s="325"/>
      <c r="M983" s="325"/>
      <c r="N983" s="325"/>
      <c r="O983" s="326"/>
      <c r="P983" s="326"/>
      <c r="Q983" s="326"/>
      <c r="R983" s="326">
        <f>I983</f>
        <v>4.0199999999999996</v>
      </c>
      <c r="S983" s="327" t="s">
        <v>24</v>
      </c>
    </row>
    <row r="984" spans="1:19" ht="15" customHeight="1">
      <c r="A984" s="561">
        <f t="shared" si="17"/>
        <v>984</v>
      </c>
      <c r="B984" s="31">
        <v>114</v>
      </c>
      <c r="C984" s="249" t="s">
        <v>21</v>
      </c>
      <c r="D984" s="320" t="s">
        <v>22</v>
      </c>
      <c r="E984" s="321"/>
      <c r="F984" s="322" t="s">
        <v>43</v>
      </c>
      <c r="G984" s="323" t="s">
        <v>1758</v>
      </c>
      <c r="H984" s="322" t="s">
        <v>44</v>
      </c>
      <c r="I984" s="324">
        <v>6.53</v>
      </c>
      <c r="J984" s="325"/>
      <c r="K984" s="325"/>
      <c r="L984" s="325">
        <v>44</v>
      </c>
      <c r="M984" s="325"/>
      <c r="N984" s="325"/>
      <c r="O984" s="326"/>
      <c r="P984" s="326">
        <f>I984</f>
        <v>6.53</v>
      </c>
      <c r="Q984" s="326"/>
      <c r="R984" s="326"/>
      <c r="S984" s="327" t="s">
        <v>24</v>
      </c>
    </row>
    <row r="985" spans="1:19" ht="15" customHeight="1">
      <c r="A985" s="561">
        <f t="shared" si="17"/>
        <v>985</v>
      </c>
      <c r="B985" s="31">
        <v>114</v>
      </c>
      <c r="C985" s="249" t="s">
        <v>21</v>
      </c>
      <c r="D985" s="320" t="s">
        <v>22</v>
      </c>
      <c r="E985" s="321"/>
      <c r="F985" s="322" t="s">
        <v>45</v>
      </c>
      <c r="G985" s="323" t="s">
        <v>1759</v>
      </c>
      <c r="H985" s="322" t="s">
        <v>109</v>
      </c>
      <c r="I985" s="324">
        <v>7</v>
      </c>
      <c r="J985" s="325">
        <v>14.9</v>
      </c>
      <c r="K985" s="325"/>
      <c r="L985" s="325"/>
      <c r="M985" s="325"/>
      <c r="N985" s="325">
        <v>54.4</v>
      </c>
      <c r="O985" s="326"/>
      <c r="P985" s="326">
        <f>I985</f>
        <v>7</v>
      </c>
      <c r="Q985" s="326"/>
      <c r="R985" s="326"/>
      <c r="S985" s="327" t="s">
        <v>24</v>
      </c>
    </row>
    <row r="986" spans="1:19" ht="15" customHeight="1">
      <c r="A986" s="561">
        <f t="shared" si="17"/>
        <v>986</v>
      </c>
      <c r="B986" s="31">
        <v>114</v>
      </c>
      <c r="C986" s="249" t="s">
        <v>21</v>
      </c>
      <c r="D986" s="320" t="s">
        <v>22</v>
      </c>
      <c r="E986" s="321"/>
      <c r="F986" s="322" t="s">
        <v>46</v>
      </c>
      <c r="G986" s="323" t="s">
        <v>1803</v>
      </c>
      <c r="H986" s="322" t="s">
        <v>299</v>
      </c>
      <c r="I986" s="324">
        <v>6.61</v>
      </c>
      <c r="J986" s="325"/>
      <c r="K986" s="325"/>
      <c r="L986" s="325"/>
      <c r="M986" s="325">
        <v>2.3849999999999998</v>
      </c>
      <c r="N986" s="325"/>
      <c r="O986" s="326"/>
      <c r="P986" s="326"/>
      <c r="Q986" s="326"/>
      <c r="R986" s="326">
        <f>I986</f>
        <v>6.61</v>
      </c>
      <c r="S986" s="327" t="s">
        <v>1061</v>
      </c>
    </row>
    <row r="987" spans="1:19" ht="15" customHeight="1">
      <c r="A987" s="561">
        <f t="shared" si="17"/>
        <v>987</v>
      </c>
      <c r="B987" s="31">
        <v>114</v>
      </c>
      <c r="C987" s="249" t="s">
        <v>21</v>
      </c>
      <c r="D987" s="320" t="s">
        <v>22</v>
      </c>
      <c r="E987" s="321"/>
      <c r="F987" s="322" t="s">
        <v>47</v>
      </c>
      <c r="G987" s="323" t="s">
        <v>1761</v>
      </c>
      <c r="H987" s="322" t="s">
        <v>44</v>
      </c>
      <c r="I987" s="324">
        <v>18.2</v>
      </c>
      <c r="J987" s="325"/>
      <c r="K987" s="325"/>
      <c r="L987" s="325"/>
      <c r="M987" s="325"/>
      <c r="N987" s="325">
        <v>78</v>
      </c>
      <c r="O987" s="326"/>
      <c r="P987" s="326"/>
      <c r="Q987" s="326">
        <f>I987</f>
        <v>18.2</v>
      </c>
      <c r="R987" s="326"/>
      <c r="S987" s="327" t="s">
        <v>24</v>
      </c>
    </row>
    <row r="988" spans="1:19" ht="15" customHeight="1">
      <c r="A988" s="561">
        <f t="shared" si="17"/>
        <v>988</v>
      </c>
      <c r="B988" s="31">
        <v>114</v>
      </c>
      <c r="C988" s="249" t="s">
        <v>21</v>
      </c>
      <c r="D988" s="320" t="s">
        <v>22</v>
      </c>
      <c r="E988" s="321"/>
      <c r="F988" s="322" t="s">
        <v>48</v>
      </c>
      <c r="G988" s="323" t="s">
        <v>1776</v>
      </c>
      <c r="H988" s="322" t="s">
        <v>109</v>
      </c>
      <c r="I988" s="324">
        <v>6.36</v>
      </c>
      <c r="J988" s="325"/>
      <c r="K988" s="325"/>
      <c r="L988" s="325">
        <v>47</v>
      </c>
      <c r="M988" s="325"/>
      <c r="N988" s="325"/>
      <c r="O988" s="326"/>
      <c r="P988" s="326">
        <f>I988</f>
        <v>6.36</v>
      </c>
      <c r="Q988" s="326"/>
      <c r="R988" s="326"/>
      <c r="S988" s="327" t="s">
        <v>26</v>
      </c>
    </row>
    <row r="989" spans="1:19" ht="15" customHeight="1">
      <c r="A989" s="561">
        <f t="shared" si="17"/>
        <v>989</v>
      </c>
      <c r="B989" s="31">
        <v>114</v>
      </c>
      <c r="C989" s="249" t="s">
        <v>21</v>
      </c>
      <c r="D989" s="320" t="s">
        <v>22</v>
      </c>
      <c r="E989" s="321"/>
      <c r="F989" s="322" t="s">
        <v>49</v>
      </c>
      <c r="G989" s="323" t="s">
        <v>1777</v>
      </c>
      <c r="H989" s="322" t="s">
        <v>109</v>
      </c>
      <c r="I989" s="324">
        <v>2.23</v>
      </c>
      <c r="J989" s="325"/>
      <c r="K989" s="325"/>
      <c r="L989" s="325"/>
      <c r="M989" s="325"/>
      <c r="N989" s="325">
        <v>51</v>
      </c>
      <c r="O989" s="326"/>
      <c r="P989" s="326"/>
      <c r="Q989" s="326">
        <f>I989</f>
        <v>2.23</v>
      </c>
      <c r="R989" s="326"/>
      <c r="S989" s="327" t="s">
        <v>26</v>
      </c>
    </row>
    <row r="990" spans="1:19" ht="15" customHeight="1">
      <c r="A990" s="561">
        <f t="shared" si="17"/>
        <v>990</v>
      </c>
      <c r="B990" s="31">
        <v>114</v>
      </c>
      <c r="C990" s="249" t="s">
        <v>21</v>
      </c>
      <c r="D990" s="320" t="s">
        <v>22</v>
      </c>
      <c r="E990" s="321"/>
      <c r="F990" s="322" t="s">
        <v>50</v>
      </c>
      <c r="G990" s="323" t="s">
        <v>1804</v>
      </c>
      <c r="H990" s="322" t="s">
        <v>109</v>
      </c>
      <c r="I990" s="324">
        <v>5.0199999999999996</v>
      </c>
      <c r="J990" s="325"/>
      <c r="K990" s="325"/>
      <c r="L990" s="325"/>
      <c r="M990" s="325"/>
      <c r="N990" s="325">
        <v>37</v>
      </c>
      <c r="O990" s="326"/>
      <c r="P990" s="326"/>
      <c r="Q990" s="326">
        <f>I990</f>
        <v>5.0199999999999996</v>
      </c>
      <c r="R990" s="326"/>
      <c r="S990" s="327" t="s">
        <v>26</v>
      </c>
    </row>
    <row r="991" spans="1:19" ht="15" customHeight="1">
      <c r="A991" s="561">
        <f t="shared" si="17"/>
        <v>991</v>
      </c>
      <c r="B991" s="31">
        <v>114</v>
      </c>
      <c r="C991" s="249" t="s">
        <v>21</v>
      </c>
      <c r="D991" s="320" t="s">
        <v>22</v>
      </c>
      <c r="E991" s="321"/>
      <c r="F991" s="322" t="s">
        <v>51</v>
      </c>
      <c r="G991" s="323" t="s">
        <v>1805</v>
      </c>
      <c r="H991" s="322" t="s">
        <v>299</v>
      </c>
      <c r="I991" s="324">
        <v>4.07</v>
      </c>
      <c r="J991" s="325"/>
      <c r="K991" s="325"/>
      <c r="L991" s="325"/>
      <c r="M991" s="325">
        <v>15.9</v>
      </c>
      <c r="N991" s="325"/>
      <c r="O991" s="326"/>
      <c r="P991" s="326"/>
      <c r="Q991" s="326"/>
      <c r="R991" s="326">
        <f>I991</f>
        <v>4.07</v>
      </c>
      <c r="S991" s="327" t="s">
        <v>1062</v>
      </c>
    </row>
    <row r="992" spans="1:19" ht="15" customHeight="1">
      <c r="A992" s="561">
        <f t="shared" si="17"/>
        <v>992</v>
      </c>
      <c r="B992" s="31">
        <v>114</v>
      </c>
      <c r="C992" s="249" t="s">
        <v>21</v>
      </c>
      <c r="D992" s="320" t="s">
        <v>22</v>
      </c>
      <c r="E992" s="321"/>
      <c r="F992" s="322" t="s">
        <v>52</v>
      </c>
      <c r="G992" s="323" t="s">
        <v>1806</v>
      </c>
      <c r="H992" s="322" t="s">
        <v>109</v>
      </c>
      <c r="I992" s="324">
        <v>32.75</v>
      </c>
      <c r="J992" s="325"/>
      <c r="K992" s="325"/>
      <c r="L992" s="325"/>
      <c r="M992" s="325"/>
      <c r="N992" s="325">
        <v>38.299999999999997</v>
      </c>
      <c r="O992" s="326"/>
      <c r="P992" s="326"/>
      <c r="Q992" s="326">
        <f>I992</f>
        <v>32.75</v>
      </c>
      <c r="R992" s="326"/>
      <c r="S992" s="327" t="s">
        <v>24</v>
      </c>
    </row>
    <row r="993" spans="1:19" ht="15" customHeight="1">
      <c r="A993" s="561">
        <f t="shared" si="17"/>
        <v>993</v>
      </c>
      <c r="B993" s="31">
        <v>114</v>
      </c>
      <c r="C993" s="249" t="s">
        <v>21</v>
      </c>
      <c r="D993" s="320" t="s">
        <v>22</v>
      </c>
      <c r="E993" s="321"/>
      <c r="F993" s="322" t="s">
        <v>53</v>
      </c>
      <c r="G993" s="323" t="s">
        <v>1735</v>
      </c>
      <c r="H993" s="322" t="s">
        <v>44</v>
      </c>
      <c r="I993" s="324">
        <v>15.07</v>
      </c>
      <c r="J993" s="325"/>
      <c r="K993" s="325"/>
      <c r="L993" s="325"/>
      <c r="M993" s="325"/>
      <c r="N993" s="325">
        <v>64</v>
      </c>
      <c r="O993" s="326"/>
      <c r="P993" s="326">
        <f>I993</f>
        <v>15.07</v>
      </c>
      <c r="Q993" s="326"/>
      <c r="R993" s="326"/>
      <c r="S993" s="327" t="s">
        <v>24</v>
      </c>
    </row>
    <row r="994" spans="1:19" ht="15" customHeight="1">
      <c r="A994" s="561">
        <f t="shared" si="17"/>
        <v>994</v>
      </c>
      <c r="B994" s="31">
        <v>114</v>
      </c>
      <c r="C994" s="249" t="s">
        <v>21</v>
      </c>
      <c r="D994" s="320" t="s">
        <v>22</v>
      </c>
      <c r="E994" s="321"/>
      <c r="F994" s="322" t="s">
        <v>54</v>
      </c>
      <c r="G994" s="323" t="s">
        <v>1718</v>
      </c>
      <c r="H994" s="322" t="s">
        <v>113</v>
      </c>
      <c r="I994" s="324">
        <v>1503.07</v>
      </c>
      <c r="J994" s="325"/>
      <c r="K994" s="325"/>
      <c r="L994" s="325"/>
      <c r="M994" s="325"/>
      <c r="N994" s="325"/>
      <c r="O994" s="326">
        <f>152.39*10.09</f>
        <v>1537.6150999999998</v>
      </c>
      <c r="P994" s="326"/>
      <c r="Q994" s="326"/>
      <c r="R994" s="326"/>
      <c r="S994" s="327"/>
    </row>
    <row r="995" spans="1:19" ht="15" customHeight="1">
      <c r="A995" s="561">
        <f t="shared" si="17"/>
        <v>995</v>
      </c>
      <c r="B995" s="31">
        <v>114</v>
      </c>
      <c r="C995" s="249" t="s">
        <v>21</v>
      </c>
      <c r="D995" s="320" t="s">
        <v>22</v>
      </c>
      <c r="E995" s="321"/>
      <c r="F995" s="322" t="s">
        <v>55</v>
      </c>
      <c r="G995" s="323" t="s">
        <v>1807</v>
      </c>
      <c r="H995" s="322" t="s">
        <v>109</v>
      </c>
      <c r="I995" s="324">
        <v>35.49</v>
      </c>
      <c r="J995" s="325"/>
      <c r="K995" s="325"/>
      <c r="L995" s="325"/>
      <c r="M995" s="325"/>
      <c r="N995" s="325">
        <v>123</v>
      </c>
      <c r="O995" s="326"/>
      <c r="P995" s="326"/>
      <c r="Q995" s="326">
        <f>I995</f>
        <v>35.49</v>
      </c>
      <c r="R995" s="326"/>
      <c r="S995" s="327" t="s">
        <v>26</v>
      </c>
    </row>
    <row r="996" spans="1:19" ht="15" customHeight="1">
      <c r="A996" s="561">
        <f t="shared" si="17"/>
        <v>996</v>
      </c>
      <c r="B996" s="31">
        <v>114</v>
      </c>
      <c r="C996" s="249" t="s">
        <v>21</v>
      </c>
      <c r="D996" s="320" t="s">
        <v>22</v>
      </c>
      <c r="E996" s="321"/>
      <c r="F996" s="322" t="s">
        <v>56</v>
      </c>
      <c r="G996" s="323" t="s">
        <v>1808</v>
      </c>
      <c r="H996" s="322" t="s">
        <v>109</v>
      </c>
      <c r="I996" s="324">
        <v>34.61</v>
      </c>
      <c r="J996" s="325"/>
      <c r="K996" s="325"/>
      <c r="L996" s="325"/>
      <c r="M996" s="325"/>
      <c r="N996" s="325">
        <v>111</v>
      </c>
      <c r="O996" s="326"/>
      <c r="P996" s="326"/>
      <c r="Q996" s="326">
        <f>I996</f>
        <v>34.61</v>
      </c>
      <c r="R996" s="326"/>
      <c r="S996" s="327" t="s">
        <v>24</v>
      </c>
    </row>
    <row r="997" spans="1:19" ht="15" customHeight="1">
      <c r="A997" s="561">
        <f t="shared" si="17"/>
        <v>997</v>
      </c>
      <c r="B997" s="31">
        <v>114</v>
      </c>
      <c r="C997" s="249" t="s">
        <v>21</v>
      </c>
      <c r="D997" s="320" t="s">
        <v>22</v>
      </c>
      <c r="E997" s="321"/>
      <c r="F997" s="322" t="s">
        <v>57</v>
      </c>
      <c r="G997" s="323" t="s">
        <v>58</v>
      </c>
      <c r="H997" s="322" t="s">
        <v>68</v>
      </c>
      <c r="I997" s="324">
        <v>42</v>
      </c>
      <c r="J997" s="325" t="s">
        <v>1057</v>
      </c>
      <c r="K997" s="325"/>
      <c r="L997" s="325"/>
      <c r="M997" s="325"/>
      <c r="N997" s="325"/>
      <c r="O997" s="326"/>
      <c r="P997" s="326"/>
      <c r="Q997" s="326"/>
      <c r="R997" s="326"/>
      <c r="S997" s="327" t="s">
        <v>102</v>
      </c>
    </row>
    <row r="998" spans="1:19" ht="15" customHeight="1">
      <c r="A998" s="561">
        <f t="shared" si="17"/>
        <v>998</v>
      </c>
      <c r="B998" s="31">
        <v>114</v>
      </c>
      <c r="C998" s="249" t="s">
        <v>21</v>
      </c>
      <c r="D998" s="320" t="s">
        <v>22</v>
      </c>
      <c r="E998" s="321"/>
      <c r="F998" s="322" t="s">
        <v>60</v>
      </c>
      <c r="G998" s="323" t="s">
        <v>58</v>
      </c>
      <c r="H998" s="322" t="s">
        <v>68</v>
      </c>
      <c r="I998" s="324">
        <v>42</v>
      </c>
      <c r="J998" s="325" t="s">
        <v>1057</v>
      </c>
      <c r="K998" s="325"/>
      <c r="L998" s="325"/>
      <c r="M998" s="325"/>
      <c r="N998" s="325"/>
      <c r="O998" s="326"/>
      <c r="P998" s="326"/>
      <c r="Q998" s="326"/>
      <c r="R998" s="326"/>
      <c r="S998" s="327" t="s">
        <v>102</v>
      </c>
    </row>
    <row r="999" spans="1:19" ht="15" customHeight="1">
      <c r="A999" s="561">
        <f t="shared" si="17"/>
        <v>999</v>
      </c>
      <c r="B999" s="31">
        <v>114</v>
      </c>
      <c r="C999" s="249" t="s">
        <v>21</v>
      </c>
      <c r="D999" s="320" t="s">
        <v>22</v>
      </c>
      <c r="E999" s="321"/>
      <c r="F999" s="322" t="s">
        <v>61</v>
      </c>
      <c r="G999" s="323" t="s">
        <v>58</v>
      </c>
      <c r="H999" s="322" t="s">
        <v>1324</v>
      </c>
      <c r="I999" s="324">
        <v>26.25</v>
      </c>
      <c r="J999" s="325" t="s">
        <v>1057</v>
      </c>
      <c r="K999" s="325"/>
      <c r="L999" s="325"/>
      <c r="M999" s="325"/>
      <c r="N999" s="325"/>
      <c r="O999" s="326"/>
      <c r="P999" s="326"/>
      <c r="Q999" s="326"/>
      <c r="R999" s="326"/>
      <c r="S999" s="327" t="s">
        <v>59</v>
      </c>
    </row>
    <row r="1000" spans="1:19" ht="15" customHeight="1">
      <c r="A1000" s="561">
        <f t="shared" si="17"/>
        <v>1000</v>
      </c>
      <c r="B1000" s="31">
        <v>114</v>
      </c>
      <c r="C1000" s="249" t="s">
        <v>21</v>
      </c>
      <c r="D1000" s="320" t="s">
        <v>22</v>
      </c>
      <c r="E1000" s="321"/>
      <c r="F1000" s="322" t="s">
        <v>62</v>
      </c>
      <c r="G1000" s="323" t="s">
        <v>58</v>
      </c>
      <c r="H1000" s="322" t="s">
        <v>821</v>
      </c>
      <c r="I1000" s="324">
        <v>26.25</v>
      </c>
      <c r="J1000" s="325" t="s">
        <v>1057</v>
      </c>
      <c r="K1000" s="325"/>
      <c r="L1000" s="325"/>
      <c r="M1000" s="325"/>
      <c r="N1000" s="325"/>
      <c r="O1000" s="326"/>
      <c r="P1000" s="326"/>
      <c r="Q1000" s="326"/>
      <c r="R1000" s="326"/>
      <c r="S1000" s="327" t="s">
        <v>59</v>
      </c>
    </row>
    <row r="1001" spans="1:19" ht="15" customHeight="1">
      <c r="A1001" s="561">
        <f t="shared" si="17"/>
        <v>1001</v>
      </c>
      <c r="B1001" s="31">
        <v>115</v>
      </c>
      <c r="C1001" s="249" t="s">
        <v>73</v>
      </c>
      <c r="D1001" s="320" t="s">
        <v>74</v>
      </c>
      <c r="E1001" s="321"/>
      <c r="F1001" s="322" t="s">
        <v>71</v>
      </c>
      <c r="G1001" s="323" t="s">
        <v>1724</v>
      </c>
      <c r="H1001" s="322" t="s">
        <v>109</v>
      </c>
      <c r="I1001" s="324">
        <v>182.62</v>
      </c>
      <c r="J1001" s="325"/>
      <c r="K1001" s="325"/>
      <c r="L1001" s="325"/>
      <c r="M1001" s="325">
        <v>20</v>
      </c>
      <c r="N1001" s="325">
        <v>577</v>
      </c>
      <c r="O1001" s="326"/>
      <c r="P1001" s="326">
        <f>161.2-27.6</f>
        <v>133.6</v>
      </c>
      <c r="Q1001" s="326"/>
      <c r="R1001" s="326"/>
      <c r="S1001" s="327" t="s">
        <v>1065</v>
      </c>
    </row>
    <row r="1002" spans="1:19" ht="15" customHeight="1">
      <c r="A1002" s="561">
        <f t="shared" si="17"/>
        <v>1002</v>
      </c>
      <c r="B1002" s="31">
        <v>115</v>
      </c>
      <c r="C1002" s="249" t="s">
        <v>73</v>
      </c>
      <c r="D1002" s="320" t="s">
        <v>74</v>
      </c>
      <c r="E1002" s="321"/>
      <c r="F1002" s="322" t="s">
        <v>71</v>
      </c>
      <c r="G1002" s="323" t="s">
        <v>1770</v>
      </c>
      <c r="H1002" s="322" t="s">
        <v>109</v>
      </c>
      <c r="I1002" s="324">
        <v>128.96</v>
      </c>
      <c r="J1002" s="325"/>
      <c r="K1002" s="325"/>
      <c r="L1002" s="325"/>
      <c r="M1002" s="325"/>
      <c r="N1002" s="325">
        <v>418</v>
      </c>
      <c r="O1002" s="326"/>
      <c r="P1002" s="326"/>
      <c r="Q1002" s="326">
        <v>198</v>
      </c>
      <c r="R1002" s="326"/>
      <c r="S1002" s="327" t="s">
        <v>24</v>
      </c>
    </row>
    <row r="1003" spans="1:19" ht="15" customHeight="1">
      <c r="A1003" s="561">
        <f t="shared" si="17"/>
        <v>1003</v>
      </c>
      <c r="B1003" s="31">
        <v>115</v>
      </c>
      <c r="C1003" s="249" t="s">
        <v>73</v>
      </c>
      <c r="D1003" s="320" t="s">
        <v>74</v>
      </c>
      <c r="E1003" s="321"/>
      <c r="F1003" s="322" t="s">
        <v>67</v>
      </c>
      <c r="G1003" s="323" t="s">
        <v>1809</v>
      </c>
      <c r="H1003" s="322" t="s">
        <v>113</v>
      </c>
      <c r="I1003" s="324">
        <v>1699.37</v>
      </c>
      <c r="J1003" s="325"/>
      <c r="K1003" s="325"/>
      <c r="L1003" s="325"/>
      <c r="M1003" s="325"/>
      <c r="N1003" s="325">
        <v>70</v>
      </c>
      <c r="O1003" s="326">
        <f>121.5*12</f>
        <v>1458</v>
      </c>
      <c r="P1003" s="326"/>
      <c r="Q1003" s="326"/>
      <c r="R1003" s="326"/>
      <c r="S1003" s="327"/>
    </row>
    <row r="1004" spans="1:19" ht="15" customHeight="1">
      <c r="A1004" s="561">
        <f t="shared" si="17"/>
        <v>1004</v>
      </c>
      <c r="B1004" s="31">
        <v>115</v>
      </c>
      <c r="C1004" s="249" t="s">
        <v>73</v>
      </c>
      <c r="D1004" s="320" t="s">
        <v>74</v>
      </c>
      <c r="E1004" s="321"/>
      <c r="F1004" s="322" t="s">
        <v>76</v>
      </c>
      <c r="G1004" s="323" t="s">
        <v>1725</v>
      </c>
      <c r="H1004" s="322" t="s">
        <v>109</v>
      </c>
      <c r="I1004" s="324">
        <v>11.01</v>
      </c>
      <c r="J1004" s="325"/>
      <c r="K1004" s="325"/>
      <c r="L1004" s="325"/>
      <c r="M1004" s="325"/>
      <c r="N1004" s="325">
        <v>50</v>
      </c>
      <c r="O1004" s="326"/>
      <c r="P1004" s="326"/>
      <c r="Q1004" s="326">
        <f>I1004</f>
        <v>11.01</v>
      </c>
      <c r="R1004" s="326"/>
      <c r="S1004" s="327" t="s">
        <v>26</v>
      </c>
    </row>
    <row r="1005" spans="1:19" ht="15" customHeight="1">
      <c r="A1005" s="561">
        <f t="shared" si="17"/>
        <v>1005</v>
      </c>
      <c r="B1005" s="31">
        <v>115</v>
      </c>
      <c r="C1005" s="249" t="s">
        <v>73</v>
      </c>
      <c r="D1005" s="320" t="s">
        <v>74</v>
      </c>
      <c r="E1005" s="321"/>
      <c r="F1005" s="322" t="s">
        <v>20</v>
      </c>
      <c r="G1005" s="323" t="s">
        <v>1726</v>
      </c>
      <c r="H1005" s="322" t="s">
        <v>109</v>
      </c>
      <c r="I1005" s="324">
        <v>3.89</v>
      </c>
      <c r="J1005" s="325"/>
      <c r="K1005" s="325"/>
      <c r="L1005" s="325"/>
      <c r="M1005" s="325"/>
      <c r="N1005" s="325">
        <v>20</v>
      </c>
      <c r="O1005" s="326"/>
      <c r="P1005" s="326"/>
      <c r="Q1005" s="326">
        <f>I1005</f>
        <v>3.89</v>
      </c>
      <c r="R1005" s="326"/>
      <c r="S1005" s="327" t="s">
        <v>26</v>
      </c>
    </row>
    <row r="1006" spans="1:19" ht="15" customHeight="1">
      <c r="A1006" s="561">
        <f t="shared" si="17"/>
        <v>1006</v>
      </c>
      <c r="B1006" s="31">
        <v>115</v>
      </c>
      <c r="C1006" s="249" t="s">
        <v>73</v>
      </c>
      <c r="D1006" s="320" t="s">
        <v>74</v>
      </c>
      <c r="E1006" s="321"/>
      <c r="F1006" s="322" t="s">
        <v>20</v>
      </c>
      <c r="G1006" s="323" t="s">
        <v>1727</v>
      </c>
      <c r="H1006" s="322" t="s">
        <v>109</v>
      </c>
      <c r="I1006" s="324">
        <v>19.579999999999998</v>
      </c>
      <c r="J1006" s="325"/>
      <c r="K1006" s="325"/>
      <c r="L1006" s="325"/>
      <c r="M1006" s="325"/>
      <c r="N1006" s="325">
        <v>73</v>
      </c>
      <c r="O1006" s="326"/>
      <c r="P1006" s="326"/>
      <c r="Q1006" s="326">
        <f>I1006</f>
        <v>19.579999999999998</v>
      </c>
      <c r="R1006" s="326"/>
      <c r="S1006" s="327" t="s">
        <v>1066</v>
      </c>
    </row>
    <row r="1007" spans="1:19" ht="15" customHeight="1">
      <c r="A1007" s="561">
        <f t="shared" si="17"/>
        <v>1007</v>
      </c>
      <c r="B1007" s="31">
        <v>115</v>
      </c>
      <c r="C1007" s="249" t="s">
        <v>73</v>
      </c>
      <c r="D1007" s="320" t="s">
        <v>74</v>
      </c>
      <c r="E1007" s="321"/>
      <c r="F1007" s="322" t="s">
        <v>20</v>
      </c>
      <c r="G1007" s="323" t="s">
        <v>1798</v>
      </c>
      <c r="H1007" s="322" t="s">
        <v>109</v>
      </c>
      <c r="I1007" s="324">
        <v>18.52</v>
      </c>
      <c r="J1007" s="325"/>
      <c r="K1007" s="325"/>
      <c r="L1007" s="325"/>
      <c r="M1007" s="325"/>
      <c r="N1007" s="325">
        <v>70</v>
      </c>
      <c r="O1007" s="326"/>
      <c r="P1007" s="326"/>
      <c r="Q1007" s="326">
        <f>I1007</f>
        <v>18.52</v>
      </c>
      <c r="R1007" s="326"/>
      <c r="S1007" s="327" t="s">
        <v>254</v>
      </c>
    </row>
    <row r="1008" spans="1:19" ht="15" customHeight="1">
      <c r="A1008" s="561">
        <f t="shared" si="17"/>
        <v>1008</v>
      </c>
      <c r="B1008" s="31">
        <v>115</v>
      </c>
      <c r="C1008" s="249" t="s">
        <v>73</v>
      </c>
      <c r="D1008" s="320" t="s">
        <v>74</v>
      </c>
      <c r="E1008" s="321"/>
      <c r="F1008" s="322" t="s">
        <v>78</v>
      </c>
      <c r="G1008" s="323" t="s">
        <v>1810</v>
      </c>
      <c r="H1008" s="322" t="s">
        <v>109</v>
      </c>
      <c r="I1008" s="324">
        <v>20.94</v>
      </c>
      <c r="J1008" s="325"/>
      <c r="K1008" s="325"/>
      <c r="L1008" s="325"/>
      <c r="M1008" s="325"/>
      <c r="N1008" s="325">
        <v>58.3</v>
      </c>
      <c r="O1008" s="326"/>
      <c r="P1008" s="326"/>
      <c r="Q1008" s="326">
        <f>I1008</f>
        <v>20.94</v>
      </c>
      <c r="R1008" s="326"/>
      <c r="S1008" s="327" t="s">
        <v>254</v>
      </c>
    </row>
    <row r="1009" spans="1:19" ht="15" customHeight="1">
      <c r="A1009" s="561">
        <f t="shared" si="17"/>
        <v>1009</v>
      </c>
      <c r="B1009" s="31">
        <v>115</v>
      </c>
      <c r="C1009" s="249" t="s">
        <v>73</v>
      </c>
      <c r="D1009" s="320" t="s">
        <v>74</v>
      </c>
      <c r="E1009" s="321"/>
      <c r="F1009" s="322" t="s">
        <v>79</v>
      </c>
      <c r="G1009" s="323" t="s">
        <v>1756</v>
      </c>
      <c r="H1009" s="322" t="s">
        <v>176</v>
      </c>
      <c r="I1009" s="324">
        <v>34.950000000000003</v>
      </c>
      <c r="J1009" s="325"/>
      <c r="K1009" s="325"/>
      <c r="L1009" s="325">
        <v>74</v>
      </c>
      <c r="M1009" s="325"/>
      <c r="N1009" s="325"/>
      <c r="O1009" s="326"/>
      <c r="P1009" s="326">
        <f>I1009</f>
        <v>34.950000000000003</v>
      </c>
      <c r="Q1009" s="326"/>
      <c r="R1009" s="326"/>
      <c r="S1009" s="327" t="s">
        <v>254</v>
      </c>
    </row>
    <row r="1010" spans="1:19" ht="15" customHeight="1">
      <c r="A1010" s="561">
        <f t="shared" si="17"/>
        <v>1010</v>
      </c>
      <c r="B1010" s="31">
        <v>115</v>
      </c>
      <c r="C1010" s="249" t="s">
        <v>73</v>
      </c>
      <c r="D1010" s="320" t="s">
        <v>74</v>
      </c>
      <c r="E1010" s="321"/>
      <c r="F1010" s="322" t="s">
        <v>80</v>
      </c>
      <c r="G1010" s="323" t="s">
        <v>1811</v>
      </c>
      <c r="H1010" s="322" t="s">
        <v>176</v>
      </c>
      <c r="I1010" s="324">
        <v>28.37</v>
      </c>
      <c r="J1010" s="325"/>
      <c r="K1010" s="325"/>
      <c r="L1010" s="325">
        <v>62.4</v>
      </c>
      <c r="M1010" s="325"/>
      <c r="N1010" s="325"/>
      <c r="O1010" s="326"/>
      <c r="P1010" s="326">
        <f>I1010</f>
        <v>28.37</v>
      </c>
      <c r="Q1010" s="326"/>
      <c r="R1010" s="326"/>
      <c r="S1010" s="327" t="s">
        <v>254</v>
      </c>
    </row>
    <row r="1011" spans="1:19" ht="15" customHeight="1">
      <c r="A1011" s="561">
        <f t="shared" si="17"/>
        <v>1011</v>
      </c>
      <c r="B1011" s="31">
        <v>115</v>
      </c>
      <c r="C1011" s="249" t="s">
        <v>73</v>
      </c>
      <c r="D1011" s="320" t="s">
        <v>74</v>
      </c>
      <c r="E1011" s="321"/>
      <c r="F1011" s="322" t="s">
        <v>81</v>
      </c>
      <c r="G1011" s="323" t="s">
        <v>1812</v>
      </c>
      <c r="H1011" s="322" t="s">
        <v>176</v>
      </c>
      <c r="I1011" s="324">
        <v>15.1</v>
      </c>
      <c r="J1011" s="325"/>
      <c r="K1011" s="325"/>
      <c r="L1011" s="325">
        <v>50</v>
      </c>
      <c r="M1011" s="325"/>
      <c r="N1011" s="325"/>
      <c r="O1011" s="326"/>
      <c r="P1011" s="326">
        <f>I1011</f>
        <v>15.1</v>
      </c>
      <c r="Q1011" s="326"/>
      <c r="R1011" s="326"/>
      <c r="S1011" s="327" t="s">
        <v>254</v>
      </c>
    </row>
    <row r="1012" spans="1:19" ht="15" customHeight="1">
      <c r="A1012" s="561">
        <f t="shared" si="17"/>
        <v>1012</v>
      </c>
      <c r="B1012" s="31">
        <v>115</v>
      </c>
      <c r="C1012" s="249" t="s">
        <v>73</v>
      </c>
      <c r="D1012" s="320" t="s">
        <v>74</v>
      </c>
      <c r="E1012" s="321"/>
      <c r="F1012" s="322" t="s">
        <v>69</v>
      </c>
      <c r="G1012" s="323" t="s">
        <v>1728</v>
      </c>
      <c r="H1012" s="322" t="s">
        <v>176</v>
      </c>
      <c r="I1012" s="324">
        <v>14.18</v>
      </c>
      <c r="J1012" s="325"/>
      <c r="K1012" s="325"/>
      <c r="L1012" s="325"/>
      <c r="M1012" s="325"/>
      <c r="N1012" s="325">
        <v>49</v>
      </c>
      <c r="O1012" s="326"/>
      <c r="P1012" s="326"/>
      <c r="Q1012" s="326">
        <f>I1012</f>
        <v>14.18</v>
      </c>
      <c r="R1012" s="326"/>
      <c r="S1012" s="327" t="s">
        <v>26</v>
      </c>
    </row>
    <row r="1013" spans="1:19" ht="15" customHeight="1">
      <c r="A1013" s="561">
        <f t="shared" si="17"/>
        <v>1013</v>
      </c>
      <c r="B1013" s="31">
        <v>115</v>
      </c>
      <c r="C1013" s="249" t="s">
        <v>73</v>
      </c>
      <c r="D1013" s="320" t="s">
        <v>74</v>
      </c>
      <c r="E1013" s="321"/>
      <c r="F1013" s="322" t="s">
        <v>32</v>
      </c>
      <c r="G1013" s="323" t="s">
        <v>1778</v>
      </c>
      <c r="H1013" s="322" t="s">
        <v>109</v>
      </c>
      <c r="I1013" s="324">
        <v>12.53</v>
      </c>
      <c r="J1013" s="325"/>
      <c r="K1013" s="325"/>
      <c r="L1013" s="325">
        <v>63</v>
      </c>
      <c r="M1013" s="325"/>
      <c r="N1013" s="325"/>
      <c r="O1013" s="326"/>
      <c r="P1013" s="326">
        <f t="shared" ref="P1013:P1018" si="18">I1013</f>
        <v>12.53</v>
      </c>
      <c r="Q1013" s="326"/>
      <c r="R1013" s="326"/>
      <c r="S1013" s="327" t="s">
        <v>26</v>
      </c>
    </row>
    <row r="1014" spans="1:19" ht="15" customHeight="1">
      <c r="A1014" s="561">
        <f t="shared" si="17"/>
        <v>1014</v>
      </c>
      <c r="B1014" s="31">
        <v>115</v>
      </c>
      <c r="C1014" s="249" t="s">
        <v>73</v>
      </c>
      <c r="D1014" s="320" t="s">
        <v>74</v>
      </c>
      <c r="E1014" s="321"/>
      <c r="F1014" s="322" t="s">
        <v>82</v>
      </c>
      <c r="G1014" s="323" t="s">
        <v>1729</v>
      </c>
      <c r="H1014" s="322" t="s">
        <v>109</v>
      </c>
      <c r="I1014" s="324">
        <v>11.08</v>
      </c>
      <c r="J1014" s="325"/>
      <c r="K1014" s="325"/>
      <c r="L1014" s="325">
        <v>50</v>
      </c>
      <c r="M1014" s="325"/>
      <c r="N1014" s="325"/>
      <c r="O1014" s="326"/>
      <c r="P1014" s="326">
        <f t="shared" si="18"/>
        <v>11.08</v>
      </c>
      <c r="Q1014" s="326"/>
      <c r="R1014" s="326"/>
      <c r="S1014" s="327" t="s">
        <v>26</v>
      </c>
    </row>
    <row r="1015" spans="1:19" ht="15" customHeight="1">
      <c r="A1015" s="561">
        <f t="shared" si="17"/>
        <v>1015</v>
      </c>
      <c r="B1015" s="31">
        <v>115</v>
      </c>
      <c r="C1015" s="249" t="s">
        <v>73</v>
      </c>
      <c r="D1015" s="320" t="s">
        <v>74</v>
      </c>
      <c r="E1015" s="321"/>
      <c r="F1015" s="322" t="s">
        <v>82</v>
      </c>
      <c r="G1015" s="323" t="s">
        <v>1771</v>
      </c>
      <c r="H1015" s="322" t="s">
        <v>109</v>
      </c>
      <c r="I1015" s="324">
        <v>6.91</v>
      </c>
      <c r="J1015" s="325"/>
      <c r="K1015" s="325"/>
      <c r="L1015" s="325">
        <v>40</v>
      </c>
      <c r="M1015" s="325"/>
      <c r="N1015" s="325"/>
      <c r="O1015" s="326"/>
      <c r="P1015" s="326">
        <f t="shared" si="18"/>
        <v>6.91</v>
      </c>
      <c r="Q1015" s="326"/>
      <c r="R1015" s="326"/>
      <c r="S1015" s="327" t="s">
        <v>24</v>
      </c>
    </row>
    <row r="1016" spans="1:19" ht="15" customHeight="1">
      <c r="A1016" s="561">
        <f t="shared" si="17"/>
        <v>1016</v>
      </c>
      <c r="B1016" s="31">
        <v>115</v>
      </c>
      <c r="C1016" s="249" t="s">
        <v>73</v>
      </c>
      <c r="D1016" s="320" t="s">
        <v>74</v>
      </c>
      <c r="E1016" s="321"/>
      <c r="F1016" s="322" t="s">
        <v>83</v>
      </c>
      <c r="G1016" s="323" t="s">
        <v>1730</v>
      </c>
      <c r="H1016" s="322" t="s">
        <v>109</v>
      </c>
      <c r="I1016" s="324">
        <v>14.75</v>
      </c>
      <c r="J1016" s="325"/>
      <c r="K1016" s="325"/>
      <c r="L1016" s="325">
        <v>61</v>
      </c>
      <c r="M1016" s="325"/>
      <c r="N1016" s="325"/>
      <c r="O1016" s="326"/>
      <c r="P1016" s="326">
        <f t="shared" si="18"/>
        <v>14.75</v>
      </c>
      <c r="Q1016" s="326"/>
      <c r="R1016" s="326"/>
      <c r="S1016" s="327" t="s">
        <v>26</v>
      </c>
    </row>
    <row r="1017" spans="1:19" ht="15" customHeight="1">
      <c r="A1017" s="561">
        <f t="shared" si="17"/>
        <v>1017</v>
      </c>
      <c r="B1017" s="31">
        <v>115</v>
      </c>
      <c r="C1017" s="249" t="s">
        <v>73</v>
      </c>
      <c r="D1017" s="320" t="s">
        <v>74</v>
      </c>
      <c r="E1017" s="321"/>
      <c r="F1017" s="322" t="s">
        <v>84</v>
      </c>
      <c r="G1017" s="323" t="s">
        <v>1731</v>
      </c>
      <c r="H1017" s="322" t="s">
        <v>109</v>
      </c>
      <c r="I1017" s="324">
        <v>5.93</v>
      </c>
      <c r="J1017" s="325"/>
      <c r="K1017" s="325"/>
      <c r="L1017" s="325">
        <v>31</v>
      </c>
      <c r="M1017" s="325"/>
      <c r="N1017" s="325"/>
      <c r="O1017" s="326"/>
      <c r="P1017" s="326">
        <f t="shared" si="18"/>
        <v>5.93</v>
      </c>
      <c r="Q1017" s="326"/>
      <c r="R1017" s="326"/>
      <c r="S1017" s="327" t="s">
        <v>1067</v>
      </c>
    </row>
    <row r="1018" spans="1:19" ht="15" customHeight="1">
      <c r="A1018" s="561">
        <f t="shared" si="17"/>
        <v>1018</v>
      </c>
      <c r="B1018" s="31">
        <v>115</v>
      </c>
      <c r="C1018" s="249" t="s">
        <v>73</v>
      </c>
      <c r="D1018" s="320" t="s">
        <v>74</v>
      </c>
      <c r="E1018" s="321"/>
      <c r="F1018" s="322" t="s">
        <v>85</v>
      </c>
      <c r="G1018" s="323" t="s">
        <v>1773</v>
      </c>
      <c r="H1018" s="322" t="s">
        <v>109</v>
      </c>
      <c r="I1018" s="324">
        <v>4.38</v>
      </c>
      <c r="J1018" s="325"/>
      <c r="K1018" s="325"/>
      <c r="L1018" s="325">
        <v>25</v>
      </c>
      <c r="M1018" s="325"/>
      <c r="N1018" s="325"/>
      <c r="O1018" s="326"/>
      <c r="P1018" s="326">
        <f t="shared" si="18"/>
        <v>4.38</v>
      </c>
      <c r="Q1018" s="326"/>
      <c r="R1018" s="326"/>
      <c r="S1018" s="327" t="s">
        <v>26</v>
      </c>
    </row>
    <row r="1019" spans="1:19" ht="15" customHeight="1">
      <c r="A1019" s="561">
        <f t="shared" si="17"/>
        <v>1019</v>
      </c>
      <c r="B1019" s="31">
        <v>115</v>
      </c>
      <c r="C1019" s="249" t="s">
        <v>73</v>
      </c>
      <c r="D1019" s="320" t="s">
        <v>74</v>
      </c>
      <c r="E1019" s="321"/>
      <c r="F1019" s="322" t="s">
        <v>70</v>
      </c>
      <c r="G1019" s="323" t="s">
        <v>1793</v>
      </c>
      <c r="H1019" s="322" t="s">
        <v>109</v>
      </c>
      <c r="I1019" s="324">
        <v>13.63</v>
      </c>
      <c r="J1019" s="325"/>
      <c r="K1019" s="325"/>
      <c r="L1019" s="325"/>
      <c r="M1019" s="325"/>
      <c r="N1019" s="325">
        <v>51</v>
      </c>
      <c r="O1019" s="326"/>
      <c r="P1019" s="326"/>
      <c r="Q1019" s="326">
        <f>I1019</f>
        <v>13.63</v>
      </c>
      <c r="R1019" s="326"/>
      <c r="S1019" s="327" t="s">
        <v>26</v>
      </c>
    </row>
    <row r="1020" spans="1:19" ht="15" customHeight="1">
      <c r="A1020" s="561">
        <f t="shared" si="17"/>
        <v>1020</v>
      </c>
      <c r="B1020" s="31">
        <v>115</v>
      </c>
      <c r="C1020" s="249" t="s">
        <v>73</v>
      </c>
      <c r="D1020" s="320" t="s">
        <v>74</v>
      </c>
      <c r="E1020" s="321"/>
      <c r="F1020" s="322" t="s">
        <v>86</v>
      </c>
      <c r="G1020" s="323" t="s">
        <v>1774</v>
      </c>
      <c r="H1020" s="322" t="s">
        <v>148</v>
      </c>
      <c r="I1020" s="324">
        <v>3.76</v>
      </c>
      <c r="J1020" s="325">
        <v>16</v>
      </c>
      <c r="K1020" s="325"/>
      <c r="L1020" s="325"/>
      <c r="M1020" s="325"/>
      <c r="N1020" s="325"/>
      <c r="O1020" s="326"/>
      <c r="P1020" s="326"/>
      <c r="Q1020" s="326"/>
      <c r="R1020" s="326">
        <f>I1020</f>
        <v>3.76</v>
      </c>
      <c r="S1020" s="327" t="s">
        <v>26</v>
      </c>
    </row>
    <row r="1021" spans="1:19" ht="15" customHeight="1">
      <c r="A1021" s="561">
        <f t="shared" si="17"/>
        <v>1021</v>
      </c>
      <c r="B1021" s="31">
        <v>115</v>
      </c>
      <c r="C1021" s="249" t="s">
        <v>73</v>
      </c>
      <c r="D1021" s="320" t="s">
        <v>74</v>
      </c>
      <c r="E1021" s="321"/>
      <c r="F1021" s="322" t="s">
        <v>87</v>
      </c>
      <c r="G1021" s="323" t="s">
        <v>1775</v>
      </c>
      <c r="H1021" s="322" t="s">
        <v>148</v>
      </c>
      <c r="I1021" s="324">
        <v>3.75</v>
      </c>
      <c r="J1021" s="325">
        <v>16</v>
      </c>
      <c r="K1021" s="325"/>
      <c r="L1021" s="325"/>
      <c r="M1021" s="325"/>
      <c r="N1021" s="325"/>
      <c r="O1021" s="326"/>
      <c r="P1021" s="326"/>
      <c r="Q1021" s="326"/>
      <c r="R1021" s="326">
        <f>I1021</f>
        <v>3.75</v>
      </c>
      <c r="S1021" s="327" t="s">
        <v>26</v>
      </c>
    </row>
    <row r="1022" spans="1:19" ht="15" customHeight="1">
      <c r="A1022" s="561">
        <f t="shared" si="17"/>
        <v>1022</v>
      </c>
      <c r="B1022" s="31">
        <v>115</v>
      </c>
      <c r="C1022" s="249" t="s">
        <v>73</v>
      </c>
      <c r="D1022" s="320" t="s">
        <v>74</v>
      </c>
      <c r="E1022" s="321"/>
      <c r="F1022" s="322" t="s">
        <v>88</v>
      </c>
      <c r="G1022" s="323" t="s">
        <v>1760</v>
      </c>
      <c r="H1022" s="322" t="s">
        <v>109</v>
      </c>
      <c r="I1022" s="324">
        <v>2.2000000000000002</v>
      </c>
      <c r="J1022" s="325"/>
      <c r="K1022" s="325"/>
      <c r="L1022" s="325"/>
      <c r="M1022" s="325"/>
      <c r="N1022" s="325">
        <v>20</v>
      </c>
      <c r="O1022" s="326"/>
      <c r="P1022" s="326"/>
      <c r="Q1022" s="326">
        <f>I1022</f>
        <v>2.2000000000000002</v>
      </c>
      <c r="R1022" s="326"/>
      <c r="S1022" s="327" t="s">
        <v>26</v>
      </c>
    </row>
    <row r="1023" spans="1:19" ht="15" customHeight="1">
      <c r="A1023" s="561">
        <f t="shared" si="17"/>
        <v>1023</v>
      </c>
      <c r="B1023" s="31">
        <v>115</v>
      </c>
      <c r="C1023" s="249" t="s">
        <v>73</v>
      </c>
      <c r="D1023" s="320" t="s">
        <v>74</v>
      </c>
      <c r="E1023" s="321"/>
      <c r="F1023" s="322" t="s">
        <v>65</v>
      </c>
      <c r="G1023" s="323" t="s">
        <v>1761</v>
      </c>
      <c r="H1023" s="322" t="s">
        <v>109</v>
      </c>
      <c r="I1023" s="324">
        <v>5.55</v>
      </c>
      <c r="J1023" s="325"/>
      <c r="K1023" s="325"/>
      <c r="L1023" s="325"/>
      <c r="M1023" s="325"/>
      <c r="N1023" s="325">
        <v>31</v>
      </c>
      <c r="O1023" s="326"/>
      <c r="P1023" s="326"/>
      <c r="Q1023" s="326">
        <f>I1023</f>
        <v>5.55</v>
      </c>
      <c r="R1023" s="326"/>
      <c r="S1023" s="327" t="s">
        <v>26</v>
      </c>
    </row>
    <row r="1024" spans="1:19" ht="15" customHeight="1">
      <c r="A1024" s="561">
        <f t="shared" si="17"/>
        <v>1024</v>
      </c>
      <c r="B1024" s="31">
        <v>115</v>
      </c>
      <c r="C1024" s="249" t="s">
        <v>73</v>
      </c>
      <c r="D1024" s="320" t="s">
        <v>74</v>
      </c>
      <c r="E1024" s="321"/>
      <c r="F1024" s="322" t="s">
        <v>89</v>
      </c>
      <c r="G1024" s="323" t="s">
        <v>1777</v>
      </c>
      <c r="H1024" s="322" t="s">
        <v>109</v>
      </c>
      <c r="I1024" s="324">
        <v>3.36</v>
      </c>
      <c r="J1024" s="325"/>
      <c r="K1024" s="325"/>
      <c r="L1024" s="325">
        <v>25</v>
      </c>
      <c r="M1024" s="325"/>
      <c r="N1024" s="325"/>
      <c r="O1024" s="326"/>
      <c r="P1024" s="326">
        <f t="shared" ref="P1024:P1030" si="19">I1024</f>
        <v>3.36</v>
      </c>
      <c r="Q1024" s="326"/>
      <c r="R1024" s="326"/>
      <c r="S1024" s="327" t="s">
        <v>26</v>
      </c>
    </row>
    <row r="1025" spans="1:19" ht="15" customHeight="1">
      <c r="A1025" s="561">
        <f t="shared" si="17"/>
        <v>1025</v>
      </c>
      <c r="B1025" s="31">
        <v>115</v>
      </c>
      <c r="C1025" s="249" t="s">
        <v>73</v>
      </c>
      <c r="D1025" s="320" t="s">
        <v>74</v>
      </c>
      <c r="E1025" s="321"/>
      <c r="F1025" s="322" t="s">
        <v>90</v>
      </c>
      <c r="G1025" s="323" t="s">
        <v>1804</v>
      </c>
      <c r="H1025" s="322" t="s">
        <v>109</v>
      </c>
      <c r="I1025" s="324">
        <v>10.53</v>
      </c>
      <c r="J1025" s="325"/>
      <c r="K1025" s="325"/>
      <c r="L1025" s="325">
        <v>39</v>
      </c>
      <c r="M1025" s="325"/>
      <c r="N1025" s="325"/>
      <c r="O1025" s="326"/>
      <c r="P1025" s="326">
        <f t="shared" si="19"/>
        <v>10.53</v>
      </c>
      <c r="Q1025" s="326"/>
      <c r="R1025" s="326"/>
      <c r="S1025" s="327" t="s">
        <v>77</v>
      </c>
    </row>
    <row r="1026" spans="1:19" ht="15" customHeight="1">
      <c r="A1026" s="561">
        <f t="shared" si="17"/>
        <v>1026</v>
      </c>
      <c r="B1026" s="31">
        <v>115</v>
      </c>
      <c r="C1026" s="249" t="s">
        <v>73</v>
      </c>
      <c r="D1026" s="320" t="s">
        <v>74</v>
      </c>
      <c r="E1026" s="321"/>
      <c r="F1026" s="322" t="s">
        <v>91</v>
      </c>
      <c r="G1026" s="323" t="s">
        <v>1735</v>
      </c>
      <c r="H1026" s="322" t="s">
        <v>109</v>
      </c>
      <c r="I1026" s="324">
        <v>6.55</v>
      </c>
      <c r="J1026" s="325"/>
      <c r="K1026" s="325"/>
      <c r="L1026" s="325">
        <v>11.7</v>
      </c>
      <c r="M1026" s="325"/>
      <c r="N1026" s="325"/>
      <c r="O1026" s="326"/>
      <c r="P1026" s="326">
        <f t="shared" si="19"/>
        <v>6.55</v>
      </c>
      <c r="Q1026" s="326"/>
      <c r="R1026" s="326"/>
      <c r="S1026" s="327" t="s">
        <v>1068</v>
      </c>
    </row>
    <row r="1027" spans="1:19" ht="15" customHeight="1">
      <c r="A1027" s="561">
        <f t="shared" ref="A1027:A1090" si="20">1+A1026</f>
        <v>1027</v>
      </c>
      <c r="B1027" s="31">
        <v>115</v>
      </c>
      <c r="C1027" s="249" t="s">
        <v>73</v>
      </c>
      <c r="D1027" s="320" t="s">
        <v>74</v>
      </c>
      <c r="E1027" s="321"/>
      <c r="F1027" s="322" t="s">
        <v>17</v>
      </c>
      <c r="G1027" s="323" t="s">
        <v>1736</v>
      </c>
      <c r="H1027" s="322" t="s">
        <v>109</v>
      </c>
      <c r="I1027" s="324">
        <v>6.25</v>
      </c>
      <c r="J1027" s="325"/>
      <c r="K1027" s="325"/>
      <c r="L1027" s="325">
        <v>35</v>
      </c>
      <c r="M1027" s="325"/>
      <c r="N1027" s="325"/>
      <c r="O1027" s="326"/>
      <c r="P1027" s="326">
        <f t="shared" si="19"/>
        <v>6.25</v>
      </c>
      <c r="Q1027" s="326"/>
      <c r="R1027" s="326"/>
      <c r="S1027" s="327" t="s">
        <v>26</v>
      </c>
    </row>
    <row r="1028" spans="1:19" ht="15" customHeight="1">
      <c r="A1028" s="561">
        <f t="shared" si="20"/>
        <v>1028</v>
      </c>
      <c r="B1028" s="31">
        <v>115</v>
      </c>
      <c r="C1028" s="249" t="s">
        <v>73</v>
      </c>
      <c r="D1028" s="320" t="s">
        <v>74</v>
      </c>
      <c r="E1028" s="321"/>
      <c r="F1028" s="322" t="s">
        <v>92</v>
      </c>
      <c r="G1028" s="323" t="s">
        <v>1779</v>
      </c>
      <c r="H1028" s="322" t="s">
        <v>109</v>
      </c>
      <c r="I1028" s="324">
        <v>5.25</v>
      </c>
      <c r="J1028" s="325"/>
      <c r="K1028" s="325"/>
      <c r="L1028" s="325">
        <v>35</v>
      </c>
      <c r="M1028" s="325"/>
      <c r="N1028" s="325"/>
      <c r="O1028" s="326"/>
      <c r="P1028" s="326">
        <f t="shared" si="19"/>
        <v>5.25</v>
      </c>
      <c r="Q1028" s="326"/>
      <c r="R1028" s="326"/>
      <c r="S1028" s="327" t="s">
        <v>1069</v>
      </c>
    </row>
    <row r="1029" spans="1:19" ht="15" customHeight="1">
      <c r="A1029" s="561">
        <f t="shared" si="20"/>
        <v>1029</v>
      </c>
      <c r="B1029" s="31">
        <v>115</v>
      </c>
      <c r="C1029" s="249" t="s">
        <v>73</v>
      </c>
      <c r="D1029" s="320" t="s">
        <v>74</v>
      </c>
      <c r="E1029" s="321"/>
      <c r="F1029" s="322" t="s">
        <v>93</v>
      </c>
      <c r="G1029" s="323" t="s">
        <v>1813</v>
      </c>
      <c r="H1029" s="322" t="s">
        <v>109</v>
      </c>
      <c r="I1029" s="324">
        <v>11.57</v>
      </c>
      <c r="J1029" s="325"/>
      <c r="K1029" s="325"/>
      <c r="L1029" s="325">
        <v>39</v>
      </c>
      <c r="M1029" s="325"/>
      <c r="N1029" s="325"/>
      <c r="O1029" s="326"/>
      <c r="P1029" s="326">
        <f t="shared" si="19"/>
        <v>11.57</v>
      </c>
      <c r="Q1029" s="326"/>
      <c r="R1029" s="326"/>
      <c r="S1029" s="327" t="s">
        <v>77</v>
      </c>
    </row>
    <row r="1030" spans="1:19" ht="15" customHeight="1">
      <c r="A1030" s="561">
        <f t="shared" si="20"/>
        <v>1030</v>
      </c>
      <c r="B1030" s="31">
        <v>115</v>
      </c>
      <c r="C1030" s="249" t="s">
        <v>73</v>
      </c>
      <c r="D1030" s="320" t="s">
        <v>74</v>
      </c>
      <c r="E1030" s="321"/>
      <c r="F1030" s="322" t="s">
        <v>94</v>
      </c>
      <c r="G1030" s="323" t="s">
        <v>1814</v>
      </c>
      <c r="H1030" s="322" t="s">
        <v>176</v>
      </c>
      <c r="I1030" s="324">
        <v>8.6300000000000008</v>
      </c>
      <c r="J1030" s="325"/>
      <c r="K1030" s="325"/>
      <c r="L1030" s="325">
        <v>32</v>
      </c>
      <c r="M1030" s="325"/>
      <c r="N1030" s="325"/>
      <c r="O1030" s="326"/>
      <c r="P1030" s="326">
        <f t="shared" si="19"/>
        <v>8.6300000000000008</v>
      </c>
      <c r="Q1030" s="326"/>
      <c r="R1030" s="326"/>
      <c r="S1030" s="327" t="s">
        <v>77</v>
      </c>
    </row>
    <row r="1031" spans="1:19" ht="15" customHeight="1">
      <c r="A1031" s="561">
        <f t="shared" si="20"/>
        <v>1031</v>
      </c>
      <c r="B1031" s="31">
        <v>115</v>
      </c>
      <c r="C1031" s="249" t="s">
        <v>73</v>
      </c>
      <c r="D1031" s="320" t="s">
        <v>74</v>
      </c>
      <c r="E1031" s="321"/>
      <c r="F1031" s="322" t="s">
        <v>95</v>
      </c>
      <c r="G1031" s="323" t="s">
        <v>1815</v>
      </c>
      <c r="H1031" s="322" t="s">
        <v>176</v>
      </c>
      <c r="I1031" s="324">
        <v>16.23</v>
      </c>
      <c r="J1031" s="325"/>
      <c r="K1031" s="325"/>
      <c r="L1031" s="325"/>
      <c r="M1031" s="325"/>
      <c r="N1031" s="325">
        <v>61</v>
      </c>
      <c r="O1031" s="326"/>
      <c r="P1031" s="326"/>
      <c r="Q1031" s="326">
        <f>I1031</f>
        <v>16.23</v>
      </c>
      <c r="R1031" s="326"/>
      <c r="S1031" s="327" t="s">
        <v>26</v>
      </c>
    </row>
    <row r="1032" spans="1:19" ht="15" customHeight="1">
      <c r="A1032" s="561">
        <f t="shared" si="20"/>
        <v>1032</v>
      </c>
      <c r="B1032" s="31">
        <v>115</v>
      </c>
      <c r="C1032" s="249" t="s">
        <v>73</v>
      </c>
      <c r="D1032" s="320" t="s">
        <v>74</v>
      </c>
      <c r="E1032" s="321"/>
      <c r="F1032" s="322" t="s">
        <v>96</v>
      </c>
      <c r="G1032" s="323" t="s">
        <v>1720</v>
      </c>
      <c r="H1032" s="322" t="s">
        <v>68</v>
      </c>
      <c r="I1032" s="324">
        <f>10.3*2.6*1.5+1.7*3*1.5+28.1</f>
        <v>75.92</v>
      </c>
      <c r="J1032" s="325" t="s">
        <v>1057</v>
      </c>
      <c r="K1032" s="325"/>
      <c r="L1032" s="325"/>
      <c r="M1032" s="325"/>
      <c r="N1032" s="325"/>
      <c r="O1032" s="326"/>
      <c r="P1032" s="326"/>
      <c r="Q1032" s="326"/>
      <c r="R1032" s="326"/>
      <c r="S1032" s="327" t="s">
        <v>24</v>
      </c>
    </row>
    <row r="1033" spans="1:19" ht="15" customHeight="1">
      <c r="A1033" s="561">
        <f t="shared" si="20"/>
        <v>1033</v>
      </c>
      <c r="B1033" s="31">
        <v>115</v>
      </c>
      <c r="C1033" s="249" t="s">
        <v>73</v>
      </c>
      <c r="D1033" s="320" t="s">
        <v>74</v>
      </c>
      <c r="E1033" s="321"/>
      <c r="F1033" s="322" t="s">
        <v>96</v>
      </c>
      <c r="G1033" s="323" t="s">
        <v>1721</v>
      </c>
      <c r="H1033" s="322" t="s">
        <v>68</v>
      </c>
      <c r="I1033" s="324">
        <v>62.4</v>
      </c>
      <c r="J1033" s="325" t="s">
        <v>1057</v>
      </c>
      <c r="K1033" s="325"/>
      <c r="L1033" s="325"/>
      <c r="M1033" s="325"/>
      <c r="N1033" s="325"/>
      <c r="O1033" s="326"/>
      <c r="P1033" s="326"/>
      <c r="Q1033" s="326"/>
      <c r="R1033" s="326"/>
      <c r="S1033" s="327" t="s">
        <v>26</v>
      </c>
    </row>
    <row r="1034" spans="1:19" ht="15" customHeight="1">
      <c r="A1034" s="561">
        <f t="shared" si="20"/>
        <v>1034</v>
      </c>
      <c r="B1034" s="31">
        <v>115</v>
      </c>
      <c r="C1034" s="249" t="s">
        <v>73</v>
      </c>
      <c r="D1034" s="320" t="s">
        <v>74</v>
      </c>
      <c r="E1034" s="321"/>
      <c r="F1034" s="322" t="s">
        <v>65</v>
      </c>
      <c r="G1034" s="323" t="s">
        <v>1782</v>
      </c>
      <c r="H1034" s="322" t="s">
        <v>109</v>
      </c>
      <c r="I1034" s="324">
        <v>13.76</v>
      </c>
      <c r="J1034" s="325"/>
      <c r="K1034" s="325"/>
      <c r="L1034" s="325"/>
      <c r="M1034" s="325"/>
      <c r="N1034" s="325">
        <v>38</v>
      </c>
      <c r="O1034" s="326"/>
      <c r="P1034" s="326"/>
      <c r="Q1034" s="326">
        <f>I1034</f>
        <v>13.76</v>
      </c>
      <c r="R1034" s="326"/>
      <c r="S1034" s="327"/>
    </row>
    <row r="1035" spans="1:19" ht="15" customHeight="1">
      <c r="A1035" s="561">
        <f t="shared" si="20"/>
        <v>1035</v>
      </c>
      <c r="B1035" s="31">
        <v>115</v>
      </c>
      <c r="C1035" s="249" t="s">
        <v>73</v>
      </c>
      <c r="D1035" s="320" t="s">
        <v>74</v>
      </c>
      <c r="E1035" s="321"/>
      <c r="F1035" s="322" t="s">
        <v>88</v>
      </c>
      <c r="G1035" s="323" t="s">
        <v>1783</v>
      </c>
      <c r="H1035" s="322" t="s">
        <v>109</v>
      </c>
      <c r="I1035" s="324">
        <v>25.15</v>
      </c>
      <c r="J1035" s="325"/>
      <c r="K1035" s="325"/>
      <c r="L1035" s="325"/>
      <c r="M1035" s="325"/>
      <c r="N1035" s="325">
        <v>175.6</v>
      </c>
      <c r="O1035" s="326"/>
      <c r="P1035" s="326"/>
      <c r="Q1035" s="326">
        <v>13.1</v>
      </c>
      <c r="R1035" s="326"/>
      <c r="S1035" s="327" t="s">
        <v>1070</v>
      </c>
    </row>
    <row r="1036" spans="1:19" ht="15" customHeight="1">
      <c r="A1036" s="561">
        <f t="shared" si="20"/>
        <v>1036</v>
      </c>
      <c r="B1036" s="31">
        <v>115</v>
      </c>
      <c r="C1036" s="249" t="s">
        <v>73</v>
      </c>
      <c r="D1036" s="320" t="s">
        <v>74</v>
      </c>
      <c r="E1036" s="321"/>
      <c r="F1036" s="322" t="s">
        <v>88</v>
      </c>
      <c r="G1036" s="323" t="s">
        <v>1722</v>
      </c>
      <c r="H1036" s="322" t="s">
        <v>109</v>
      </c>
      <c r="I1036" s="324">
        <v>33.200000000000003</v>
      </c>
      <c r="J1036" s="325"/>
      <c r="K1036" s="325"/>
      <c r="L1036" s="325"/>
      <c r="M1036" s="325"/>
      <c r="N1036" s="325">
        <v>57</v>
      </c>
      <c r="O1036" s="326"/>
      <c r="P1036" s="326"/>
      <c r="Q1036" s="326">
        <f>I1036</f>
        <v>33.200000000000003</v>
      </c>
      <c r="R1036" s="326"/>
      <c r="S1036" s="327" t="s">
        <v>26</v>
      </c>
    </row>
    <row r="1037" spans="1:19" ht="15" customHeight="1">
      <c r="A1037" s="561">
        <f t="shared" si="20"/>
        <v>1037</v>
      </c>
      <c r="B1037" s="31">
        <v>115</v>
      </c>
      <c r="C1037" s="249" t="s">
        <v>73</v>
      </c>
      <c r="D1037" s="320" t="s">
        <v>74</v>
      </c>
      <c r="E1037" s="321"/>
      <c r="F1037" s="322" t="s">
        <v>98</v>
      </c>
      <c r="G1037" s="323" t="s">
        <v>1781</v>
      </c>
      <c r="H1037" s="322" t="s">
        <v>1324</v>
      </c>
      <c r="I1037" s="324">
        <v>33.6</v>
      </c>
      <c r="J1037" s="325"/>
      <c r="K1037" s="325"/>
      <c r="L1037" s="325"/>
      <c r="M1037" s="325"/>
      <c r="N1037" s="325"/>
      <c r="O1037" s="326"/>
      <c r="P1037" s="326"/>
      <c r="Q1037" s="326"/>
      <c r="R1037" s="326"/>
      <c r="S1037" s="327" t="s">
        <v>26</v>
      </c>
    </row>
    <row r="1038" spans="1:19" ht="15" customHeight="1">
      <c r="A1038" s="561">
        <f t="shared" si="20"/>
        <v>1038</v>
      </c>
      <c r="B1038" s="31">
        <v>115</v>
      </c>
      <c r="C1038" s="249" t="s">
        <v>73</v>
      </c>
      <c r="D1038" s="320" t="s">
        <v>74</v>
      </c>
      <c r="E1038" s="321"/>
      <c r="F1038" s="322" t="s">
        <v>98</v>
      </c>
      <c r="G1038" s="323" t="s">
        <v>1781</v>
      </c>
      <c r="H1038" s="322" t="s">
        <v>1324</v>
      </c>
      <c r="I1038" s="324">
        <v>33.6</v>
      </c>
      <c r="J1038" s="325"/>
      <c r="K1038" s="325"/>
      <c r="L1038" s="325"/>
      <c r="M1038" s="325"/>
      <c r="N1038" s="325"/>
      <c r="O1038" s="326"/>
      <c r="P1038" s="326"/>
      <c r="Q1038" s="326"/>
      <c r="R1038" s="326"/>
      <c r="S1038" s="327" t="s">
        <v>24</v>
      </c>
    </row>
    <row r="1039" spans="1:19" ht="15" customHeight="1">
      <c r="A1039" s="561">
        <f t="shared" si="20"/>
        <v>1039</v>
      </c>
      <c r="B1039" s="31">
        <v>115</v>
      </c>
      <c r="C1039" s="249" t="s">
        <v>73</v>
      </c>
      <c r="D1039" s="320" t="s">
        <v>74</v>
      </c>
      <c r="E1039" s="321"/>
      <c r="F1039" s="322" t="s">
        <v>91</v>
      </c>
      <c r="G1039" s="323" t="s">
        <v>1816</v>
      </c>
      <c r="H1039" s="322" t="s">
        <v>109</v>
      </c>
      <c r="I1039" s="324">
        <v>14.91</v>
      </c>
      <c r="J1039" s="325"/>
      <c r="K1039" s="325"/>
      <c r="L1039" s="325"/>
      <c r="M1039" s="325"/>
      <c r="N1039" s="325">
        <v>48</v>
      </c>
      <c r="O1039" s="326"/>
      <c r="P1039" s="326"/>
      <c r="Q1039" s="326">
        <f>I1039</f>
        <v>14.91</v>
      </c>
      <c r="R1039" s="326"/>
      <c r="S1039" s="327" t="s">
        <v>24</v>
      </c>
    </row>
    <row r="1040" spans="1:19" ht="15" customHeight="1">
      <c r="A1040" s="561">
        <f t="shared" si="20"/>
        <v>1040</v>
      </c>
      <c r="B1040" s="31">
        <v>115</v>
      </c>
      <c r="C1040" s="249" t="s">
        <v>73</v>
      </c>
      <c r="D1040" s="320" t="s">
        <v>74</v>
      </c>
      <c r="E1040" s="321"/>
      <c r="F1040" s="322" t="s">
        <v>99</v>
      </c>
      <c r="G1040" s="323" t="s">
        <v>1817</v>
      </c>
      <c r="H1040" s="322" t="s">
        <v>299</v>
      </c>
      <c r="I1040" s="324">
        <v>2.4</v>
      </c>
      <c r="J1040" s="325"/>
      <c r="K1040" s="325"/>
      <c r="L1040" s="325"/>
      <c r="M1040" s="325">
        <v>11.5</v>
      </c>
      <c r="N1040" s="325">
        <v>3.5</v>
      </c>
      <c r="O1040" s="326"/>
      <c r="P1040" s="326"/>
      <c r="Q1040" s="326"/>
      <c r="R1040" s="326">
        <f>I1040</f>
        <v>2.4</v>
      </c>
      <c r="S1040" s="327" t="s">
        <v>1062</v>
      </c>
    </row>
    <row r="1041" spans="1:19" ht="15" customHeight="1">
      <c r="A1041" s="561">
        <f t="shared" si="20"/>
        <v>1041</v>
      </c>
      <c r="B1041" s="31">
        <v>115</v>
      </c>
      <c r="C1041" s="249" t="s">
        <v>73</v>
      </c>
      <c r="D1041" s="320" t="s">
        <v>74</v>
      </c>
      <c r="E1041" s="321"/>
      <c r="F1041" s="322" t="s">
        <v>100</v>
      </c>
      <c r="G1041" s="323" t="s">
        <v>101</v>
      </c>
      <c r="H1041" s="322" t="s">
        <v>299</v>
      </c>
      <c r="I1041" s="324">
        <v>2.4</v>
      </c>
      <c r="J1041" s="325"/>
      <c r="K1041" s="325"/>
      <c r="L1041" s="325"/>
      <c r="M1041" s="325">
        <v>11.5</v>
      </c>
      <c r="N1041" s="325">
        <v>3.5</v>
      </c>
      <c r="O1041" s="326"/>
      <c r="P1041" s="326"/>
      <c r="Q1041" s="326"/>
      <c r="R1041" s="326">
        <f>I1041</f>
        <v>2.4</v>
      </c>
      <c r="S1041" s="327" t="s">
        <v>1061</v>
      </c>
    </row>
    <row r="1042" spans="1:19" ht="15" customHeight="1">
      <c r="A1042" s="561">
        <f t="shared" si="20"/>
        <v>1042</v>
      </c>
      <c r="B1042" s="31">
        <v>116</v>
      </c>
      <c r="C1042" s="249" t="s">
        <v>238</v>
      </c>
      <c r="D1042" s="320" t="s">
        <v>22</v>
      </c>
      <c r="E1042" s="321"/>
      <c r="F1042" s="322" t="s">
        <v>168</v>
      </c>
      <c r="G1042" s="323" t="s">
        <v>200</v>
      </c>
      <c r="H1042" s="322" t="s">
        <v>160</v>
      </c>
      <c r="I1042" s="324">
        <v>35</v>
      </c>
      <c r="J1042" s="325"/>
      <c r="K1042" s="325">
        <v>186</v>
      </c>
      <c r="L1042" s="325"/>
      <c r="M1042" s="325"/>
      <c r="N1042" s="325"/>
      <c r="O1042" s="326"/>
      <c r="P1042" s="326"/>
      <c r="Q1042" s="326">
        <f>I1042</f>
        <v>35</v>
      </c>
      <c r="R1042" s="326"/>
      <c r="S1042" s="327"/>
    </row>
    <row r="1043" spans="1:19" ht="15" customHeight="1">
      <c r="A1043" s="561">
        <f t="shared" si="20"/>
        <v>1043</v>
      </c>
      <c r="B1043" s="31">
        <v>116</v>
      </c>
      <c r="C1043" s="249" t="s">
        <v>238</v>
      </c>
      <c r="D1043" s="320" t="s">
        <v>22</v>
      </c>
      <c r="E1043" s="321"/>
      <c r="F1043" s="322" t="s">
        <v>123</v>
      </c>
      <c r="G1043" s="323" t="s">
        <v>202</v>
      </c>
      <c r="H1043" s="322" t="s">
        <v>109</v>
      </c>
      <c r="I1043" s="324">
        <v>5</v>
      </c>
      <c r="J1043" s="325"/>
      <c r="K1043" s="325">
        <v>35</v>
      </c>
      <c r="L1043" s="325"/>
      <c r="M1043" s="325"/>
      <c r="N1043" s="325"/>
      <c r="O1043" s="326"/>
      <c r="P1043" s="326"/>
      <c r="Q1043" s="326">
        <f>I1043</f>
        <v>5</v>
      </c>
      <c r="R1043" s="326"/>
      <c r="S1043" s="327"/>
    </row>
    <row r="1044" spans="1:19" ht="15" customHeight="1">
      <c r="A1044" s="561">
        <f t="shared" si="20"/>
        <v>1044</v>
      </c>
      <c r="B1044" s="31">
        <v>116</v>
      </c>
      <c r="C1044" s="249" t="s">
        <v>238</v>
      </c>
      <c r="D1044" s="320" t="s">
        <v>22</v>
      </c>
      <c r="E1044" s="321"/>
      <c r="F1044" s="322" t="s">
        <v>239</v>
      </c>
      <c r="G1044" s="323" t="s">
        <v>170</v>
      </c>
      <c r="H1044" s="322" t="s">
        <v>12</v>
      </c>
      <c r="I1044" s="324">
        <v>19</v>
      </c>
      <c r="J1044" s="325"/>
      <c r="K1044" s="325"/>
      <c r="L1044" s="325">
        <v>30</v>
      </c>
      <c r="M1044" s="325"/>
      <c r="N1044" s="325"/>
      <c r="O1044" s="326"/>
      <c r="P1044" s="326">
        <f t="shared" ref="P1044:P1049" si="21">I1044</f>
        <v>19</v>
      </c>
      <c r="Q1044" s="326"/>
      <c r="R1044" s="326"/>
      <c r="S1044" s="327"/>
    </row>
    <row r="1045" spans="1:19" ht="15" customHeight="1">
      <c r="A1045" s="561">
        <f t="shared" si="20"/>
        <v>1045</v>
      </c>
      <c r="B1045" s="31">
        <v>116</v>
      </c>
      <c r="C1045" s="249" t="s">
        <v>238</v>
      </c>
      <c r="D1045" s="320" t="s">
        <v>22</v>
      </c>
      <c r="E1045" s="321"/>
      <c r="F1045" s="322" t="s">
        <v>221</v>
      </c>
      <c r="G1045" s="323" t="s">
        <v>171</v>
      </c>
      <c r="H1045" s="322" t="s">
        <v>12</v>
      </c>
      <c r="I1045" s="324">
        <v>15</v>
      </c>
      <c r="J1045" s="325"/>
      <c r="K1045" s="325"/>
      <c r="L1045" s="325">
        <v>22</v>
      </c>
      <c r="M1045" s="325"/>
      <c r="N1045" s="325"/>
      <c r="O1045" s="326"/>
      <c r="P1045" s="326">
        <f t="shared" si="21"/>
        <v>15</v>
      </c>
      <c r="Q1045" s="326"/>
      <c r="R1045" s="326"/>
      <c r="S1045" s="327"/>
    </row>
    <row r="1046" spans="1:19" ht="15" customHeight="1">
      <c r="A1046" s="561">
        <f t="shared" si="20"/>
        <v>1046</v>
      </c>
      <c r="B1046" s="31">
        <v>116</v>
      </c>
      <c r="C1046" s="249" t="s">
        <v>238</v>
      </c>
      <c r="D1046" s="320" t="s">
        <v>22</v>
      </c>
      <c r="E1046" s="321"/>
      <c r="F1046" s="322" t="s">
        <v>240</v>
      </c>
      <c r="G1046" s="323" t="s">
        <v>172</v>
      </c>
      <c r="H1046" s="322" t="s">
        <v>12</v>
      </c>
      <c r="I1046" s="324">
        <v>13</v>
      </c>
      <c r="J1046" s="325"/>
      <c r="K1046" s="325"/>
      <c r="L1046" s="325">
        <v>21</v>
      </c>
      <c r="M1046" s="325"/>
      <c r="N1046" s="325"/>
      <c r="O1046" s="326"/>
      <c r="P1046" s="326">
        <f t="shared" si="21"/>
        <v>13</v>
      </c>
      <c r="Q1046" s="326"/>
      <c r="R1046" s="326"/>
      <c r="S1046" s="327"/>
    </row>
    <row r="1047" spans="1:19" ht="15" customHeight="1">
      <c r="A1047" s="561">
        <f t="shared" si="20"/>
        <v>1047</v>
      </c>
      <c r="B1047" s="31">
        <v>116</v>
      </c>
      <c r="C1047" s="249" t="s">
        <v>238</v>
      </c>
      <c r="D1047" s="320" t="s">
        <v>22</v>
      </c>
      <c r="E1047" s="321"/>
      <c r="F1047" s="322" t="s">
        <v>241</v>
      </c>
      <c r="G1047" s="323" t="s">
        <v>173</v>
      </c>
      <c r="H1047" s="322" t="s">
        <v>12</v>
      </c>
      <c r="I1047" s="324">
        <v>3</v>
      </c>
      <c r="J1047" s="325"/>
      <c r="K1047" s="325"/>
      <c r="L1047" s="325">
        <v>16</v>
      </c>
      <c r="M1047" s="325"/>
      <c r="N1047" s="325"/>
      <c r="O1047" s="326"/>
      <c r="P1047" s="326">
        <f t="shared" si="21"/>
        <v>3</v>
      </c>
      <c r="Q1047" s="326"/>
      <c r="R1047" s="326"/>
      <c r="S1047" s="327"/>
    </row>
    <row r="1048" spans="1:19" ht="15" customHeight="1">
      <c r="A1048" s="561">
        <f t="shared" si="20"/>
        <v>1048</v>
      </c>
      <c r="B1048" s="31">
        <v>116</v>
      </c>
      <c r="C1048" s="249" t="s">
        <v>238</v>
      </c>
      <c r="D1048" s="320" t="s">
        <v>22</v>
      </c>
      <c r="E1048" s="321"/>
      <c r="F1048" s="322" t="s">
        <v>242</v>
      </c>
      <c r="G1048" s="323" t="s">
        <v>1818</v>
      </c>
      <c r="H1048" s="322" t="s">
        <v>169</v>
      </c>
      <c r="I1048" s="324">
        <v>158</v>
      </c>
      <c r="J1048" s="325"/>
      <c r="K1048" s="325"/>
      <c r="L1048" s="325">
        <v>75</v>
      </c>
      <c r="M1048" s="325"/>
      <c r="N1048" s="325"/>
      <c r="O1048" s="326"/>
      <c r="P1048" s="326">
        <f t="shared" si="21"/>
        <v>158</v>
      </c>
      <c r="Q1048" s="326"/>
      <c r="R1048" s="326"/>
      <c r="S1048" s="327"/>
    </row>
    <row r="1049" spans="1:19" ht="15" customHeight="1">
      <c r="A1049" s="561">
        <f t="shared" si="20"/>
        <v>1049</v>
      </c>
      <c r="B1049" s="31">
        <v>116</v>
      </c>
      <c r="C1049" s="249" t="s">
        <v>238</v>
      </c>
      <c r="D1049" s="320" t="s">
        <v>22</v>
      </c>
      <c r="E1049" s="321"/>
      <c r="F1049" s="322" t="s">
        <v>243</v>
      </c>
      <c r="G1049" s="323" t="s">
        <v>1819</v>
      </c>
      <c r="H1049" s="322" t="s">
        <v>12</v>
      </c>
      <c r="I1049" s="324">
        <v>33</v>
      </c>
      <c r="J1049" s="325"/>
      <c r="K1049" s="325"/>
      <c r="L1049" s="325">
        <v>33</v>
      </c>
      <c r="M1049" s="325"/>
      <c r="N1049" s="325"/>
      <c r="O1049" s="326"/>
      <c r="P1049" s="326">
        <f t="shared" si="21"/>
        <v>33</v>
      </c>
      <c r="Q1049" s="326"/>
      <c r="R1049" s="326"/>
      <c r="S1049" s="327"/>
    </row>
    <row r="1050" spans="1:19" ht="15" customHeight="1">
      <c r="A1050" s="561">
        <f t="shared" si="20"/>
        <v>1050</v>
      </c>
      <c r="B1050" s="31">
        <v>116</v>
      </c>
      <c r="C1050" s="249" t="s">
        <v>238</v>
      </c>
      <c r="D1050" s="320" t="s">
        <v>22</v>
      </c>
      <c r="E1050" s="321"/>
      <c r="F1050" s="322" t="s">
        <v>143</v>
      </c>
      <c r="G1050" s="323" t="s">
        <v>63</v>
      </c>
      <c r="H1050" s="322" t="s">
        <v>109</v>
      </c>
      <c r="I1050" s="324">
        <v>140</v>
      </c>
      <c r="J1050" s="325"/>
      <c r="K1050" s="325">
        <v>395</v>
      </c>
      <c r="L1050" s="325"/>
      <c r="M1050" s="325"/>
      <c r="N1050" s="325"/>
      <c r="O1050" s="326"/>
      <c r="P1050" s="326"/>
      <c r="Q1050" s="326">
        <f>I1050</f>
        <v>140</v>
      </c>
      <c r="R1050" s="326"/>
      <c r="S1050" s="327"/>
    </row>
    <row r="1051" spans="1:19" ht="15" customHeight="1">
      <c r="A1051" s="561">
        <f t="shared" si="20"/>
        <v>1051</v>
      </c>
      <c r="B1051" s="31">
        <v>116</v>
      </c>
      <c r="C1051" s="249" t="s">
        <v>238</v>
      </c>
      <c r="D1051" s="320" t="s">
        <v>22</v>
      </c>
      <c r="E1051" s="321"/>
      <c r="F1051" s="322" t="s">
        <v>64</v>
      </c>
      <c r="G1051" s="323" t="s">
        <v>224</v>
      </c>
      <c r="H1051" s="322" t="s">
        <v>68</v>
      </c>
      <c r="I1051" s="324">
        <v>7</v>
      </c>
      <c r="J1051" s="325" t="s">
        <v>317</v>
      </c>
      <c r="K1051" s="325"/>
      <c r="L1051" s="325"/>
      <c r="M1051" s="325"/>
      <c r="N1051" s="325"/>
      <c r="O1051" s="326"/>
      <c r="P1051" s="326"/>
      <c r="Q1051" s="326">
        <f>I1051</f>
        <v>7</v>
      </c>
      <c r="R1051" s="326"/>
      <c r="S1051" s="327"/>
    </row>
    <row r="1052" spans="1:19" ht="15" customHeight="1">
      <c r="A1052" s="561">
        <f t="shared" si="20"/>
        <v>1052</v>
      </c>
      <c r="B1052" s="31">
        <v>116</v>
      </c>
      <c r="C1052" s="249" t="s">
        <v>238</v>
      </c>
      <c r="D1052" s="320" t="s">
        <v>22</v>
      </c>
      <c r="E1052" s="321"/>
      <c r="F1052" s="322" t="s">
        <v>175</v>
      </c>
      <c r="G1052" s="323" t="s">
        <v>16</v>
      </c>
      <c r="H1052" s="322" t="s">
        <v>160</v>
      </c>
      <c r="I1052" s="324">
        <v>5</v>
      </c>
      <c r="J1052" s="325"/>
      <c r="K1052" s="325"/>
      <c r="L1052" s="325">
        <v>21</v>
      </c>
      <c r="M1052" s="325"/>
      <c r="N1052" s="325"/>
      <c r="O1052" s="326"/>
      <c r="P1052" s="326">
        <f>I1052</f>
        <v>5</v>
      </c>
      <c r="Q1052" s="326"/>
      <c r="R1052" s="326"/>
      <c r="S1052" s="327"/>
    </row>
    <row r="1053" spans="1:19" ht="15" customHeight="1">
      <c r="A1053" s="561">
        <f t="shared" si="20"/>
        <v>1053</v>
      </c>
      <c r="B1053" s="31">
        <v>116</v>
      </c>
      <c r="C1053" s="249" t="s">
        <v>238</v>
      </c>
      <c r="D1053" s="320" t="s">
        <v>22</v>
      </c>
      <c r="E1053" s="321"/>
      <c r="F1053" s="322" t="s">
        <v>175</v>
      </c>
      <c r="G1053" s="323" t="s">
        <v>182</v>
      </c>
      <c r="H1053" s="322" t="s">
        <v>109</v>
      </c>
      <c r="I1053" s="324">
        <v>6</v>
      </c>
      <c r="J1053" s="325"/>
      <c r="K1053" s="325">
        <v>30</v>
      </c>
      <c r="L1053" s="325"/>
      <c r="M1053" s="325"/>
      <c r="N1053" s="325"/>
      <c r="O1053" s="326"/>
      <c r="P1053" s="326"/>
      <c r="Q1053" s="326">
        <f>I1053</f>
        <v>6</v>
      </c>
      <c r="R1053" s="326"/>
      <c r="S1053" s="327"/>
    </row>
    <row r="1054" spans="1:19" ht="15" customHeight="1">
      <c r="A1054" s="561">
        <f t="shared" si="20"/>
        <v>1054</v>
      </c>
      <c r="B1054" s="31">
        <v>116</v>
      </c>
      <c r="C1054" s="249" t="s">
        <v>238</v>
      </c>
      <c r="D1054" s="320" t="s">
        <v>22</v>
      </c>
      <c r="E1054" s="321"/>
      <c r="F1054" s="322" t="s">
        <v>36</v>
      </c>
      <c r="G1054" s="323" t="s">
        <v>1767</v>
      </c>
      <c r="H1054" s="322" t="s">
        <v>160</v>
      </c>
      <c r="I1054" s="324">
        <v>20</v>
      </c>
      <c r="J1054" s="325"/>
      <c r="K1054" s="325"/>
      <c r="L1054" s="325">
        <v>58</v>
      </c>
      <c r="M1054" s="325"/>
      <c r="N1054" s="325"/>
      <c r="O1054" s="326"/>
      <c r="P1054" s="326">
        <f>I1054</f>
        <v>20</v>
      </c>
      <c r="Q1054" s="326"/>
      <c r="R1054" s="326"/>
      <c r="S1054" s="327"/>
    </row>
    <row r="1055" spans="1:19" ht="15" customHeight="1">
      <c r="A1055" s="561">
        <f t="shared" si="20"/>
        <v>1055</v>
      </c>
      <c r="B1055" s="31">
        <v>116</v>
      </c>
      <c r="C1055" s="249" t="s">
        <v>238</v>
      </c>
      <c r="D1055" s="320" t="s">
        <v>22</v>
      </c>
      <c r="E1055" s="321"/>
      <c r="F1055" s="322" t="s">
        <v>37</v>
      </c>
      <c r="G1055" s="323" t="s">
        <v>1820</v>
      </c>
      <c r="H1055" s="322" t="s">
        <v>160</v>
      </c>
      <c r="I1055" s="324">
        <v>9</v>
      </c>
      <c r="J1055" s="325"/>
      <c r="K1055" s="325"/>
      <c r="L1055" s="325">
        <v>29</v>
      </c>
      <c r="M1055" s="325"/>
      <c r="N1055" s="325"/>
      <c r="O1055" s="326"/>
      <c r="P1055" s="326">
        <f>I1055</f>
        <v>9</v>
      </c>
      <c r="Q1055" s="326"/>
      <c r="R1055" s="326"/>
      <c r="S1055" s="327"/>
    </row>
    <row r="1056" spans="1:19" ht="15" customHeight="1">
      <c r="A1056" s="561">
        <f t="shared" si="20"/>
        <v>1056</v>
      </c>
      <c r="B1056" s="31">
        <v>116</v>
      </c>
      <c r="C1056" s="249" t="s">
        <v>238</v>
      </c>
      <c r="D1056" s="320" t="s">
        <v>22</v>
      </c>
      <c r="E1056" s="321"/>
      <c r="F1056" s="322" t="s">
        <v>244</v>
      </c>
      <c r="G1056" s="323" t="s">
        <v>1821</v>
      </c>
      <c r="H1056" s="322" t="s">
        <v>160</v>
      </c>
      <c r="I1056" s="324">
        <v>6</v>
      </c>
      <c r="J1056" s="325"/>
      <c r="K1056" s="325">
        <v>39</v>
      </c>
      <c r="L1056" s="325"/>
      <c r="M1056" s="325"/>
      <c r="N1056" s="325"/>
      <c r="O1056" s="326"/>
      <c r="P1056" s="326"/>
      <c r="Q1056" s="326">
        <f>I1056</f>
        <v>6</v>
      </c>
      <c r="R1056" s="326"/>
      <c r="S1056" s="327"/>
    </row>
    <row r="1057" spans="1:19" ht="15" customHeight="1">
      <c r="A1057" s="561">
        <f t="shared" si="20"/>
        <v>1057</v>
      </c>
      <c r="B1057" s="31">
        <v>116</v>
      </c>
      <c r="C1057" s="249" t="s">
        <v>238</v>
      </c>
      <c r="D1057" s="320" t="s">
        <v>22</v>
      </c>
      <c r="E1057" s="321"/>
      <c r="F1057" s="322" t="s">
        <v>41</v>
      </c>
      <c r="G1057" s="323" t="s">
        <v>188</v>
      </c>
      <c r="H1057" s="322" t="s">
        <v>160</v>
      </c>
      <c r="I1057" s="324">
        <v>7</v>
      </c>
      <c r="J1057" s="325"/>
      <c r="K1057" s="325">
        <v>33</v>
      </c>
      <c r="L1057" s="325"/>
      <c r="M1057" s="325"/>
      <c r="N1057" s="325"/>
      <c r="O1057" s="326"/>
      <c r="P1057" s="326"/>
      <c r="Q1057" s="326">
        <f>I1057</f>
        <v>7</v>
      </c>
      <c r="R1057" s="326"/>
      <c r="S1057" s="327"/>
    </row>
    <row r="1058" spans="1:19" ht="15" customHeight="1">
      <c r="A1058" s="561">
        <f t="shared" si="20"/>
        <v>1058</v>
      </c>
      <c r="B1058" s="31">
        <v>116</v>
      </c>
      <c r="C1058" s="249" t="s">
        <v>238</v>
      </c>
      <c r="D1058" s="320" t="s">
        <v>22</v>
      </c>
      <c r="E1058" s="321"/>
      <c r="F1058" s="322" t="s">
        <v>245</v>
      </c>
      <c r="G1058" s="323" t="s">
        <v>1822</v>
      </c>
      <c r="H1058" s="322" t="s">
        <v>148</v>
      </c>
      <c r="I1058" s="324">
        <v>3</v>
      </c>
      <c r="J1058" s="325">
        <v>18</v>
      </c>
      <c r="K1058" s="325"/>
      <c r="L1058" s="325"/>
      <c r="M1058" s="325"/>
      <c r="N1058" s="325"/>
      <c r="O1058" s="326"/>
      <c r="P1058" s="326"/>
      <c r="Q1058" s="326"/>
      <c r="R1058" s="326">
        <f>I1058</f>
        <v>3</v>
      </c>
      <c r="S1058" s="327"/>
    </row>
    <row r="1059" spans="1:19" ht="15" customHeight="1">
      <c r="A1059" s="561">
        <f t="shared" si="20"/>
        <v>1059</v>
      </c>
      <c r="B1059" s="31">
        <v>116</v>
      </c>
      <c r="C1059" s="249" t="s">
        <v>238</v>
      </c>
      <c r="D1059" s="320" t="s">
        <v>22</v>
      </c>
      <c r="E1059" s="321"/>
      <c r="F1059" s="322" t="s">
        <v>246</v>
      </c>
      <c r="G1059" s="323" t="s">
        <v>1768</v>
      </c>
      <c r="H1059" s="322" t="s">
        <v>148</v>
      </c>
      <c r="I1059" s="324">
        <v>3</v>
      </c>
      <c r="J1059" s="325">
        <v>18</v>
      </c>
      <c r="K1059" s="325"/>
      <c r="L1059" s="325"/>
      <c r="M1059" s="325"/>
      <c r="N1059" s="325"/>
      <c r="O1059" s="326"/>
      <c r="P1059" s="326"/>
      <c r="Q1059" s="326"/>
      <c r="R1059" s="326">
        <f>I1059</f>
        <v>3</v>
      </c>
      <c r="S1059" s="327"/>
    </row>
    <row r="1060" spans="1:19" ht="15" customHeight="1">
      <c r="A1060" s="561">
        <f t="shared" si="20"/>
        <v>1060</v>
      </c>
      <c r="B1060" s="31">
        <v>116</v>
      </c>
      <c r="C1060" s="249" t="s">
        <v>238</v>
      </c>
      <c r="D1060" s="320" t="s">
        <v>22</v>
      </c>
      <c r="E1060" s="321"/>
      <c r="F1060" s="322" t="s">
        <v>168</v>
      </c>
      <c r="G1060" s="323" t="s">
        <v>1823</v>
      </c>
      <c r="H1060" s="322" t="s">
        <v>160</v>
      </c>
      <c r="I1060" s="324">
        <v>20</v>
      </c>
      <c r="J1060" s="325" t="s">
        <v>326</v>
      </c>
      <c r="K1060" s="325"/>
      <c r="L1060" s="325"/>
      <c r="M1060" s="325"/>
      <c r="N1060" s="325"/>
      <c r="O1060" s="326"/>
      <c r="P1060" s="326"/>
      <c r="Q1060" s="326">
        <f>I1060</f>
        <v>20</v>
      </c>
      <c r="R1060" s="326"/>
      <c r="S1060" s="327"/>
    </row>
    <row r="1061" spans="1:19" ht="15" customHeight="1">
      <c r="A1061" s="561">
        <f t="shared" si="20"/>
        <v>1061</v>
      </c>
      <c r="B1061" s="31">
        <v>116</v>
      </c>
      <c r="C1061" s="249" t="s">
        <v>238</v>
      </c>
      <c r="D1061" s="320" t="s">
        <v>22</v>
      </c>
      <c r="E1061" s="321"/>
      <c r="F1061" s="322" t="s">
        <v>125</v>
      </c>
      <c r="G1061" s="323" t="s">
        <v>191</v>
      </c>
      <c r="H1061" s="322" t="s">
        <v>299</v>
      </c>
      <c r="I1061" s="324">
        <v>4</v>
      </c>
      <c r="J1061" s="325"/>
      <c r="K1061" s="325"/>
      <c r="L1061" s="325"/>
      <c r="M1061" s="325">
        <v>15</v>
      </c>
      <c r="N1061" s="325"/>
      <c r="O1061" s="326"/>
      <c r="P1061" s="326"/>
      <c r="Q1061" s="326"/>
      <c r="R1061" s="326">
        <f>I1061</f>
        <v>4</v>
      </c>
      <c r="S1061" s="327"/>
    </row>
    <row r="1062" spans="1:19" ht="15" customHeight="1">
      <c r="A1062" s="561">
        <f t="shared" si="20"/>
        <v>1062</v>
      </c>
      <c r="B1062" s="31">
        <v>116</v>
      </c>
      <c r="C1062" s="249" t="s">
        <v>238</v>
      </c>
      <c r="D1062" s="320" t="s">
        <v>22</v>
      </c>
      <c r="E1062" s="321"/>
      <c r="F1062" s="322" t="s">
        <v>247</v>
      </c>
      <c r="G1062" s="323" t="s">
        <v>207</v>
      </c>
      <c r="H1062" s="322" t="s">
        <v>12</v>
      </c>
      <c r="I1062" s="324">
        <v>9</v>
      </c>
      <c r="J1062" s="325"/>
      <c r="K1062" s="325"/>
      <c r="L1062" s="325">
        <v>18</v>
      </c>
      <c r="M1062" s="325"/>
      <c r="N1062" s="325"/>
      <c r="O1062" s="326"/>
      <c r="P1062" s="326">
        <f>I1062</f>
        <v>9</v>
      </c>
      <c r="Q1062" s="326"/>
      <c r="R1062" s="326"/>
      <c r="S1062" s="327"/>
    </row>
    <row r="1063" spans="1:19" ht="15" customHeight="1">
      <c r="A1063" s="561">
        <f t="shared" si="20"/>
        <v>1063</v>
      </c>
      <c r="B1063" s="31">
        <v>116</v>
      </c>
      <c r="C1063" s="249" t="s">
        <v>238</v>
      </c>
      <c r="D1063" s="320" t="s">
        <v>22</v>
      </c>
      <c r="E1063" s="321"/>
      <c r="F1063" s="322" t="s">
        <v>152</v>
      </c>
      <c r="G1063" s="323" t="s">
        <v>209</v>
      </c>
      <c r="H1063" s="322" t="s">
        <v>176</v>
      </c>
      <c r="I1063" s="324">
        <v>18</v>
      </c>
      <c r="J1063" s="325"/>
      <c r="K1063" s="325">
        <v>58</v>
      </c>
      <c r="L1063" s="325"/>
      <c r="M1063" s="325"/>
      <c r="N1063" s="325"/>
      <c r="O1063" s="326"/>
      <c r="P1063" s="326"/>
      <c r="Q1063" s="326">
        <f>I1063</f>
        <v>18</v>
      </c>
      <c r="R1063" s="326"/>
      <c r="S1063" s="327"/>
    </row>
    <row r="1064" spans="1:19" ht="15" customHeight="1">
      <c r="A1064" s="561">
        <f t="shared" si="20"/>
        <v>1064</v>
      </c>
      <c r="B1064" s="31">
        <v>116</v>
      </c>
      <c r="C1064" s="249" t="s">
        <v>238</v>
      </c>
      <c r="D1064" s="320" t="s">
        <v>22</v>
      </c>
      <c r="E1064" s="321"/>
      <c r="F1064" s="322" t="s">
        <v>248</v>
      </c>
      <c r="G1064" s="323" t="s">
        <v>197</v>
      </c>
      <c r="H1064" s="322" t="s">
        <v>109</v>
      </c>
      <c r="I1064" s="324">
        <v>26</v>
      </c>
      <c r="J1064" s="325" t="s">
        <v>317</v>
      </c>
      <c r="K1064" s="325"/>
      <c r="L1064" s="325"/>
      <c r="M1064" s="325"/>
      <c r="N1064" s="325"/>
      <c r="O1064" s="326"/>
      <c r="P1064" s="326"/>
      <c r="Q1064" s="326">
        <f>I1064</f>
        <v>26</v>
      </c>
      <c r="R1064" s="326"/>
      <c r="S1064" s="327"/>
    </row>
    <row r="1065" spans="1:19" ht="15" customHeight="1">
      <c r="A1065" s="561">
        <f t="shared" si="20"/>
        <v>1065</v>
      </c>
      <c r="B1065" s="31">
        <v>116</v>
      </c>
      <c r="C1065" s="249" t="s">
        <v>238</v>
      </c>
      <c r="D1065" s="320" t="s">
        <v>22</v>
      </c>
      <c r="E1065" s="321"/>
      <c r="F1065" s="322" t="s">
        <v>175</v>
      </c>
      <c r="G1065" s="323" t="s">
        <v>1824</v>
      </c>
      <c r="H1065" s="322" t="s">
        <v>160</v>
      </c>
      <c r="I1065" s="324">
        <v>15</v>
      </c>
      <c r="J1065" s="325"/>
      <c r="K1065" s="325"/>
      <c r="L1065" s="325">
        <v>75</v>
      </c>
      <c r="M1065" s="325"/>
      <c r="N1065" s="325"/>
      <c r="O1065" s="326"/>
      <c r="P1065" s="326">
        <f>I1065</f>
        <v>15</v>
      </c>
      <c r="Q1065" s="326"/>
      <c r="R1065" s="326"/>
      <c r="S1065" s="327"/>
    </row>
    <row r="1066" spans="1:19" ht="15" customHeight="1">
      <c r="A1066" s="561">
        <f t="shared" si="20"/>
        <v>1066</v>
      </c>
      <c r="B1066" s="31">
        <v>116</v>
      </c>
      <c r="C1066" s="249" t="s">
        <v>238</v>
      </c>
      <c r="D1066" s="320" t="s">
        <v>22</v>
      </c>
      <c r="E1066" s="321"/>
      <c r="F1066" s="322" t="s">
        <v>214</v>
      </c>
      <c r="G1066" s="323" t="s">
        <v>1825</v>
      </c>
      <c r="H1066" s="322" t="s">
        <v>176</v>
      </c>
      <c r="I1066" s="324">
        <v>16</v>
      </c>
      <c r="J1066" s="325"/>
      <c r="K1066" s="325">
        <v>75</v>
      </c>
      <c r="L1066" s="325"/>
      <c r="M1066" s="325"/>
      <c r="N1066" s="325"/>
      <c r="O1066" s="326"/>
      <c r="P1066" s="326"/>
      <c r="Q1066" s="326">
        <f>I1066</f>
        <v>16</v>
      </c>
      <c r="R1066" s="326"/>
      <c r="S1066" s="327"/>
    </row>
    <row r="1067" spans="1:19" ht="15" customHeight="1">
      <c r="A1067" s="561">
        <f t="shared" si="20"/>
        <v>1067</v>
      </c>
      <c r="B1067" s="31">
        <v>116</v>
      </c>
      <c r="C1067" s="249" t="s">
        <v>238</v>
      </c>
      <c r="D1067" s="320" t="s">
        <v>22</v>
      </c>
      <c r="E1067" s="321"/>
      <c r="F1067" s="322" t="s">
        <v>130</v>
      </c>
      <c r="G1067" s="323" t="s">
        <v>1826</v>
      </c>
      <c r="H1067" s="322" t="s">
        <v>160</v>
      </c>
      <c r="I1067" s="324">
        <v>76</v>
      </c>
      <c r="J1067" s="325"/>
      <c r="K1067" s="325">
        <v>180</v>
      </c>
      <c r="L1067" s="325"/>
      <c r="M1067" s="325"/>
      <c r="N1067" s="325"/>
      <c r="O1067" s="326"/>
      <c r="P1067" s="326"/>
      <c r="Q1067" s="326">
        <f>I1067</f>
        <v>76</v>
      </c>
      <c r="R1067" s="326"/>
      <c r="S1067" s="327"/>
    </row>
    <row r="1068" spans="1:19" ht="15" customHeight="1">
      <c r="A1068" s="561">
        <f t="shared" si="20"/>
        <v>1068</v>
      </c>
      <c r="B1068" s="31">
        <v>116</v>
      </c>
      <c r="C1068" s="249" t="s">
        <v>238</v>
      </c>
      <c r="D1068" s="320" t="s">
        <v>22</v>
      </c>
      <c r="E1068" s="321"/>
      <c r="F1068" s="322" t="s">
        <v>300</v>
      </c>
      <c r="G1068" s="323" t="s">
        <v>1827</v>
      </c>
      <c r="H1068" s="322" t="s">
        <v>160</v>
      </c>
      <c r="I1068" s="324">
        <v>13</v>
      </c>
      <c r="J1068" s="325" t="s">
        <v>326</v>
      </c>
      <c r="K1068" s="325"/>
      <c r="L1068" s="325"/>
      <c r="M1068" s="325"/>
      <c r="N1068" s="325"/>
      <c r="O1068" s="326"/>
      <c r="P1068" s="326"/>
      <c r="Q1068" s="326">
        <f>I1068</f>
        <v>13</v>
      </c>
      <c r="R1068" s="326"/>
      <c r="S1068" s="327"/>
    </row>
    <row r="1069" spans="1:19" ht="15" customHeight="1">
      <c r="A1069" s="561">
        <f t="shared" si="20"/>
        <v>1069</v>
      </c>
      <c r="B1069" s="31">
        <v>116</v>
      </c>
      <c r="C1069" s="249" t="s">
        <v>238</v>
      </c>
      <c r="D1069" s="320" t="s">
        <v>22</v>
      </c>
      <c r="E1069" s="321"/>
      <c r="F1069" s="322" t="s">
        <v>249</v>
      </c>
      <c r="G1069" s="323" t="s">
        <v>1828</v>
      </c>
      <c r="H1069" s="322" t="s">
        <v>160</v>
      </c>
      <c r="I1069" s="324">
        <v>1</v>
      </c>
      <c r="J1069" s="325"/>
      <c r="K1069" s="325"/>
      <c r="L1069" s="325">
        <v>8</v>
      </c>
      <c r="M1069" s="325"/>
      <c r="N1069" s="325"/>
      <c r="O1069" s="326"/>
      <c r="P1069" s="326">
        <f>I1069</f>
        <v>1</v>
      </c>
      <c r="Q1069" s="326"/>
      <c r="R1069" s="326"/>
      <c r="S1069" s="327"/>
    </row>
    <row r="1070" spans="1:19" ht="15" customHeight="1">
      <c r="A1070" s="561">
        <f t="shared" si="20"/>
        <v>1070</v>
      </c>
      <c r="B1070" s="31">
        <v>116</v>
      </c>
      <c r="C1070" s="249" t="s">
        <v>238</v>
      </c>
      <c r="D1070" s="320" t="s">
        <v>22</v>
      </c>
      <c r="E1070" s="321"/>
      <c r="F1070" s="322" t="s">
        <v>249</v>
      </c>
      <c r="G1070" s="323" t="s">
        <v>1829</v>
      </c>
      <c r="H1070" s="322" t="s">
        <v>160</v>
      </c>
      <c r="I1070" s="324">
        <v>1</v>
      </c>
      <c r="J1070" s="325"/>
      <c r="K1070" s="325"/>
      <c r="L1070" s="325">
        <v>8</v>
      </c>
      <c r="M1070" s="325"/>
      <c r="N1070" s="325"/>
      <c r="O1070" s="326"/>
      <c r="P1070" s="326">
        <f>I1070</f>
        <v>1</v>
      </c>
      <c r="Q1070" s="326"/>
      <c r="R1070" s="326"/>
      <c r="S1070" s="327"/>
    </row>
    <row r="1071" spans="1:19" ht="15" customHeight="1">
      <c r="A1071" s="561">
        <f t="shared" si="20"/>
        <v>1071</v>
      </c>
      <c r="B1071" s="31">
        <v>116</v>
      </c>
      <c r="C1071" s="249" t="s">
        <v>238</v>
      </c>
      <c r="D1071" s="320" t="s">
        <v>22</v>
      </c>
      <c r="E1071" s="321"/>
      <c r="F1071" s="322" t="s">
        <v>250</v>
      </c>
      <c r="G1071" s="323" t="s">
        <v>1830</v>
      </c>
      <c r="H1071" s="322" t="s">
        <v>166</v>
      </c>
      <c r="I1071" s="324">
        <v>1</v>
      </c>
      <c r="J1071" s="325"/>
      <c r="K1071" s="325"/>
      <c r="L1071" s="325">
        <v>73</v>
      </c>
      <c r="M1071" s="325"/>
      <c r="N1071" s="325"/>
      <c r="O1071" s="326"/>
      <c r="P1071" s="326">
        <f>I1071</f>
        <v>1</v>
      </c>
      <c r="Q1071" s="326"/>
      <c r="R1071" s="326"/>
      <c r="S1071" s="327"/>
    </row>
    <row r="1072" spans="1:19" ht="15" customHeight="1">
      <c r="A1072" s="561">
        <f t="shared" si="20"/>
        <v>1072</v>
      </c>
      <c r="B1072" s="31">
        <v>116</v>
      </c>
      <c r="C1072" s="249" t="s">
        <v>238</v>
      </c>
      <c r="D1072" s="320" t="s">
        <v>22</v>
      </c>
      <c r="E1072" s="321"/>
      <c r="F1072" s="322" t="s">
        <v>54</v>
      </c>
      <c r="G1072" s="323" t="s">
        <v>1831</v>
      </c>
      <c r="H1072" s="322" t="s">
        <v>113</v>
      </c>
      <c r="I1072" s="324">
        <v>1648</v>
      </c>
      <c r="J1072" s="325"/>
      <c r="K1072" s="325">
        <v>76</v>
      </c>
      <c r="L1072" s="325"/>
      <c r="M1072" s="325"/>
      <c r="N1072" s="325"/>
      <c r="O1072" s="326">
        <v>1184</v>
      </c>
      <c r="P1072" s="326"/>
      <c r="Q1072" s="326"/>
      <c r="R1072" s="326"/>
      <c r="S1072" s="327"/>
    </row>
    <row r="1073" spans="1:19" ht="15" customHeight="1">
      <c r="A1073" s="561">
        <f t="shared" si="20"/>
        <v>1073</v>
      </c>
      <c r="B1073" s="31">
        <v>116</v>
      </c>
      <c r="C1073" s="249" t="s">
        <v>238</v>
      </c>
      <c r="D1073" s="320" t="s">
        <v>22</v>
      </c>
      <c r="E1073" s="321"/>
      <c r="F1073" s="322" t="s">
        <v>164</v>
      </c>
      <c r="G1073" s="323" t="s">
        <v>1832</v>
      </c>
      <c r="H1073" s="322" t="s">
        <v>821</v>
      </c>
      <c r="I1073" s="324">
        <v>27</v>
      </c>
      <c r="J1073" s="325" t="s">
        <v>317</v>
      </c>
      <c r="K1073" s="325"/>
      <c r="L1073" s="325"/>
      <c r="M1073" s="325"/>
      <c r="N1073" s="325"/>
      <c r="O1073" s="326"/>
      <c r="P1073" s="326"/>
      <c r="Q1073" s="326">
        <f>I1073</f>
        <v>27</v>
      </c>
      <c r="R1073" s="326"/>
      <c r="S1073" s="327"/>
    </row>
    <row r="1074" spans="1:19" ht="15" customHeight="1">
      <c r="A1074" s="561">
        <f t="shared" si="20"/>
        <v>1074</v>
      </c>
      <c r="B1074" s="31">
        <v>117</v>
      </c>
      <c r="C1074" s="249" t="s">
        <v>297</v>
      </c>
      <c r="D1074" s="320" t="s">
        <v>22</v>
      </c>
      <c r="E1074" s="321"/>
      <c r="F1074" s="322" t="s">
        <v>175</v>
      </c>
      <c r="G1074" s="323" t="s">
        <v>1833</v>
      </c>
      <c r="H1074" s="322" t="s">
        <v>160</v>
      </c>
      <c r="I1074" s="324">
        <v>13</v>
      </c>
      <c r="J1074" s="325"/>
      <c r="K1074" s="325"/>
      <c r="L1074" s="325">
        <v>34</v>
      </c>
      <c r="M1074" s="325"/>
      <c r="N1074" s="325"/>
      <c r="O1074" s="326"/>
      <c r="P1074" s="326">
        <f>I1074</f>
        <v>13</v>
      </c>
      <c r="Q1074" s="326"/>
      <c r="R1074" s="326"/>
      <c r="S1074" s="327"/>
    </row>
    <row r="1075" spans="1:19" ht="15" customHeight="1">
      <c r="A1075" s="561">
        <f t="shared" si="20"/>
        <v>1075</v>
      </c>
      <c r="B1075" s="31">
        <v>117</v>
      </c>
      <c r="C1075" s="249" t="s">
        <v>297</v>
      </c>
      <c r="D1075" s="320" t="s">
        <v>22</v>
      </c>
      <c r="E1075" s="321"/>
      <c r="F1075" s="322" t="s">
        <v>175</v>
      </c>
      <c r="G1075" s="323" t="s">
        <v>213</v>
      </c>
      <c r="H1075" s="322" t="s">
        <v>160</v>
      </c>
      <c r="I1075" s="324">
        <v>11</v>
      </c>
      <c r="J1075" s="325"/>
      <c r="K1075" s="325">
        <v>27</v>
      </c>
      <c r="L1075" s="325"/>
      <c r="M1075" s="325"/>
      <c r="N1075" s="325"/>
      <c r="O1075" s="326"/>
      <c r="P1075" s="326"/>
      <c r="Q1075" s="326">
        <f>I1075</f>
        <v>11</v>
      </c>
      <c r="R1075" s="326"/>
      <c r="S1075" s="327"/>
    </row>
    <row r="1076" spans="1:19" ht="15" customHeight="1">
      <c r="A1076" s="561">
        <f t="shared" si="20"/>
        <v>1076</v>
      </c>
      <c r="B1076" s="31">
        <v>117</v>
      </c>
      <c r="C1076" s="249" t="s">
        <v>297</v>
      </c>
      <c r="D1076" s="320" t="s">
        <v>22</v>
      </c>
      <c r="E1076" s="321"/>
      <c r="F1076" s="322" t="s">
        <v>214</v>
      </c>
      <c r="G1076" s="323" t="s">
        <v>1834</v>
      </c>
      <c r="H1076" s="322" t="s">
        <v>176</v>
      </c>
      <c r="I1076" s="324">
        <v>26</v>
      </c>
      <c r="J1076" s="325"/>
      <c r="K1076" s="325">
        <v>65</v>
      </c>
      <c r="L1076" s="325"/>
      <c r="M1076" s="325"/>
      <c r="N1076" s="325"/>
      <c r="O1076" s="326"/>
      <c r="P1076" s="326"/>
      <c r="Q1076" s="326">
        <f>I1076</f>
        <v>26</v>
      </c>
      <c r="R1076" s="326"/>
      <c r="S1076" s="327"/>
    </row>
    <row r="1077" spans="1:19" ht="15" customHeight="1">
      <c r="A1077" s="561">
        <f t="shared" si="20"/>
        <v>1077</v>
      </c>
      <c r="B1077" s="31">
        <v>117</v>
      </c>
      <c r="C1077" s="249" t="s">
        <v>297</v>
      </c>
      <c r="D1077" s="320" t="s">
        <v>22</v>
      </c>
      <c r="E1077" s="321"/>
      <c r="F1077" s="322" t="s">
        <v>215</v>
      </c>
      <c r="G1077" s="323" t="s">
        <v>216</v>
      </c>
      <c r="H1077" s="322" t="s">
        <v>176</v>
      </c>
      <c r="I1077" s="324">
        <v>7</v>
      </c>
      <c r="J1077" s="325"/>
      <c r="K1077" s="325">
        <v>26</v>
      </c>
      <c r="L1077" s="325"/>
      <c r="M1077" s="325"/>
      <c r="N1077" s="325"/>
      <c r="O1077" s="326"/>
      <c r="P1077" s="326"/>
      <c r="Q1077" s="326">
        <f>I1077</f>
        <v>7</v>
      </c>
      <c r="R1077" s="326"/>
      <c r="S1077" s="327"/>
    </row>
    <row r="1078" spans="1:19" ht="15" customHeight="1">
      <c r="A1078" s="561">
        <f t="shared" si="20"/>
        <v>1078</v>
      </c>
      <c r="B1078" s="31">
        <v>117</v>
      </c>
      <c r="C1078" s="249" t="s">
        <v>297</v>
      </c>
      <c r="D1078" s="320" t="s">
        <v>22</v>
      </c>
      <c r="E1078" s="321"/>
      <c r="F1078" s="322" t="s">
        <v>177</v>
      </c>
      <c r="G1078" s="323" t="s">
        <v>1835</v>
      </c>
      <c r="H1078" s="322" t="s">
        <v>160</v>
      </c>
      <c r="I1078" s="324">
        <v>13</v>
      </c>
      <c r="J1078" s="325"/>
      <c r="K1078" s="325"/>
      <c r="L1078" s="325">
        <v>37</v>
      </c>
      <c r="M1078" s="325"/>
      <c r="N1078" s="325"/>
      <c r="O1078" s="326"/>
      <c r="P1078" s="326">
        <f>I1078</f>
        <v>13</v>
      </c>
      <c r="Q1078" s="326"/>
      <c r="R1078" s="326"/>
      <c r="S1078" s="327"/>
    </row>
    <row r="1079" spans="1:19" ht="15" customHeight="1">
      <c r="A1079" s="561">
        <f t="shared" si="20"/>
        <v>1079</v>
      </c>
      <c r="B1079" s="31">
        <v>117</v>
      </c>
      <c r="C1079" s="249" t="s">
        <v>297</v>
      </c>
      <c r="D1079" s="320" t="s">
        <v>22</v>
      </c>
      <c r="E1079" s="321"/>
      <c r="F1079" s="322" t="s">
        <v>177</v>
      </c>
      <c r="G1079" s="323" t="s">
        <v>1836</v>
      </c>
      <c r="H1079" s="322" t="s">
        <v>160</v>
      </c>
      <c r="I1079" s="324">
        <v>19</v>
      </c>
      <c r="J1079" s="325"/>
      <c r="K1079" s="325"/>
      <c r="L1079" s="325">
        <v>44</v>
      </c>
      <c r="M1079" s="325"/>
      <c r="N1079" s="325"/>
      <c r="O1079" s="326"/>
      <c r="P1079" s="326">
        <f>I1079</f>
        <v>19</v>
      </c>
      <c r="Q1079" s="326"/>
      <c r="R1079" s="326"/>
      <c r="S1079" s="327"/>
    </row>
    <row r="1080" spans="1:19" ht="15" customHeight="1">
      <c r="A1080" s="561">
        <f t="shared" si="20"/>
        <v>1080</v>
      </c>
      <c r="B1080" s="31">
        <v>117</v>
      </c>
      <c r="C1080" s="249" t="s">
        <v>297</v>
      </c>
      <c r="D1080" s="320" t="s">
        <v>22</v>
      </c>
      <c r="E1080" s="321"/>
      <c r="F1080" s="322" t="s">
        <v>37</v>
      </c>
      <c r="G1080" s="323" t="s">
        <v>1837</v>
      </c>
      <c r="H1080" s="322" t="s">
        <v>160</v>
      </c>
      <c r="I1080" s="324">
        <v>16</v>
      </c>
      <c r="J1080" s="325"/>
      <c r="K1080" s="325"/>
      <c r="L1080" s="325">
        <v>39</v>
      </c>
      <c r="M1080" s="325"/>
      <c r="N1080" s="325"/>
      <c r="O1080" s="326"/>
      <c r="P1080" s="326">
        <f>I1080</f>
        <v>16</v>
      </c>
      <c r="Q1080" s="326"/>
      <c r="R1080" s="326"/>
      <c r="S1080" s="327"/>
    </row>
    <row r="1081" spans="1:19" ht="15" customHeight="1">
      <c r="A1081" s="561">
        <f t="shared" si="20"/>
        <v>1081</v>
      </c>
      <c r="B1081" s="31">
        <v>117</v>
      </c>
      <c r="C1081" s="249" t="s">
        <v>297</v>
      </c>
      <c r="D1081" s="320" t="s">
        <v>22</v>
      </c>
      <c r="E1081" s="321"/>
      <c r="F1081" s="322" t="s">
        <v>201</v>
      </c>
      <c r="G1081" s="323" t="s">
        <v>200</v>
      </c>
      <c r="H1081" s="322" t="s">
        <v>160</v>
      </c>
      <c r="I1081" s="324">
        <v>28</v>
      </c>
      <c r="J1081" s="325"/>
      <c r="K1081" s="325">
        <v>51</v>
      </c>
      <c r="L1081" s="325"/>
      <c r="M1081" s="325"/>
      <c r="N1081" s="325"/>
      <c r="O1081" s="326"/>
      <c r="P1081" s="326"/>
      <c r="Q1081" s="326">
        <f>I1081</f>
        <v>28</v>
      </c>
      <c r="R1081" s="326"/>
      <c r="S1081" s="327"/>
    </row>
    <row r="1082" spans="1:19" ht="15" customHeight="1">
      <c r="A1082" s="561">
        <f t="shared" si="20"/>
        <v>1082</v>
      </c>
      <c r="B1082" s="31">
        <v>117</v>
      </c>
      <c r="C1082" s="249" t="s">
        <v>297</v>
      </c>
      <c r="D1082" s="320" t="s">
        <v>22</v>
      </c>
      <c r="E1082" s="321"/>
      <c r="F1082" s="322" t="s">
        <v>199</v>
      </c>
      <c r="G1082" s="323" t="s">
        <v>202</v>
      </c>
      <c r="H1082" s="322" t="s">
        <v>109</v>
      </c>
      <c r="I1082" s="324">
        <v>10</v>
      </c>
      <c r="J1082" s="325"/>
      <c r="K1082" s="325">
        <v>29</v>
      </c>
      <c r="L1082" s="325"/>
      <c r="M1082" s="325"/>
      <c r="N1082" s="325"/>
      <c r="O1082" s="326"/>
      <c r="P1082" s="326"/>
      <c r="Q1082" s="326">
        <f>I1082</f>
        <v>10</v>
      </c>
      <c r="R1082" s="326"/>
      <c r="S1082" s="327"/>
    </row>
    <row r="1083" spans="1:19" ht="15" customHeight="1">
      <c r="A1083" s="561">
        <f t="shared" si="20"/>
        <v>1083</v>
      </c>
      <c r="B1083" s="31">
        <v>117</v>
      </c>
      <c r="C1083" s="249" t="s">
        <v>297</v>
      </c>
      <c r="D1083" s="320" t="s">
        <v>22</v>
      </c>
      <c r="E1083" s="321"/>
      <c r="F1083" s="322" t="s">
        <v>201</v>
      </c>
      <c r="G1083" s="323" t="s">
        <v>217</v>
      </c>
      <c r="H1083" s="322" t="s">
        <v>160</v>
      </c>
      <c r="I1083" s="324">
        <v>18</v>
      </c>
      <c r="J1083" s="325"/>
      <c r="K1083" s="325">
        <v>55</v>
      </c>
      <c r="L1083" s="325"/>
      <c r="M1083" s="325"/>
      <c r="N1083" s="325"/>
      <c r="O1083" s="326"/>
      <c r="P1083" s="326"/>
      <c r="Q1083" s="326">
        <f>I1083</f>
        <v>18</v>
      </c>
      <c r="R1083" s="326"/>
      <c r="S1083" s="327"/>
    </row>
    <row r="1084" spans="1:19" ht="15" customHeight="1">
      <c r="A1084" s="561">
        <f t="shared" si="20"/>
        <v>1084</v>
      </c>
      <c r="B1084" s="31">
        <v>117</v>
      </c>
      <c r="C1084" s="249" t="s">
        <v>297</v>
      </c>
      <c r="D1084" s="320" t="s">
        <v>22</v>
      </c>
      <c r="E1084" s="321"/>
      <c r="F1084" s="322" t="s">
        <v>218</v>
      </c>
      <c r="G1084" s="323" t="s">
        <v>1838</v>
      </c>
      <c r="H1084" s="322" t="s">
        <v>160</v>
      </c>
      <c r="I1084" s="324">
        <v>4</v>
      </c>
      <c r="J1084" s="325"/>
      <c r="K1084" s="325">
        <v>19</v>
      </c>
      <c r="L1084" s="325"/>
      <c r="M1084" s="325"/>
      <c r="N1084" s="325"/>
      <c r="O1084" s="326"/>
      <c r="P1084" s="326"/>
      <c r="Q1084" s="326">
        <f>I1084</f>
        <v>4</v>
      </c>
      <c r="R1084" s="326"/>
      <c r="S1084" s="327"/>
    </row>
    <row r="1085" spans="1:19" ht="15" customHeight="1">
      <c r="A1085" s="561">
        <f t="shared" si="20"/>
        <v>1085</v>
      </c>
      <c r="B1085" s="31">
        <v>117</v>
      </c>
      <c r="C1085" s="249" t="s">
        <v>297</v>
      </c>
      <c r="D1085" s="320" t="s">
        <v>22</v>
      </c>
      <c r="E1085" s="321"/>
      <c r="F1085" s="322" t="s">
        <v>219</v>
      </c>
      <c r="G1085" s="323" t="s">
        <v>1839</v>
      </c>
      <c r="H1085" s="322" t="s">
        <v>12</v>
      </c>
      <c r="I1085" s="324">
        <v>4</v>
      </c>
      <c r="J1085" s="325"/>
      <c r="K1085" s="325"/>
      <c r="L1085" s="325">
        <v>4</v>
      </c>
      <c r="M1085" s="325"/>
      <c r="N1085" s="325"/>
      <c r="O1085" s="326"/>
      <c r="P1085" s="326">
        <f>I1085</f>
        <v>4</v>
      </c>
      <c r="Q1085" s="326"/>
      <c r="R1085" s="326"/>
      <c r="S1085" s="327"/>
    </row>
    <row r="1086" spans="1:19" ht="15" customHeight="1">
      <c r="A1086" s="561">
        <f t="shared" si="20"/>
        <v>1086</v>
      </c>
      <c r="B1086" s="31">
        <v>117</v>
      </c>
      <c r="C1086" s="249" t="s">
        <v>297</v>
      </c>
      <c r="D1086" s="320" t="s">
        <v>22</v>
      </c>
      <c r="E1086" s="321"/>
      <c r="F1086" s="322" t="s">
        <v>220</v>
      </c>
      <c r="G1086" s="323" t="s">
        <v>170</v>
      </c>
      <c r="H1086" s="322" t="s">
        <v>174</v>
      </c>
      <c r="I1086" s="324">
        <v>144</v>
      </c>
      <c r="J1086" s="325"/>
      <c r="K1086" s="325"/>
      <c r="L1086" s="325">
        <v>68</v>
      </c>
      <c r="M1086" s="325"/>
      <c r="N1086" s="325"/>
      <c r="O1086" s="326"/>
      <c r="P1086" s="326">
        <f>I1086</f>
        <v>144</v>
      </c>
      <c r="Q1086" s="326"/>
      <c r="R1086" s="326"/>
      <c r="S1086" s="327"/>
    </row>
    <row r="1087" spans="1:19" ht="15" customHeight="1">
      <c r="A1087" s="561">
        <f t="shared" si="20"/>
        <v>1087</v>
      </c>
      <c r="B1087" s="31">
        <v>117</v>
      </c>
      <c r="C1087" s="249" t="s">
        <v>297</v>
      </c>
      <c r="D1087" s="320" t="s">
        <v>22</v>
      </c>
      <c r="E1087" s="321"/>
      <c r="F1087" s="322" t="s">
        <v>221</v>
      </c>
      <c r="G1087" s="323" t="s">
        <v>171</v>
      </c>
      <c r="H1087" s="322" t="s">
        <v>12</v>
      </c>
      <c r="I1087" s="324">
        <v>11</v>
      </c>
      <c r="J1087" s="325"/>
      <c r="K1087" s="325"/>
      <c r="L1087" s="325">
        <v>24</v>
      </c>
      <c r="M1087" s="325"/>
      <c r="N1087" s="325"/>
      <c r="O1087" s="326"/>
      <c r="P1087" s="326">
        <f>I1087</f>
        <v>11</v>
      </c>
      <c r="Q1087" s="326"/>
      <c r="R1087" s="326"/>
      <c r="S1087" s="327"/>
    </row>
    <row r="1088" spans="1:19" ht="15" customHeight="1">
      <c r="A1088" s="561">
        <f t="shared" si="20"/>
        <v>1088</v>
      </c>
      <c r="B1088" s="31">
        <v>117</v>
      </c>
      <c r="C1088" s="249" t="s">
        <v>297</v>
      </c>
      <c r="D1088" s="320" t="s">
        <v>22</v>
      </c>
      <c r="E1088" s="321"/>
      <c r="F1088" s="322" t="s">
        <v>222</v>
      </c>
      <c r="G1088" s="323" t="s">
        <v>172</v>
      </c>
      <c r="H1088" s="322" t="s">
        <v>12</v>
      </c>
      <c r="I1088" s="324">
        <v>19</v>
      </c>
      <c r="J1088" s="325"/>
      <c r="K1088" s="325"/>
      <c r="L1088" s="325">
        <v>23</v>
      </c>
      <c r="M1088" s="325"/>
      <c r="N1088" s="325"/>
      <c r="O1088" s="326"/>
      <c r="P1088" s="326">
        <f>I1088</f>
        <v>19</v>
      </c>
      <c r="Q1088" s="326"/>
      <c r="R1088" s="326"/>
      <c r="S1088" s="327"/>
    </row>
    <row r="1089" spans="1:19" ht="15" customHeight="1">
      <c r="A1089" s="561">
        <f t="shared" si="20"/>
        <v>1089</v>
      </c>
      <c r="B1089" s="31">
        <v>117</v>
      </c>
      <c r="C1089" s="249" t="s">
        <v>297</v>
      </c>
      <c r="D1089" s="320" t="s">
        <v>22</v>
      </c>
      <c r="E1089" s="321"/>
      <c r="F1089" s="322" t="s">
        <v>223</v>
      </c>
      <c r="G1089" s="323" t="s">
        <v>173</v>
      </c>
      <c r="H1089" s="322" t="s">
        <v>1328</v>
      </c>
      <c r="I1089" s="324">
        <v>50</v>
      </c>
      <c r="J1089" s="325"/>
      <c r="K1089" s="325"/>
      <c r="L1089" s="325">
        <v>110</v>
      </c>
      <c r="M1089" s="325"/>
      <c r="N1089" s="325"/>
      <c r="O1089" s="326"/>
      <c r="P1089" s="326"/>
      <c r="Q1089" s="326">
        <f>I1089</f>
        <v>50</v>
      </c>
      <c r="R1089" s="326"/>
      <c r="S1089" s="327"/>
    </row>
    <row r="1090" spans="1:19" ht="15" customHeight="1">
      <c r="A1090" s="561">
        <f t="shared" si="20"/>
        <v>1090</v>
      </c>
      <c r="B1090" s="31">
        <v>117</v>
      </c>
      <c r="C1090" s="249" t="s">
        <v>297</v>
      </c>
      <c r="D1090" s="320" t="s">
        <v>22</v>
      </c>
      <c r="E1090" s="321"/>
      <c r="F1090" s="322" t="s">
        <v>110</v>
      </c>
      <c r="G1090" s="323" t="s">
        <v>63</v>
      </c>
      <c r="H1090" s="322" t="s">
        <v>109</v>
      </c>
      <c r="I1090" s="324">
        <v>115</v>
      </c>
      <c r="J1090" s="325"/>
      <c r="K1090" s="325">
        <v>700</v>
      </c>
      <c r="L1090" s="325"/>
      <c r="M1090" s="325"/>
      <c r="N1090" s="325"/>
      <c r="O1090" s="326"/>
      <c r="P1090" s="326"/>
      <c r="Q1090" s="326">
        <f>I1090</f>
        <v>115</v>
      </c>
      <c r="R1090" s="326"/>
      <c r="S1090" s="327"/>
    </row>
    <row r="1091" spans="1:19" ht="15" customHeight="1">
      <c r="A1091" s="561">
        <f t="shared" ref="A1091:A1154" si="22">1+A1090</f>
        <v>1091</v>
      </c>
      <c r="B1091" s="31">
        <v>117</v>
      </c>
      <c r="C1091" s="249" t="s">
        <v>297</v>
      </c>
      <c r="D1091" s="320" t="s">
        <v>22</v>
      </c>
      <c r="E1091" s="321"/>
      <c r="F1091" s="322" t="s">
        <v>108</v>
      </c>
      <c r="G1091" s="323" t="s">
        <v>224</v>
      </c>
      <c r="H1091" s="322" t="s">
        <v>109</v>
      </c>
      <c r="I1091" s="324">
        <v>67</v>
      </c>
      <c r="J1091" s="325"/>
      <c r="K1091" s="325">
        <v>365</v>
      </c>
      <c r="L1091" s="325"/>
      <c r="M1091" s="325"/>
      <c r="N1091" s="325"/>
      <c r="O1091" s="326"/>
      <c r="P1091" s="326"/>
      <c r="Q1091" s="326">
        <f>I1091</f>
        <v>67</v>
      </c>
      <c r="R1091" s="326"/>
      <c r="S1091" s="327"/>
    </row>
    <row r="1092" spans="1:19" ht="15" customHeight="1">
      <c r="A1092" s="561">
        <f t="shared" si="22"/>
        <v>1092</v>
      </c>
      <c r="B1092" s="31">
        <v>117</v>
      </c>
      <c r="C1092" s="249" t="s">
        <v>297</v>
      </c>
      <c r="D1092" s="320" t="s">
        <v>22</v>
      </c>
      <c r="E1092" s="321"/>
      <c r="F1092" s="322" t="s">
        <v>175</v>
      </c>
      <c r="G1092" s="323" t="s">
        <v>16</v>
      </c>
      <c r="H1092" s="322" t="s">
        <v>160</v>
      </c>
      <c r="I1092" s="324">
        <v>3</v>
      </c>
      <c r="J1092" s="325" t="s">
        <v>325</v>
      </c>
      <c r="K1092" s="325"/>
      <c r="L1092" s="325"/>
      <c r="M1092" s="325"/>
      <c r="N1092" s="325"/>
      <c r="O1092" s="326"/>
      <c r="P1092" s="326">
        <f>I1092</f>
        <v>3</v>
      </c>
      <c r="Q1092" s="326"/>
      <c r="R1092" s="326"/>
      <c r="S1092" s="327"/>
    </row>
    <row r="1093" spans="1:19" ht="15" customHeight="1">
      <c r="A1093" s="561">
        <f t="shared" si="22"/>
        <v>1093</v>
      </c>
      <c r="B1093" s="31">
        <v>117</v>
      </c>
      <c r="C1093" s="249" t="s">
        <v>297</v>
      </c>
      <c r="D1093" s="320" t="s">
        <v>22</v>
      </c>
      <c r="E1093" s="321"/>
      <c r="F1093" s="322" t="s">
        <v>175</v>
      </c>
      <c r="G1093" s="323" t="s">
        <v>182</v>
      </c>
      <c r="H1093" s="322" t="s">
        <v>109</v>
      </c>
      <c r="I1093" s="324">
        <v>7</v>
      </c>
      <c r="J1093" s="325"/>
      <c r="K1093" s="325">
        <v>50</v>
      </c>
      <c r="L1093" s="325"/>
      <c r="M1093" s="325"/>
      <c r="N1093" s="325"/>
      <c r="O1093" s="326"/>
      <c r="P1093" s="326"/>
      <c r="Q1093" s="326">
        <f>I1093</f>
        <v>7</v>
      </c>
      <c r="R1093" s="326"/>
      <c r="S1093" s="327"/>
    </row>
    <row r="1094" spans="1:19" ht="15" customHeight="1">
      <c r="A1094" s="561">
        <f t="shared" si="22"/>
        <v>1094</v>
      </c>
      <c r="B1094" s="31">
        <v>117</v>
      </c>
      <c r="C1094" s="249" t="s">
        <v>297</v>
      </c>
      <c r="D1094" s="320" t="s">
        <v>22</v>
      </c>
      <c r="E1094" s="321"/>
      <c r="F1094" s="322" t="s">
        <v>175</v>
      </c>
      <c r="G1094" s="323" t="s">
        <v>183</v>
      </c>
      <c r="H1094" s="322" t="s">
        <v>109</v>
      </c>
      <c r="I1094" s="324">
        <v>19</v>
      </c>
      <c r="J1094" s="325"/>
      <c r="K1094" s="325">
        <v>31</v>
      </c>
      <c r="L1094" s="325"/>
      <c r="M1094" s="325"/>
      <c r="N1094" s="325"/>
      <c r="O1094" s="326"/>
      <c r="P1094" s="326">
        <f>I1094</f>
        <v>19</v>
      </c>
      <c r="Q1094" s="326"/>
      <c r="R1094" s="326"/>
      <c r="S1094" s="327"/>
    </row>
    <row r="1095" spans="1:19" ht="15" customHeight="1">
      <c r="A1095" s="561">
        <f t="shared" si="22"/>
        <v>1095</v>
      </c>
      <c r="B1095" s="31">
        <v>117</v>
      </c>
      <c r="C1095" s="249" t="s">
        <v>297</v>
      </c>
      <c r="D1095" s="320" t="s">
        <v>22</v>
      </c>
      <c r="E1095" s="321"/>
      <c r="F1095" s="322" t="s">
        <v>225</v>
      </c>
      <c r="G1095" s="323" t="s">
        <v>1715</v>
      </c>
      <c r="H1095" s="322" t="s">
        <v>1325</v>
      </c>
      <c r="I1095" s="324">
        <v>15</v>
      </c>
      <c r="J1095" s="325"/>
      <c r="K1095" s="325">
        <v>51</v>
      </c>
      <c r="L1095" s="325"/>
      <c r="M1095" s="325"/>
      <c r="N1095" s="325"/>
      <c r="O1095" s="326"/>
      <c r="P1095" s="326"/>
      <c r="Q1095" s="326">
        <f>I1095</f>
        <v>15</v>
      </c>
      <c r="R1095" s="326"/>
      <c r="S1095" s="327"/>
    </row>
    <row r="1096" spans="1:19" ht="15" customHeight="1">
      <c r="A1096" s="561">
        <f t="shared" si="22"/>
        <v>1096</v>
      </c>
      <c r="B1096" s="31">
        <v>117</v>
      </c>
      <c r="C1096" s="249" t="s">
        <v>297</v>
      </c>
      <c r="D1096" s="320" t="s">
        <v>22</v>
      </c>
      <c r="E1096" s="321"/>
      <c r="F1096" s="322" t="s">
        <v>41</v>
      </c>
      <c r="G1096" s="323" t="s">
        <v>1821</v>
      </c>
      <c r="H1096" s="322" t="s">
        <v>160</v>
      </c>
      <c r="I1096" s="324">
        <v>3</v>
      </c>
      <c r="J1096" s="325"/>
      <c r="K1096" s="325">
        <v>19</v>
      </c>
      <c r="L1096" s="325"/>
      <c r="M1096" s="325"/>
      <c r="N1096" s="325"/>
      <c r="O1096" s="326"/>
      <c r="P1096" s="326"/>
      <c r="Q1096" s="326">
        <f>I1096</f>
        <v>3</v>
      </c>
      <c r="R1096" s="326"/>
      <c r="S1096" s="327"/>
    </row>
    <row r="1097" spans="1:19" ht="15" customHeight="1">
      <c r="A1097" s="561">
        <f t="shared" si="22"/>
        <v>1097</v>
      </c>
      <c r="B1097" s="31">
        <v>117</v>
      </c>
      <c r="C1097" s="249" t="s">
        <v>297</v>
      </c>
      <c r="D1097" s="320" t="s">
        <v>22</v>
      </c>
      <c r="E1097" s="321"/>
      <c r="F1097" s="322" t="s">
        <v>121</v>
      </c>
      <c r="G1097" s="323" t="s">
        <v>1822</v>
      </c>
      <c r="H1097" s="322" t="s">
        <v>148</v>
      </c>
      <c r="I1097" s="324">
        <v>2</v>
      </c>
      <c r="J1097" s="325">
        <v>10</v>
      </c>
      <c r="K1097" s="325"/>
      <c r="L1097" s="325"/>
      <c r="M1097" s="325"/>
      <c r="N1097" s="325"/>
      <c r="O1097" s="326"/>
      <c r="P1097" s="326"/>
      <c r="Q1097" s="326"/>
      <c r="R1097" s="326">
        <f>I1097</f>
        <v>2</v>
      </c>
      <c r="S1097" s="327"/>
    </row>
    <row r="1098" spans="1:19" ht="15" customHeight="1">
      <c r="A1098" s="561">
        <f t="shared" si="22"/>
        <v>1098</v>
      </c>
      <c r="B1098" s="31">
        <v>117</v>
      </c>
      <c r="C1098" s="249" t="s">
        <v>297</v>
      </c>
      <c r="D1098" s="320" t="s">
        <v>22</v>
      </c>
      <c r="E1098" s="321"/>
      <c r="F1098" s="322" t="s">
        <v>120</v>
      </c>
      <c r="G1098" s="323" t="s">
        <v>1768</v>
      </c>
      <c r="H1098" s="322" t="s">
        <v>148</v>
      </c>
      <c r="I1098" s="324">
        <v>2</v>
      </c>
      <c r="J1098" s="325">
        <v>10</v>
      </c>
      <c r="K1098" s="325"/>
      <c r="L1098" s="325"/>
      <c r="M1098" s="325"/>
      <c r="N1098" s="325"/>
      <c r="O1098" s="326"/>
      <c r="P1098" s="326"/>
      <c r="Q1098" s="326"/>
      <c r="R1098" s="326">
        <f>I1098</f>
        <v>2</v>
      </c>
      <c r="S1098" s="327"/>
    </row>
    <row r="1099" spans="1:19" ht="15" customHeight="1">
      <c r="A1099" s="561">
        <f t="shared" si="22"/>
        <v>1099</v>
      </c>
      <c r="B1099" s="31">
        <v>117</v>
      </c>
      <c r="C1099" s="249" t="s">
        <v>297</v>
      </c>
      <c r="D1099" s="320" t="s">
        <v>22</v>
      </c>
      <c r="E1099" s="321"/>
      <c r="F1099" s="322" t="s">
        <v>226</v>
      </c>
      <c r="G1099" s="323" t="s">
        <v>1840</v>
      </c>
      <c r="H1099" s="322" t="s">
        <v>109</v>
      </c>
      <c r="I1099" s="324">
        <v>5</v>
      </c>
      <c r="J1099" s="325"/>
      <c r="K1099" s="325">
        <v>21</v>
      </c>
      <c r="L1099" s="325"/>
      <c r="M1099" s="325"/>
      <c r="N1099" s="325"/>
      <c r="O1099" s="326"/>
      <c r="P1099" s="326"/>
      <c r="Q1099" s="326">
        <f>I1099</f>
        <v>5</v>
      </c>
      <c r="R1099" s="326"/>
      <c r="S1099" s="327"/>
    </row>
    <row r="1100" spans="1:19" ht="15" customHeight="1">
      <c r="A1100" s="561">
        <f t="shared" si="22"/>
        <v>1100</v>
      </c>
      <c r="B1100" s="31">
        <v>117</v>
      </c>
      <c r="C1100" s="249" t="s">
        <v>297</v>
      </c>
      <c r="D1100" s="320" t="s">
        <v>22</v>
      </c>
      <c r="E1100" s="321"/>
      <c r="F1100" s="322" t="s">
        <v>227</v>
      </c>
      <c r="G1100" s="323" t="s">
        <v>1841</v>
      </c>
      <c r="H1100" s="322" t="s">
        <v>109</v>
      </c>
      <c r="I1100" s="324">
        <v>3</v>
      </c>
      <c r="J1100" s="325"/>
      <c r="K1100" s="325">
        <v>10</v>
      </c>
      <c r="L1100" s="325"/>
      <c r="M1100" s="325"/>
      <c r="N1100" s="325"/>
      <c r="O1100" s="326"/>
      <c r="P1100" s="326"/>
      <c r="Q1100" s="326">
        <f>I1100</f>
        <v>3</v>
      </c>
      <c r="R1100" s="326"/>
      <c r="S1100" s="327"/>
    </row>
    <row r="1101" spans="1:19" ht="15" customHeight="1">
      <c r="A1101" s="561">
        <f t="shared" si="22"/>
        <v>1101</v>
      </c>
      <c r="B1101" s="31">
        <v>117</v>
      </c>
      <c r="C1101" s="249" t="s">
        <v>297</v>
      </c>
      <c r="D1101" s="320" t="s">
        <v>22</v>
      </c>
      <c r="E1101" s="321"/>
      <c r="F1101" s="322" t="s">
        <v>228</v>
      </c>
      <c r="G1101" s="323" t="s">
        <v>1842</v>
      </c>
      <c r="H1101" s="322" t="s">
        <v>160</v>
      </c>
      <c r="I1101" s="324">
        <v>2</v>
      </c>
      <c r="J1101" s="325"/>
      <c r="K1101" s="325">
        <v>21</v>
      </c>
      <c r="L1101" s="325"/>
      <c r="M1101" s="325"/>
      <c r="N1101" s="325"/>
      <c r="O1101" s="326"/>
      <c r="P1101" s="326">
        <f>I1101</f>
        <v>2</v>
      </c>
      <c r="Q1101" s="326"/>
      <c r="R1101" s="326"/>
      <c r="S1101" s="327"/>
    </row>
    <row r="1102" spans="1:19" ht="15" customHeight="1">
      <c r="A1102" s="561">
        <f t="shared" si="22"/>
        <v>1102</v>
      </c>
      <c r="B1102" s="31">
        <v>117</v>
      </c>
      <c r="C1102" s="249" t="s">
        <v>297</v>
      </c>
      <c r="D1102" s="320" t="s">
        <v>22</v>
      </c>
      <c r="E1102" s="321"/>
      <c r="F1102" s="322" t="s">
        <v>229</v>
      </c>
      <c r="G1102" s="323" t="s">
        <v>196</v>
      </c>
      <c r="H1102" s="322" t="s">
        <v>176</v>
      </c>
      <c r="I1102" s="324">
        <v>23</v>
      </c>
      <c r="J1102" s="325"/>
      <c r="K1102" s="325">
        <v>32</v>
      </c>
      <c r="L1102" s="325"/>
      <c r="M1102" s="325"/>
      <c r="N1102" s="325"/>
      <c r="O1102" s="326"/>
      <c r="P1102" s="326"/>
      <c r="Q1102" s="326">
        <f>I1102</f>
        <v>23</v>
      </c>
      <c r="R1102" s="326"/>
      <c r="S1102" s="327"/>
    </row>
    <row r="1103" spans="1:19" ht="15" customHeight="1">
      <c r="A1103" s="561">
        <f t="shared" si="22"/>
        <v>1103</v>
      </c>
      <c r="B1103" s="31">
        <v>117</v>
      </c>
      <c r="C1103" s="249" t="s">
        <v>297</v>
      </c>
      <c r="D1103" s="320" t="s">
        <v>22</v>
      </c>
      <c r="E1103" s="321"/>
      <c r="F1103" s="322" t="s">
        <v>230</v>
      </c>
      <c r="G1103" s="323" t="s">
        <v>231</v>
      </c>
      <c r="H1103" s="322" t="s">
        <v>109</v>
      </c>
      <c r="I1103" s="324">
        <v>6</v>
      </c>
      <c r="J1103" s="325"/>
      <c r="K1103" s="325">
        <v>35</v>
      </c>
      <c r="L1103" s="325"/>
      <c r="M1103" s="325"/>
      <c r="N1103" s="325"/>
      <c r="O1103" s="326"/>
      <c r="P1103" s="326">
        <f>I1103</f>
        <v>6</v>
      </c>
      <c r="Q1103" s="326"/>
      <c r="R1103" s="326"/>
      <c r="S1103" s="327"/>
    </row>
    <row r="1104" spans="1:19" ht="15" customHeight="1">
      <c r="A1104" s="561">
        <f t="shared" si="22"/>
        <v>1104</v>
      </c>
      <c r="B1104" s="31">
        <v>117</v>
      </c>
      <c r="C1104" s="249" t="s">
        <v>297</v>
      </c>
      <c r="D1104" s="320" t="s">
        <v>22</v>
      </c>
      <c r="E1104" s="321"/>
      <c r="F1104" s="322" t="s">
        <v>232</v>
      </c>
      <c r="G1104" s="323" t="s">
        <v>207</v>
      </c>
      <c r="H1104" s="322" t="s">
        <v>109</v>
      </c>
      <c r="I1104" s="324">
        <v>2</v>
      </c>
      <c r="J1104" s="325"/>
      <c r="K1104" s="325"/>
      <c r="L1104" s="325">
        <v>15</v>
      </c>
      <c r="M1104" s="325"/>
      <c r="N1104" s="325"/>
      <c r="O1104" s="326"/>
      <c r="P1104" s="326">
        <f>I1104</f>
        <v>2</v>
      </c>
      <c r="Q1104" s="326"/>
      <c r="R1104" s="326"/>
      <c r="S1104" s="327"/>
    </row>
    <row r="1105" spans="1:19" ht="15" customHeight="1">
      <c r="A1105" s="561">
        <f t="shared" si="22"/>
        <v>1105</v>
      </c>
      <c r="B1105" s="31">
        <v>117</v>
      </c>
      <c r="C1105" s="249" t="s">
        <v>297</v>
      </c>
      <c r="D1105" s="320" t="s">
        <v>22</v>
      </c>
      <c r="E1105" s="321"/>
      <c r="F1105" s="322" t="s">
        <v>233</v>
      </c>
      <c r="G1105" s="323" t="s">
        <v>209</v>
      </c>
      <c r="H1105" s="322" t="s">
        <v>12</v>
      </c>
      <c r="I1105" s="324">
        <v>6</v>
      </c>
      <c r="J1105" s="325"/>
      <c r="K1105" s="325"/>
      <c r="L1105" s="325">
        <v>29</v>
      </c>
      <c r="M1105" s="325"/>
      <c r="N1105" s="325"/>
      <c r="O1105" s="326"/>
      <c r="P1105" s="326">
        <f>I1105</f>
        <v>6</v>
      </c>
      <c r="Q1105" s="326"/>
      <c r="R1105" s="326"/>
      <c r="S1105" s="327"/>
    </row>
    <row r="1106" spans="1:19" ht="15" customHeight="1">
      <c r="A1106" s="561">
        <f t="shared" si="22"/>
        <v>1106</v>
      </c>
      <c r="B1106" s="31">
        <v>117</v>
      </c>
      <c r="C1106" s="249" t="s">
        <v>297</v>
      </c>
      <c r="D1106" s="320" t="s">
        <v>22</v>
      </c>
      <c r="E1106" s="321"/>
      <c r="F1106" s="322" t="s">
        <v>175</v>
      </c>
      <c r="G1106" s="323" t="s">
        <v>1843</v>
      </c>
      <c r="H1106" s="322" t="s">
        <v>160</v>
      </c>
      <c r="I1106" s="324">
        <v>12</v>
      </c>
      <c r="J1106" s="325"/>
      <c r="K1106" s="325">
        <v>31</v>
      </c>
      <c r="L1106" s="325"/>
      <c r="M1106" s="325"/>
      <c r="N1106" s="325"/>
      <c r="O1106" s="326"/>
      <c r="P1106" s="326"/>
      <c r="Q1106" s="326">
        <f>I1106</f>
        <v>12</v>
      </c>
      <c r="R1106" s="326"/>
      <c r="S1106" s="327"/>
    </row>
    <row r="1107" spans="1:19" ht="15" customHeight="1">
      <c r="A1107" s="561">
        <f t="shared" si="22"/>
        <v>1107</v>
      </c>
      <c r="B1107" s="31">
        <v>117</v>
      </c>
      <c r="C1107" s="249" t="s">
        <v>297</v>
      </c>
      <c r="D1107" s="320" t="s">
        <v>22</v>
      </c>
      <c r="E1107" s="321"/>
      <c r="F1107" s="322" t="s">
        <v>184</v>
      </c>
      <c r="G1107" s="323" t="s">
        <v>1844</v>
      </c>
      <c r="H1107" s="322" t="s">
        <v>160</v>
      </c>
      <c r="I1107" s="324">
        <v>12</v>
      </c>
      <c r="J1107" s="325"/>
      <c r="K1107" s="325">
        <v>37</v>
      </c>
      <c r="L1107" s="325"/>
      <c r="M1107" s="325"/>
      <c r="N1107" s="325"/>
      <c r="O1107" s="326"/>
      <c r="P1107" s="326"/>
      <c r="Q1107" s="326">
        <f>I1107</f>
        <v>12</v>
      </c>
      <c r="R1107" s="326"/>
      <c r="S1107" s="327"/>
    </row>
    <row r="1108" spans="1:19" ht="15" customHeight="1">
      <c r="A1108" s="561">
        <f t="shared" si="22"/>
        <v>1108</v>
      </c>
      <c r="B1108" s="31">
        <v>117</v>
      </c>
      <c r="C1108" s="249" t="s">
        <v>297</v>
      </c>
      <c r="D1108" s="320" t="s">
        <v>22</v>
      </c>
      <c r="E1108" s="321"/>
      <c r="F1108" s="322" t="s">
        <v>232</v>
      </c>
      <c r="G1108" s="323" t="s">
        <v>1845</v>
      </c>
      <c r="H1108" s="322" t="s">
        <v>12</v>
      </c>
      <c r="I1108" s="324">
        <v>9</v>
      </c>
      <c r="J1108" s="325"/>
      <c r="K1108" s="325">
        <v>39</v>
      </c>
      <c r="L1108" s="325"/>
      <c r="M1108" s="325"/>
      <c r="N1108" s="325"/>
      <c r="O1108" s="326"/>
      <c r="P1108" s="326"/>
      <c r="Q1108" s="326"/>
      <c r="R1108" s="326">
        <f>I1108</f>
        <v>9</v>
      </c>
      <c r="S1108" s="327"/>
    </row>
    <row r="1109" spans="1:19" ht="15" customHeight="1">
      <c r="A1109" s="561">
        <f t="shared" si="22"/>
        <v>1109</v>
      </c>
      <c r="B1109" s="31">
        <v>117</v>
      </c>
      <c r="C1109" s="249" t="s">
        <v>297</v>
      </c>
      <c r="D1109" s="320" t="s">
        <v>22</v>
      </c>
      <c r="E1109" s="321"/>
      <c r="F1109" s="322" t="s">
        <v>234</v>
      </c>
      <c r="G1109" s="323" t="s">
        <v>1846</v>
      </c>
      <c r="H1109" s="322" t="s">
        <v>160</v>
      </c>
      <c r="I1109" s="324">
        <v>22</v>
      </c>
      <c r="J1109" s="325"/>
      <c r="K1109" s="325">
        <v>48</v>
      </c>
      <c r="L1109" s="325"/>
      <c r="M1109" s="325"/>
      <c r="N1109" s="325"/>
      <c r="O1109" s="326"/>
      <c r="P1109" s="326"/>
      <c r="Q1109" s="326">
        <f>I1109</f>
        <v>22</v>
      </c>
      <c r="R1109" s="326"/>
      <c r="S1109" s="327"/>
    </row>
    <row r="1110" spans="1:19" ht="15" customHeight="1">
      <c r="A1110" s="561">
        <f t="shared" si="22"/>
        <v>1110</v>
      </c>
      <c r="B1110" s="31">
        <v>117</v>
      </c>
      <c r="C1110" s="249" t="s">
        <v>297</v>
      </c>
      <c r="D1110" s="320" t="s">
        <v>22</v>
      </c>
      <c r="E1110" s="321"/>
      <c r="F1110" s="322" t="s">
        <v>175</v>
      </c>
      <c r="G1110" s="323" t="s">
        <v>1847</v>
      </c>
      <c r="H1110" s="322" t="s">
        <v>160</v>
      </c>
      <c r="I1110" s="324">
        <v>4</v>
      </c>
      <c r="J1110" s="325"/>
      <c r="K1110" s="325">
        <v>18</v>
      </c>
      <c r="L1110" s="325"/>
      <c r="M1110" s="325"/>
      <c r="N1110" s="325"/>
      <c r="O1110" s="326"/>
      <c r="P1110" s="326"/>
      <c r="Q1110" s="326">
        <f>I1110</f>
        <v>4</v>
      </c>
      <c r="R1110" s="326"/>
      <c r="S1110" s="327"/>
    </row>
    <row r="1111" spans="1:19" ht="15" customHeight="1">
      <c r="A1111" s="561">
        <f t="shared" si="22"/>
        <v>1111</v>
      </c>
      <c r="B1111" s="31">
        <v>117</v>
      </c>
      <c r="C1111" s="249" t="s">
        <v>297</v>
      </c>
      <c r="D1111" s="320" t="s">
        <v>22</v>
      </c>
      <c r="E1111" s="321"/>
      <c r="F1111" s="322" t="s">
        <v>234</v>
      </c>
      <c r="G1111" s="323" t="s">
        <v>1848</v>
      </c>
      <c r="H1111" s="322" t="s">
        <v>160</v>
      </c>
      <c r="I1111" s="324">
        <v>20</v>
      </c>
      <c r="J1111" s="325"/>
      <c r="K1111" s="325">
        <v>59</v>
      </c>
      <c r="L1111" s="325"/>
      <c r="M1111" s="325"/>
      <c r="N1111" s="325"/>
      <c r="O1111" s="326"/>
      <c r="P1111" s="326"/>
      <c r="Q1111" s="326">
        <f>I1111</f>
        <v>20</v>
      </c>
      <c r="R1111" s="326"/>
      <c r="S1111" s="327"/>
    </row>
    <row r="1112" spans="1:19" ht="15" customHeight="1">
      <c r="A1112" s="561">
        <f t="shared" si="22"/>
        <v>1112</v>
      </c>
      <c r="B1112" s="31">
        <v>117</v>
      </c>
      <c r="C1112" s="249" t="s">
        <v>297</v>
      </c>
      <c r="D1112" s="320" t="s">
        <v>22</v>
      </c>
      <c r="E1112" s="321"/>
      <c r="F1112" s="322" t="s">
        <v>235</v>
      </c>
      <c r="G1112" s="323" t="s">
        <v>1828</v>
      </c>
      <c r="H1112" s="322" t="s">
        <v>12</v>
      </c>
      <c r="I1112" s="324">
        <v>57</v>
      </c>
      <c r="J1112" s="325"/>
      <c r="K1112" s="325"/>
      <c r="L1112" s="325">
        <v>77</v>
      </c>
      <c r="M1112" s="325"/>
      <c r="N1112" s="325"/>
      <c r="O1112" s="326"/>
      <c r="P1112" s="326">
        <f>I1112</f>
        <v>57</v>
      </c>
      <c r="Q1112" s="326"/>
      <c r="R1112" s="326"/>
      <c r="S1112" s="327"/>
    </row>
    <row r="1113" spans="1:19" ht="15" customHeight="1">
      <c r="A1113" s="561">
        <f t="shared" si="22"/>
        <v>1113</v>
      </c>
      <c r="B1113" s="31">
        <v>117</v>
      </c>
      <c r="C1113" s="249" t="s">
        <v>297</v>
      </c>
      <c r="D1113" s="320" t="s">
        <v>22</v>
      </c>
      <c r="E1113" s="321"/>
      <c r="F1113" s="322" t="s">
        <v>236</v>
      </c>
      <c r="G1113" s="323" t="s">
        <v>1829</v>
      </c>
      <c r="H1113" s="322" t="s">
        <v>12</v>
      </c>
      <c r="I1113" s="324">
        <v>16</v>
      </c>
      <c r="J1113" s="325"/>
      <c r="K1113" s="325"/>
      <c r="L1113" s="325">
        <v>42</v>
      </c>
      <c r="M1113" s="325"/>
      <c r="N1113" s="325"/>
      <c r="O1113" s="326"/>
      <c r="P1113" s="326">
        <f>I1113</f>
        <v>16</v>
      </c>
      <c r="Q1113" s="326"/>
      <c r="R1113" s="326"/>
      <c r="S1113" s="327"/>
    </row>
    <row r="1114" spans="1:19" ht="15" customHeight="1">
      <c r="A1114" s="561">
        <f t="shared" si="22"/>
        <v>1114</v>
      </c>
      <c r="B1114" s="31">
        <v>117</v>
      </c>
      <c r="C1114" s="249" t="s">
        <v>297</v>
      </c>
      <c r="D1114" s="320" t="s">
        <v>22</v>
      </c>
      <c r="E1114" s="321"/>
      <c r="F1114" s="322" t="s">
        <v>227</v>
      </c>
      <c r="G1114" s="323" t="s">
        <v>1830</v>
      </c>
      <c r="H1114" s="322" t="s">
        <v>160</v>
      </c>
      <c r="I1114" s="324">
        <v>4</v>
      </c>
      <c r="J1114" s="325"/>
      <c r="K1114" s="325">
        <v>10</v>
      </c>
      <c r="L1114" s="325"/>
      <c r="M1114" s="325"/>
      <c r="N1114" s="325"/>
      <c r="O1114" s="326"/>
      <c r="P1114" s="326">
        <f>I1114</f>
        <v>4</v>
      </c>
      <c r="Q1114" s="326"/>
      <c r="R1114" s="326"/>
      <c r="S1114" s="327"/>
    </row>
    <row r="1115" spans="1:19" ht="15" customHeight="1">
      <c r="A1115" s="561">
        <f t="shared" si="22"/>
        <v>1115</v>
      </c>
      <c r="B1115" s="31">
        <v>117</v>
      </c>
      <c r="C1115" s="249" t="s">
        <v>297</v>
      </c>
      <c r="D1115" s="320" t="s">
        <v>22</v>
      </c>
      <c r="E1115" s="321"/>
      <c r="F1115" s="322" t="s">
        <v>54</v>
      </c>
      <c r="G1115" s="323" t="s">
        <v>237</v>
      </c>
      <c r="H1115" s="322" t="s">
        <v>113</v>
      </c>
      <c r="I1115" s="324">
        <v>1511</v>
      </c>
      <c r="J1115" s="325"/>
      <c r="K1115" s="325"/>
      <c r="L1115" s="325"/>
      <c r="M1115" s="325"/>
      <c r="N1115" s="325"/>
      <c r="O1115" s="326">
        <v>1793</v>
      </c>
      <c r="P1115" s="326"/>
      <c r="Q1115" s="326"/>
      <c r="R1115" s="326"/>
      <c r="S1115" s="327"/>
    </row>
    <row r="1116" spans="1:19" ht="15" customHeight="1">
      <c r="A1116" s="561">
        <f t="shared" si="22"/>
        <v>1116</v>
      </c>
      <c r="B1116" s="31">
        <v>117</v>
      </c>
      <c r="C1116" s="249" t="s">
        <v>297</v>
      </c>
      <c r="D1116" s="320" t="s">
        <v>22</v>
      </c>
      <c r="E1116" s="321"/>
      <c r="F1116" s="322" t="s">
        <v>125</v>
      </c>
      <c r="G1116" s="323" t="s">
        <v>101</v>
      </c>
      <c r="H1116" s="322" t="s">
        <v>299</v>
      </c>
      <c r="I1116" s="324">
        <v>4</v>
      </c>
      <c r="J1116" s="325"/>
      <c r="K1116" s="325"/>
      <c r="L1116" s="325"/>
      <c r="M1116" s="325">
        <v>15</v>
      </c>
      <c r="N1116" s="325"/>
      <c r="O1116" s="326"/>
      <c r="P1116" s="326"/>
      <c r="Q1116" s="326"/>
      <c r="R1116" s="326">
        <f>I1116</f>
        <v>4</v>
      </c>
      <c r="S1116" s="327"/>
    </row>
    <row r="1117" spans="1:19" ht="15" customHeight="1">
      <c r="A1117" s="561">
        <f t="shared" si="22"/>
        <v>1117</v>
      </c>
      <c r="B1117" s="31">
        <v>117</v>
      </c>
      <c r="C1117" s="249" t="s">
        <v>297</v>
      </c>
      <c r="D1117" s="320" t="s">
        <v>22</v>
      </c>
      <c r="E1117" s="321"/>
      <c r="F1117" s="322" t="s">
        <v>125</v>
      </c>
      <c r="G1117" s="323" t="s">
        <v>298</v>
      </c>
      <c r="H1117" s="322" t="s">
        <v>299</v>
      </c>
      <c r="I1117" s="324">
        <v>4</v>
      </c>
      <c r="J1117" s="325"/>
      <c r="K1117" s="325"/>
      <c r="L1117" s="325"/>
      <c r="M1117" s="325">
        <v>15</v>
      </c>
      <c r="N1117" s="325"/>
      <c r="O1117" s="326"/>
      <c r="P1117" s="326"/>
      <c r="Q1117" s="326"/>
      <c r="R1117" s="326">
        <f>I1117</f>
        <v>4</v>
      </c>
      <c r="S1117" s="327"/>
    </row>
    <row r="1118" spans="1:19" ht="15" customHeight="1">
      <c r="A1118" s="561">
        <f t="shared" si="22"/>
        <v>1118</v>
      </c>
      <c r="B1118" s="31">
        <v>117</v>
      </c>
      <c r="C1118" s="249" t="s">
        <v>297</v>
      </c>
      <c r="D1118" s="320" t="s">
        <v>22</v>
      </c>
      <c r="E1118" s="321"/>
      <c r="F1118" s="322" t="s">
        <v>164</v>
      </c>
      <c r="G1118" s="323" t="s">
        <v>1849</v>
      </c>
      <c r="H1118" s="322" t="s">
        <v>821</v>
      </c>
      <c r="I1118" s="324">
        <v>27</v>
      </c>
      <c r="J1118" s="325" t="s">
        <v>317</v>
      </c>
      <c r="K1118" s="325"/>
      <c r="L1118" s="325"/>
      <c r="M1118" s="325"/>
      <c r="N1118" s="325"/>
      <c r="O1118" s="326"/>
      <c r="P1118" s="326"/>
      <c r="Q1118" s="326">
        <f t="shared" ref="Q1118:Q1123" si="23">I1118</f>
        <v>27</v>
      </c>
      <c r="R1118" s="326"/>
      <c r="S1118" s="327"/>
    </row>
    <row r="1119" spans="1:19" ht="15" customHeight="1">
      <c r="A1119" s="561">
        <f t="shared" si="22"/>
        <v>1119</v>
      </c>
      <c r="B1119" s="31">
        <v>117</v>
      </c>
      <c r="C1119" s="249" t="s">
        <v>297</v>
      </c>
      <c r="D1119" s="320" t="s">
        <v>22</v>
      </c>
      <c r="E1119" s="321"/>
      <c r="F1119" s="322" t="s">
        <v>164</v>
      </c>
      <c r="G1119" s="323" t="s">
        <v>1832</v>
      </c>
      <c r="H1119" s="322" t="s">
        <v>821</v>
      </c>
      <c r="I1119" s="324">
        <v>27</v>
      </c>
      <c r="J1119" s="325" t="s">
        <v>317</v>
      </c>
      <c r="K1119" s="325"/>
      <c r="L1119" s="325"/>
      <c r="M1119" s="325"/>
      <c r="N1119" s="325"/>
      <c r="O1119" s="326"/>
      <c r="P1119" s="326"/>
      <c r="Q1119" s="326">
        <f t="shared" si="23"/>
        <v>27</v>
      </c>
      <c r="R1119" s="326"/>
      <c r="S1119" s="327"/>
    </row>
    <row r="1120" spans="1:19" ht="15" customHeight="1">
      <c r="A1120" s="561">
        <f t="shared" si="22"/>
        <v>1120</v>
      </c>
      <c r="B1120" s="31">
        <v>117</v>
      </c>
      <c r="C1120" s="249" t="s">
        <v>297</v>
      </c>
      <c r="D1120" s="320" t="s">
        <v>22</v>
      </c>
      <c r="E1120" s="321"/>
      <c r="F1120" s="322" t="s">
        <v>64</v>
      </c>
      <c r="G1120" s="323" t="s">
        <v>1850</v>
      </c>
      <c r="H1120" s="322" t="s">
        <v>68</v>
      </c>
      <c r="I1120" s="324">
        <v>30</v>
      </c>
      <c r="J1120" s="325" t="s">
        <v>317</v>
      </c>
      <c r="K1120" s="325"/>
      <c r="L1120" s="325"/>
      <c r="M1120" s="325"/>
      <c r="N1120" s="325"/>
      <c r="O1120" s="326"/>
      <c r="P1120" s="326"/>
      <c r="Q1120" s="326">
        <f t="shared" si="23"/>
        <v>30</v>
      </c>
      <c r="R1120" s="326"/>
      <c r="S1120" s="327"/>
    </row>
    <row r="1121" spans="1:19" ht="15" customHeight="1">
      <c r="A1121" s="561">
        <f t="shared" si="22"/>
        <v>1121</v>
      </c>
      <c r="B1121" s="31">
        <v>117</v>
      </c>
      <c r="C1121" s="249" t="s">
        <v>297</v>
      </c>
      <c r="D1121" s="320" t="s">
        <v>22</v>
      </c>
      <c r="E1121" s="321"/>
      <c r="F1121" s="322" t="s">
        <v>64</v>
      </c>
      <c r="G1121" s="323" t="s">
        <v>1851</v>
      </c>
      <c r="H1121" s="322" t="s">
        <v>160</v>
      </c>
      <c r="I1121" s="324">
        <v>30</v>
      </c>
      <c r="J1121" s="325" t="s">
        <v>317</v>
      </c>
      <c r="K1121" s="325"/>
      <c r="L1121" s="325"/>
      <c r="M1121" s="325"/>
      <c r="N1121" s="325"/>
      <c r="O1121" s="326"/>
      <c r="P1121" s="326"/>
      <c r="Q1121" s="326">
        <f t="shared" si="23"/>
        <v>30</v>
      </c>
      <c r="R1121" s="326"/>
      <c r="S1121" s="327"/>
    </row>
    <row r="1122" spans="1:19" ht="15" customHeight="1">
      <c r="A1122" s="561">
        <f t="shared" si="22"/>
        <v>1122</v>
      </c>
      <c r="B1122" s="31">
        <v>118</v>
      </c>
      <c r="C1122" s="249" t="s">
        <v>198</v>
      </c>
      <c r="D1122" s="320" t="s">
        <v>22</v>
      </c>
      <c r="E1122" s="321"/>
      <c r="F1122" s="322" t="s">
        <v>199</v>
      </c>
      <c r="G1122" s="323" t="s">
        <v>200</v>
      </c>
      <c r="H1122" s="322" t="s">
        <v>109</v>
      </c>
      <c r="I1122" s="324">
        <v>5</v>
      </c>
      <c r="J1122" s="325"/>
      <c r="K1122" s="325">
        <v>17</v>
      </c>
      <c r="L1122" s="325"/>
      <c r="M1122" s="325"/>
      <c r="N1122" s="325"/>
      <c r="O1122" s="326"/>
      <c r="P1122" s="326"/>
      <c r="Q1122" s="326">
        <f t="shared" si="23"/>
        <v>5</v>
      </c>
      <c r="R1122" s="326"/>
      <c r="S1122" s="327"/>
    </row>
    <row r="1123" spans="1:19" ht="15" customHeight="1">
      <c r="A1123" s="561">
        <f t="shared" si="22"/>
        <v>1123</v>
      </c>
      <c r="B1123" s="31">
        <v>118</v>
      </c>
      <c r="C1123" s="249" t="s">
        <v>198</v>
      </c>
      <c r="D1123" s="320" t="s">
        <v>22</v>
      </c>
      <c r="E1123" s="321"/>
      <c r="F1123" s="322" t="s">
        <v>201</v>
      </c>
      <c r="G1123" s="323" t="s">
        <v>202</v>
      </c>
      <c r="H1123" s="322" t="s">
        <v>160</v>
      </c>
      <c r="I1123" s="324">
        <v>40</v>
      </c>
      <c r="J1123" s="325"/>
      <c r="K1123" s="325">
        <v>29</v>
      </c>
      <c r="L1123" s="325"/>
      <c r="M1123" s="325"/>
      <c r="N1123" s="325"/>
      <c r="O1123" s="326"/>
      <c r="P1123" s="326"/>
      <c r="Q1123" s="326">
        <f t="shared" si="23"/>
        <v>40</v>
      </c>
      <c r="R1123" s="326"/>
      <c r="S1123" s="327"/>
    </row>
    <row r="1124" spans="1:19" ht="15" customHeight="1">
      <c r="A1124" s="561">
        <f t="shared" si="22"/>
        <v>1124</v>
      </c>
      <c r="B1124" s="31">
        <v>118</v>
      </c>
      <c r="C1124" s="249" t="s">
        <v>198</v>
      </c>
      <c r="D1124" s="320" t="s">
        <v>22</v>
      </c>
      <c r="E1124" s="321"/>
      <c r="F1124" s="322" t="s">
        <v>321</v>
      </c>
      <c r="G1124" s="323" t="s">
        <v>170</v>
      </c>
      <c r="H1124" s="322" t="s">
        <v>12</v>
      </c>
      <c r="I1124" s="324">
        <v>36</v>
      </c>
      <c r="J1124" s="325"/>
      <c r="K1124" s="325"/>
      <c r="L1124" s="325">
        <v>31</v>
      </c>
      <c r="M1124" s="325"/>
      <c r="N1124" s="325"/>
      <c r="O1124" s="326"/>
      <c r="P1124" s="326">
        <f>I1124</f>
        <v>36</v>
      </c>
      <c r="Q1124" s="326"/>
      <c r="R1124" s="326"/>
      <c r="S1124" s="327"/>
    </row>
    <row r="1125" spans="1:19" ht="15" customHeight="1">
      <c r="A1125" s="561">
        <f t="shared" si="22"/>
        <v>1125</v>
      </c>
      <c r="B1125" s="31">
        <v>118</v>
      </c>
      <c r="C1125" s="249" t="s">
        <v>198</v>
      </c>
      <c r="D1125" s="320" t="s">
        <v>22</v>
      </c>
      <c r="E1125" s="321"/>
      <c r="F1125" s="322" t="s">
        <v>322</v>
      </c>
      <c r="G1125" s="323" t="s">
        <v>171</v>
      </c>
      <c r="H1125" s="322" t="s">
        <v>12</v>
      </c>
      <c r="I1125" s="324">
        <v>11</v>
      </c>
      <c r="J1125" s="325"/>
      <c r="K1125" s="325"/>
      <c r="L1125" s="325">
        <v>14</v>
      </c>
      <c r="M1125" s="325"/>
      <c r="N1125" s="325"/>
      <c r="O1125" s="326"/>
      <c r="P1125" s="326">
        <f>I1125</f>
        <v>11</v>
      </c>
      <c r="Q1125" s="326"/>
      <c r="R1125" s="326"/>
      <c r="S1125" s="327"/>
    </row>
    <row r="1126" spans="1:19" ht="15" customHeight="1">
      <c r="A1126" s="561">
        <f t="shared" si="22"/>
        <v>1126</v>
      </c>
      <c r="B1126" s="31">
        <v>118</v>
      </c>
      <c r="C1126" s="249" t="s">
        <v>198</v>
      </c>
      <c r="D1126" s="320" t="s">
        <v>22</v>
      </c>
      <c r="E1126" s="321"/>
      <c r="F1126" s="322" t="s">
        <v>323</v>
      </c>
      <c r="G1126" s="323" t="s">
        <v>172</v>
      </c>
      <c r="H1126" s="322" t="s">
        <v>12</v>
      </c>
      <c r="I1126" s="324">
        <v>8</v>
      </c>
      <c r="J1126" s="325"/>
      <c r="K1126" s="325"/>
      <c r="L1126" s="325">
        <v>11</v>
      </c>
      <c r="M1126" s="325"/>
      <c r="N1126" s="325"/>
      <c r="O1126" s="326"/>
      <c r="P1126" s="326">
        <f>I1126</f>
        <v>8</v>
      </c>
      <c r="Q1126" s="326"/>
      <c r="R1126" s="326"/>
      <c r="S1126" s="327"/>
    </row>
    <row r="1127" spans="1:19" ht="15" customHeight="1">
      <c r="A1127" s="561">
        <f t="shared" si="22"/>
        <v>1127</v>
      </c>
      <c r="B1127" s="31">
        <v>118</v>
      </c>
      <c r="C1127" s="249" t="s">
        <v>198</v>
      </c>
      <c r="D1127" s="320" t="s">
        <v>22</v>
      </c>
      <c r="E1127" s="321"/>
      <c r="F1127" s="322" t="s">
        <v>221</v>
      </c>
      <c r="G1127" s="323" t="s">
        <v>173</v>
      </c>
      <c r="H1127" s="322" t="s">
        <v>12</v>
      </c>
      <c r="I1127" s="324">
        <v>9</v>
      </c>
      <c r="J1127" s="325"/>
      <c r="K1127" s="325"/>
      <c r="L1127" s="325">
        <v>11</v>
      </c>
      <c r="M1127" s="325"/>
      <c r="N1127" s="325"/>
      <c r="O1127" s="326"/>
      <c r="P1127" s="326">
        <f>I1127</f>
        <v>9</v>
      </c>
      <c r="Q1127" s="326"/>
      <c r="R1127" s="326"/>
      <c r="S1127" s="327"/>
    </row>
    <row r="1128" spans="1:19" ht="15" customHeight="1">
      <c r="A1128" s="561">
        <f t="shared" si="22"/>
        <v>1128</v>
      </c>
      <c r="B1128" s="31">
        <v>118</v>
      </c>
      <c r="C1128" s="249" t="s">
        <v>198</v>
      </c>
      <c r="D1128" s="320" t="s">
        <v>22</v>
      </c>
      <c r="E1128" s="321"/>
      <c r="F1128" s="322" t="s">
        <v>324</v>
      </c>
      <c r="G1128" s="323" t="s">
        <v>1819</v>
      </c>
      <c r="H1128" s="322" t="s">
        <v>12</v>
      </c>
      <c r="I1128" s="324">
        <v>29</v>
      </c>
      <c r="J1128" s="325"/>
      <c r="K1128" s="325"/>
      <c r="L1128" s="325">
        <v>21</v>
      </c>
      <c r="M1128" s="325"/>
      <c r="N1128" s="325"/>
      <c r="O1128" s="326"/>
      <c r="P1128" s="326">
        <f>I1128</f>
        <v>29</v>
      </c>
      <c r="Q1128" s="326"/>
      <c r="R1128" s="326"/>
      <c r="S1128" s="327"/>
    </row>
    <row r="1129" spans="1:19" ht="15" customHeight="1">
      <c r="A1129" s="561">
        <f t="shared" si="22"/>
        <v>1129</v>
      </c>
      <c r="B1129" s="31">
        <v>118</v>
      </c>
      <c r="C1129" s="249" t="s">
        <v>198</v>
      </c>
      <c r="D1129" s="320" t="s">
        <v>22</v>
      </c>
      <c r="E1129" s="321"/>
      <c r="F1129" s="322" t="s">
        <v>143</v>
      </c>
      <c r="G1129" s="323" t="s">
        <v>63</v>
      </c>
      <c r="H1129" s="322" t="s">
        <v>109</v>
      </c>
      <c r="I1129" s="324">
        <v>188</v>
      </c>
      <c r="J1129" s="325"/>
      <c r="K1129" s="325">
        <v>470</v>
      </c>
      <c r="L1129" s="325"/>
      <c r="M1129" s="325"/>
      <c r="N1129" s="325"/>
      <c r="O1129" s="326"/>
      <c r="P1129" s="326"/>
      <c r="Q1129" s="326">
        <f>I1129</f>
        <v>188</v>
      </c>
      <c r="R1129" s="326"/>
      <c r="S1129" s="327"/>
    </row>
    <row r="1130" spans="1:19" ht="15" customHeight="1">
      <c r="A1130" s="561">
        <f t="shared" si="22"/>
        <v>1130</v>
      </c>
      <c r="B1130" s="31">
        <v>118</v>
      </c>
      <c r="C1130" s="249" t="s">
        <v>198</v>
      </c>
      <c r="D1130" s="320" t="s">
        <v>22</v>
      </c>
      <c r="E1130" s="321"/>
      <c r="F1130" s="322" t="s">
        <v>175</v>
      </c>
      <c r="G1130" s="323" t="s">
        <v>16</v>
      </c>
      <c r="H1130" s="322" t="s">
        <v>109</v>
      </c>
      <c r="I1130" s="324">
        <v>6</v>
      </c>
      <c r="J1130" s="325"/>
      <c r="K1130" s="325">
        <v>31</v>
      </c>
      <c r="L1130" s="325"/>
      <c r="M1130" s="325"/>
      <c r="N1130" s="325"/>
      <c r="O1130" s="326"/>
      <c r="P1130" s="326"/>
      <c r="Q1130" s="326">
        <f>I1130</f>
        <v>6</v>
      </c>
      <c r="R1130" s="326"/>
      <c r="S1130" s="327"/>
    </row>
    <row r="1131" spans="1:19" ht="15" customHeight="1">
      <c r="A1131" s="561">
        <f t="shared" si="22"/>
        <v>1131</v>
      </c>
      <c r="B1131" s="31">
        <v>118</v>
      </c>
      <c r="C1131" s="249" t="s">
        <v>198</v>
      </c>
      <c r="D1131" s="320" t="s">
        <v>22</v>
      </c>
      <c r="E1131" s="321"/>
      <c r="F1131" s="322" t="s">
        <v>156</v>
      </c>
      <c r="G1131" s="323" t="s">
        <v>1715</v>
      </c>
      <c r="H1131" s="322" t="s">
        <v>176</v>
      </c>
      <c r="I1131" s="324">
        <v>24</v>
      </c>
      <c r="J1131" s="325"/>
      <c r="K1131" s="325">
        <v>72</v>
      </c>
      <c r="L1131" s="325"/>
      <c r="M1131" s="325"/>
      <c r="N1131" s="325"/>
      <c r="O1131" s="326"/>
      <c r="P1131" s="326"/>
      <c r="Q1131" s="326">
        <f>I1131</f>
        <v>24</v>
      </c>
      <c r="R1131" s="326"/>
      <c r="S1131" s="327"/>
    </row>
    <row r="1132" spans="1:19" ht="15" customHeight="1">
      <c r="A1132" s="561">
        <f t="shared" si="22"/>
        <v>1132</v>
      </c>
      <c r="B1132" s="31">
        <v>118</v>
      </c>
      <c r="C1132" s="249" t="s">
        <v>198</v>
      </c>
      <c r="D1132" s="320" t="s">
        <v>22</v>
      </c>
      <c r="E1132" s="321"/>
      <c r="F1132" s="322" t="s">
        <v>36</v>
      </c>
      <c r="G1132" s="323" t="s">
        <v>1852</v>
      </c>
      <c r="H1132" s="322" t="s">
        <v>160</v>
      </c>
      <c r="I1132" s="324">
        <v>10</v>
      </c>
      <c r="J1132" s="325"/>
      <c r="K1132" s="325"/>
      <c r="L1132" s="325">
        <v>29</v>
      </c>
      <c r="M1132" s="325"/>
      <c r="N1132" s="325"/>
      <c r="O1132" s="326"/>
      <c r="P1132" s="326">
        <f>I1132</f>
        <v>10</v>
      </c>
      <c r="Q1132" s="326"/>
      <c r="R1132" s="326"/>
      <c r="S1132" s="327"/>
    </row>
    <row r="1133" spans="1:19" ht="15" customHeight="1">
      <c r="A1133" s="561">
        <f t="shared" si="22"/>
        <v>1133</v>
      </c>
      <c r="B1133" s="31">
        <v>118</v>
      </c>
      <c r="C1133" s="249" t="s">
        <v>198</v>
      </c>
      <c r="D1133" s="320" t="s">
        <v>22</v>
      </c>
      <c r="E1133" s="321"/>
      <c r="F1133" s="322" t="s">
        <v>203</v>
      </c>
      <c r="G1133" s="323" t="s">
        <v>1853</v>
      </c>
      <c r="H1133" s="322" t="s">
        <v>160</v>
      </c>
      <c r="I1133" s="324">
        <v>7</v>
      </c>
      <c r="J1133" s="325"/>
      <c r="K1133" s="325"/>
      <c r="L1133" s="325">
        <v>26</v>
      </c>
      <c r="M1133" s="325"/>
      <c r="N1133" s="325"/>
      <c r="O1133" s="326"/>
      <c r="P1133" s="326">
        <f>I1133</f>
        <v>7</v>
      </c>
      <c r="Q1133" s="326"/>
      <c r="R1133" s="326"/>
      <c r="S1133" s="327"/>
    </row>
    <row r="1134" spans="1:19" ht="15" customHeight="1">
      <c r="A1134" s="561">
        <f t="shared" si="22"/>
        <v>1134</v>
      </c>
      <c r="B1134" s="31">
        <v>118</v>
      </c>
      <c r="C1134" s="249" t="s">
        <v>198</v>
      </c>
      <c r="D1134" s="320" t="s">
        <v>22</v>
      </c>
      <c r="E1134" s="321"/>
      <c r="F1134" s="322" t="s">
        <v>37</v>
      </c>
      <c r="G1134" s="323" t="s">
        <v>1820</v>
      </c>
      <c r="H1134" s="322" t="s">
        <v>160</v>
      </c>
      <c r="I1134" s="324">
        <v>9</v>
      </c>
      <c r="J1134" s="325"/>
      <c r="K1134" s="325"/>
      <c r="L1134" s="325">
        <v>27</v>
      </c>
      <c r="M1134" s="325"/>
      <c r="N1134" s="325"/>
      <c r="O1134" s="326"/>
      <c r="P1134" s="326">
        <f>I1134</f>
        <v>9</v>
      </c>
      <c r="Q1134" s="326"/>
      <c r="R1134" s="326"/>
      <c r="S1134" s="327"/>
    </row>
    <row r="1135" spans="1:19" ht="15" customHeight="1">
      <c r="A1135" s="561">
        <f t="shared" si="22"/>
        <v>1135</v>
      </c>
      <c r="B1135" s="31">
        <v>118</v>
      </c>
      <c r="C1135" s="249" t="s">
        <v>198</v>
      </c>
      <c r="D1135" s="320" t="s">
        <v>22</v>
      </c>
      <c r="E1135" s="321"/>
      <c r="F1135" s="322" t="s">
        <v>204</v>
      </c>
      <c r="G1135" s="323" t="s">
        <v>1822</v>
      </c>
      <c r="H1135" s="322" t="s">
        <v>148</v>
      </c>
      <c r="I1135" s="324">
        <v>4</v>
      </c>
      <c r="J1135" s="325">
        <v>23</v>
      </c>
      <c r="K1135" s="325"/>
      <c r="L1135" s="325"/>
      <c r="M1135" s="325"/>
      <c r="N1135" s="325"/>
      <c r="O1135" s="326"/>
      <c r="P1135" s="326"/>
      <c r="Q1135" s="326"/>
      <c r="R1135" s="326">
        <f>I1135</f>
        <v>4</v>
      </c>
      <c r="S1135" s="327"/>
    </row>
    <row r="1136" spans="1:19" ht="15" customHeight="1">
      <c r="A1136" s="561">
        <f t="shared" si="22"/>
        <v>1136</v>
      </c>
      <c r="B1136" s="31">
        <v>118</v>
      </c>
      <c r="C1136" s="249" t="s">
        <v>198</v>
      </c>
      <c r="D1136" s="320" t="s">
        <v>22</v>
      </c>
      <c r="E1136" s="321"/>
      <c r="F1136" s="322" t="s">
        <v>205</v>
      </c>
      <c r="G1136" s="323" t="s">
        <v>1768</v>
      </c>
      <c r="H1136" s="322" t="s">
        <v>148</v>
      </c>
      <c r="I1136" s="324">
        <v>4</v>
      </c>
      <c r="J1136" s="325">
        <v>23</v>
      </c>
      <c r="K1136" s="325"/>
      <c r="L1136" s="325"/>
      <c r="M1136" s="325"/>
      <c r="N1136" s="325"/>
      <c r="O1136" s="326"/>
      <c r="P1136" s="326"/>
      <c r="Q1136" s="326"/>
      <c r="R1136" s="326">
        <f>I1136</f>
        <v>4</v>
      </c>
      <c r="S1136" s="327"/>
    </row>
    <row r="1137" spans="1:19" ht="15" customHeight="1">
      <c r="A1137" s="561">
        <f t="shared" si="22"/>
        <v>1137</v>
      </c>
      <c r="B1137" s="31">
        <v>118</v>
      </c>
      <c r="C1137" s="249" t="s">
        <v>198</v>
      </c>
      <c r="D1137" s="320" t="s">
        <v>22</v>
      </c>
      <c r="E1137" s="321"/>
      <c r="F1137" s="322" t="s">
        <v>206</v>
      </c>
      <c r="G1137" s="323" t="s">
        <v>1823</v>
      </c>
      <c r="H1137" s="322" t="s">
        <v>160</v>
      </c>
      <c r="I1137" s="324">
        <v>4</v>
      </c>
      <c r="J1137" s="325"/>
      <c r="K1137" s="325">
        <v>77</v>
      </c>
      <c r="L1137" s="325"/>
      <c r="M1137" s="325"/>
      <c r="N1137" s="325"/>
      <c r="O1137" s="326"/>
      <c r="P1137" s="326"/>
      <c r="Q1137" s="326">
        <f>I1137</f>
        <v>4</v>
      </c>
      <c r="R1137" s="326"/>
      <c r="S1137" s="327"/>
    </row>
    <row r="1138" spans="1:19" ht="15" customHeight="1">
      <c r="A1138" s="561">
        <f t="shared" si="22"/>
        <v>1138</v>
      </c>
      <c r="B1138" s="31">
        <v>118</v>
      </c>
      <c r="C1138" s="249" t="s">
        <v>198</v>
      </c>
      <c r="D1138" s="320" t="s">
        <v>22</v>
      </c>
      <c r="E1138" s="321"/>
      <c r="F1138" s="322" t="s">
        <v>125</v>
      </c>
      <c r="G1138" s="323" t="s">
        <v>191</v>
      </c>
      <c r="H1138" s="322" t="s">
        <v>299</v>
      </c>
      <c r="I1138" s="324">
        <v>4</v>
      </c>
      <c r="J1138" s="325"/>
      <c r="K1138" s="325"/>
      <c r="L1138" s="325"/>
      <c r="M1138" s="325">
        <v>15</v>
      </c>
      <c r="N1138" s="325"/>
      <c r="O1138" s="326"/>
      <c r="P1138" s="326"/>
      <c r="Q1138" s="326"/>
      <c r="R1138" s="326">
        <f>I1138</f>
        <v>4</v>
      </c>
      <c r="S1138" s="327"/>
    </row>
    <row r="1139" spans="1:19" ht="15" customHeight="1">
      <c r="A1139" s="561">
        <f t="shared" si="22"/>
        <v>1139</v>
      </c>
      <c r="B1139" s="31">
        <v>118</v>
      </c>
      <c r="C1139" s="249" t="s">
        <v>198</v>
      </c>
      <c r="D1139" s="320" t="s">
        <v>22</v>
      </c>
      <c r="E1139" s="321"/>
      <c r="F1139" s="322" t="s">
        <v>129</v>
      </c>
      <c r="G1139" s="323" t="s">
        <v>207</v>
      </c>
      <c r="H1139" s="322" t="s">
        <v>160</v>
      </c>
      <c r="I1139" s="324">
        <v>13</v>
      </c>
      <c r="J1139" s="325"/>
      <c r="K1139" s="325">
        <v>49</v>
      </c>
      <c r="L1139" s="325"/>
      <c r="M1139" s="325"/>
      <c r="N1139" s="325"/>
      <c r="O1139" s="326"/>
      <c r="P1139" s="326"/>
      <c r="Q1139" s="326">
        <f>I1139</f>
        <v>13</v>
      </c>
      <c r="R1139" s="326"/>
      <c r="S1139" s="327"/>
    </row>
    <row r="1140" spans="1:19" ht="15" customHeight="1">
      <c r="A1140" s="561">
        <f t="shared" si="22"/>
        <v>1140</v>
      </c>
      <c r="B1140" s="31">
        <v>118</v>
      </c>
      <c r="C1140" s="249" t="s">
        <v>198</v>
      </c>
      <c r="D1140" s="320" t="s">
        <v>22</v>
      </c>
      <c r="E1140" s="321"/>
      <c r="F1140" s="322" t="s">
        <v>208</v>
      </c>
      <c r="G1140" s="323" t="s">
        <v>209</v>
      </c>
      <c r="H1140" s="322" t="s">
        <v>109</v>
      </c>
      <c r="I1140" s="324">
        <v>1</v>
      </c>
      <c r="J1140" s="325">
        <v>4</v>
      </c>
      <c r="K1140" s="325"/>
      <c r="L1140" s="325"/>
      <c r="M1140" s="325"/>
      <c r="N1140" s="325"/>
      <c r="O1140" s="326"/>
      <c r="P1140" s="326">
        <f>I1140</f>
        <v>1</v>
      </c>
      <c r="Q1140" s="326"/>
      <c r="R1140" s="326"/>
      <c r="S1140" s="327"/>
    </row>
    <row r="1141" spans="1:19" ht="15" customHeight="1">
      <c r="A1141" s="561">
        <f t="shared" si="22"/>
        <v>1141</v>
      </c>
      <c r="B1141" s="31">
        <v>118</v>
      </c>
      <c r="C1141" s="249" t="s">
        <v>198</v>
      </c>
      <c r="D1141" s="320" t="s">
        <v>22</v>
      </c>
      <c r="E1141" s="321"/>
      <c r="F1141" s="322" t="s">
        <v>54</v>
      </c>
      <c r="G1141" s="323" t="s">
        <v>15</v>
      </c>
      <c r="H1141" s="322" t="s">
        <v>113</v>
      </c>
      <c r="I1141" s="324">
        <v>1340</v>
      </c>
      <c r="J1141" s="325"/>
      <c r="K1141" s="325"/>
      <c r="L1141" s="325"/>
      <c r="M1141" s="325"/>
      <c r="N1141" s="325"/>
      <c r="O1141" s="326">
        <v>536</v>
      </c>
      <c r="P1141" s="326"/>
      <c r="Q1141" s="326"/>
      <c r="R1141" s="326"/>
      <c r="S1141" s="327"/>
    </row>
    <row r="1142" spans="1:19" ht="15" customHeight="1">
      <c r="A1142" s="561">
        <f t="shared" si="22"/>
        <v>1142</v>
      </c>
      <c r="B1142" s="31">
        <v>118</v>
      </c>
      <c r="C1142" s="249" t="s">
        <v>198</v>
      </c>
      <c r="D1142" s="320" t="s">
        <v>22</v>
      </c>
      <c r="E1142" s="321"/>
      <c r="F1142" s="322" t="s">
        <v>210</v>
      </c>
      <c r="G1142" s="323" t="s">
        <v>1719</v>
      </c>
      <c r="H1142" s="322" t="s">
        <v>68</v>
      </c>
      <c r="I1142" s="324">
        <v>30</v>
      </c>
      <c r="J1142" s="325" t="s">
        <v>317</v>
      </c>
      <c r="K1142" s="325"/>
      <c r="L1142" s="325"/>
      <c r="M1142" s="325"/>
      <c r="N1142" s="325"/>
      <c r="O1142" s="326"/>
      <c r="P1142" s="326"/>
      <c r="Q1142" s="326">
        <f>I1142</f>
        <v>30</v>
      </c>
      <c r="R1142" s="326"/>
      <c r="S1142" s="327"/>
    </row>
    <row r="1143" spans="1:19" ht="15" customHeight="1">
      <c r="A1143" s="561">
        <f t="shared" si="22"/>
        <v>1143</v>
      </c>
      <c r="B1143" s="31">
        <v>118</v>
      </c>
      <c r="C1143" s="249" t="s">
        <v>198</v>
      </c>
      <c r="D1143" s="320" t="s">
        <v>22</v>
      </c>
      <c r="E1143" s="321"/>
      <c r="F1143" s="322" t="s">
        <v>211</v>
      </c>
      <c r="G1143" s="323" t="s">
        <v>1826</v>
      </c>
      <c r="H1143" s="322" t="s">
        <v>160</v>
      </c>
      <c r="I1143" s="324">
        <v>19</v>
      </c>
      <c r="J1143" s="325"/>
      <c r="K1143" s="325">
        <v>18</v>
      </c>
      <c r="L1143" s="325"/>
      <c r="M1143" s="325"/>
      <c r="N1143" s="325"/>
      <c r="O1143" s="326"/>
      <c r="P1143" s="326"/>
      <c r="Q1143" s="326">
        <f>I1143</f>
        <v>19</v>
      </c>
      <c r="R1143" s="326"/>
      <c r="S1143" s="327"/>
    </row>
    <row r="1144" spans="1:19" ht="15" customHeight="1">
      <c r="A1144" s="561">
        <f t="shared" si="22"/>
        <v>1144</v>
      </c>
      <c r="B1144" s="31">
        <v>118</v>
      </c>
      <c r="C1144" s="249" t="s">
        <v>198</v>
      </c>
      <c r="D1144" s="320" t="s">
        <v>22</v>
      </c>
      <c r="E1144" s="321"/>
      <c r="F1144" s="322" t="s">
        <v>164</v>
      </c>
      <c r="G1144" s="323" t="s">
        <v>1832</v>
      </c>
      <c r="H1144" s="322" t="s">
        <v>821</v>
      </c>
      <c r="I1144" s="324">
        <v>27</v>
      </c>
      <c r="J1144" s="325" t="s">
        <v>317</v>
      </c>
      <c r="K1144" s="325"/>
      <c r="L1144" s="325"/>
      <c r="M1144" s="325"/>
      <c r="N1144" s="325"/>
      <c r="O1144" s="326"/>
      <c r="P1144" s="326"/>
      <c r="Q1144" s="326">
        <f>I1144</f>
        <v>27</v>
      </c>
      <c r="R1144" s="326"/>
      <c r="S1144" s="327"/>
    </row>
    <row r="1145" spans="1:19" ht="15" customHeight="1">
      <c r="A1145" s="561">
        <f t="shared" si="22"/>
        <v>1145</v>
      </c>
      <c r="B1145" s="31">
        <v>119</v>
      </c>
      <c r="C1145" s="249" t="s">
        <v>311</v>
      </c>
      <c r="D1145" s="320" t="s">
        <v>22</v>
      </c>
      <c r="E1145" s="321"/>
      <c r="F1145" s="322" t="s">
        <v>143</v>
      </c>
      <c r="G1145" s="323" t="s">
        <v>63</v>
      </c>
      <c r="H1145" s="322" t="s">
        <v>109</v>
      </c>
      <c r="I1145" s="324">
        <v>190</v>
      </c>
      <c r="J1145" s="325"/>
      <c r="K1145" s="325"/>
      <c r="L1145" s="325"/>
      <c r="M1145" s="325"/>
      <c r="N1145" s="325"/>
      <c r="O1145" s="326"/>
      <c r="P1145" s="326"/>
      <c r="Q1145" s="326"/>
      <c r="R1145" s="326">
        <f>I1145</f>
        <v>190</v>
      </c>
      <c r="S1145" s="327"/>
    </row>
    <row r="1146" spans="1:19" ht="15" customHeight="1">
      <c r="A1146" s="561">
        <f t="shared" si="22"/>
        <v>1146</v>
      </c>
      <c r="B1146" s="31">
        <v>119</v>
      </c>
      <c r="C1146" s="249" t="s">
        <v>311</v>
      </c>
      <c r="D1146" s="320" t="s">
        <v>22</v>
      </c>
      <c r="E1146" s="321"/>
      <c r="F1146" s="322" t="s">
        <v>175</v>
      </c>
      <c r="G1146" s="323" t="s">
        <v>16</v>
      </c>
      <c r="H1146" s="322" t="s">
        <v>176</v>
      </c>
      <c r="I1146" s="324">
        <v>37</v>
      </c>
      <c r="J1146" s="325"/>
      <c r="K1146" s="325">
        <v>111</v>
      </c>
      <c r="L1146" s="325"/>
      <c r="M1146" s="325"/>
      <c r="N1146" s="325"/>
      <c r="O1146" s="326"/>
      <c r="P1146" s="326"/>
      <c r="Q1146" s="326">
        <f>I1146</f>
        <v>37</v>
      </c>
      <c r="R1146" s="326">
        <f>I1146</f>
        <v>37</v>
      </c>
      <c r="S1146" s="327"/>
    </row>
    <row r="1147" spans="1:19" ht="15" customHeight="1">
      <c r="A1147" s="561">
        <f t="shared" si="22"/>
        <v>1147</v>
      </c>
      <c r="B1147" s="31">
        <v>119</v>
      </c>
      <c r="C1147" s="249" t="s">
        <v>311</v>
      </c>
      <c r="D1147" s="320" t="s">
        <v>22</v>
      </c>
      <c r="E1147" s="321"/>
      <c r="F1147" s="322" t="s">
        <v>64</v>
      </c>
      <c r="G1147" s="323" t="s">
        <v>182</v>
      </c>
      <c r="H1147" s="322" t="s">
        <v>160</v>
      </c>
      <c r="I1147" s="324">
        <v>6</v>
      </c>
      <c r="J1147" s="325"/>
      <c r="K1147" s="325"/>
      <c r="L1147" s="325"/>
      <c r="M1147" s="325"/>
      <c r="N1147" s="325"/>
      <c r="O1147" s="326"/>
      <c r="P1147" s="326"/>
      <c r="Q1147" s="326"/>
      <c r="R1147" s="326">
        <f>I1147</f>
        <v>6</v>
      </c>
      <c r="S1147" s="327"/>
    </row>
    <row r="1148" spans="1:19" ht="15" customHeight="1">
      <c r="A1148" s="561">
        <f t="shared" si="22"/>
        <v>1148</v>
      </c>
      <c r="B1148" s="31">
        <v>119</v>
      </c>
      <c r="C1148" s="249" t="s">
        <v>311</v>
      </c>
      <c r="D1148" s="320" t="s">
        <v>22</v>
      </c>
      <c r="E1148" s="321"/>
      <c r="F1148" s="322" t="s">
        <v>177</v>
      </c>
      <c r="G1148" s="323" t="s">
        <v>1767</v>
      </c>
      <c r="H1148" s="322" t="s">
        <v>160</v>
      </c>
      <c r="I1148" s="324">
        <v>9</v>
      </c>
      <c r="J1148" s="325"/>
      <c r="K1148" s="325"/>
      <c r="L1148" s="325">
        <v>39</v>
      </c>
      <c r="M1148" s="325"/>
      <c r="N1148" s="325"/>
      <c r="O1148" s="326"/>
      <c r="P1148" s="326">
        <f>I1148</f>
        <v>9</v>
      </c>
      <c r="Q1148" s="326"/>
      <c r="R1148" s="326"/>
      <c r="S1148" s="327"/>
    </row>
    <row r="1149" spans="1:19" ht="15" customHeight="1">
      <c r="A1149" s="561">
        <f t="shared" si="22"/>
        <v>1149</v>
      </c>
      <c r="B1149" s="31">
        <v>119</v>
      </c>
      <c r="C1149" s="249" t="s">
        <v>311</v>
      </c>
      <c r="D1149" s="320" t="s">
        <v>22</v>
      </c>
      <c r="E1149" s="321"/>
      <c r="F1149" s="322" t="s">
        <v>304</v>
      </c>
      <c r="G1149" s="323" t="s">
        <v>1853</v>
      </c>
      <c r="H1149" s="322" t="s">
        <v>160</v>
      </c>
      <c r="I1149" s="324">
        <v>4</v>
      </c>
      <c r="J1149" s="325"/>
      <c r="K1149" s="325">
        <v>24</v>
      </c>
      <c r="L1149" s="325"/>
      <c r="M1149" s="325"/>
      <c r="N1149" s="325"/>
      <c r="O1149" s="326"/>
      <c r="P1149" s="326"/>
      <c r="Q1149" s="326">
        <f>I1149</f>
        <v>4</v>
      </c>
      <c r="R1149" s="326"/>
      <c r="S1149" s="327"/>
    </row>
    <row r="1150" spans="1:19" ht="15" customHeight="1">
      <c r="A1150" s="561">
        <f t="shared" si="22"/>
        <v>1150</v>
      </c>
      <c r="B1150" s="31">
        <v>119</v>
      </c>
      <c r="C1150" s="249" t="s">
        <v>311</v>
      </c>
      <c r="D1150" s="320" t="s">
        <v>22</v>
      </c>
      <c r="E1150" s="321"/>
      <c r="F1150" s="322" t="s">
        <v>305</v>
      </c>
      <c r="G1150" s="323" t="s">
        <v>1820</v>
      </c>
      <c r="H1150" s="322" t="s">
        <v>12</v>
      </c>
      <c r="I1150" s="324">
        <v>6</v>
      </c>
      <c r="J1150" s="325"/>
      <c r="K1150" s="325"/>
      <c r="L1150" s="325">
        <v>30</v>
      </c>
      <c r="M1150" s="325"/>
      <c r="N1150" s="325"/>
      <c r="O1150" s="326"/>
      <c r="P1150" s="326">
        <f>I1150</f>
        <v>6</v>
      </c>
      <c r="Q1150" s="326"/>
      <c r="R1150" s="326"/>
      <c r="S1150" s="327"/>
    </row>
    <row r="1151" spans="1:19" ht="15" customHeight="1">
      <c r="A1151" s="561">
        <f t="shared" si="22"/>
        <v>1151</v>
      </c>
      <c r="B1151" s="31">
        <v>119</v>
      </c>
      <c r="C1151" s="249" t="s">
        <v>311</v>
      </c>
      <c r="D1151" s="320" t="s">
        <v>22</v>
      </c>
      <c r="E1151" s="321"/>
      <c r="F1151" s="322" t="s">
        <v>305</v>
      </c>
      <c r="G1151" s="323" t="s">
        <v>1854</v>
      </c>
      <c r="H1151" s="322" t="s">
        <v>12</v>
      </c>
      <c r="I1151" s="324">
        <v>6</v>
      </c>
      <c r="J1151" s="325"/>
      <c r="K1151" s="325"/>
      <c r="L1151" s="325">
        <v>30</v>
      </c>
      <c r="M1151" s="325"/>
      <c r="N1151" s="325"/>
      <c r="O1151" s="326"/>
      <c r="P1151" s="326">
        <f>I1151</f>
        <v>6</v>
      </c>
      <c r="Q1151" s="326"/>
      <c r="R1151" s="326"/>
      <c r="S1151" s="327"/>
    </row>
    <row r="1152" spans="1:19" ht="15" customHeight="1">
      <c r="A1152" s="561">
        <f t="shared" si="22"/>
        <v>1152</v>
      </c>
      <c r="B1152" s="31">
        <v>119</v>
      </c>
      <c r="C1152" s="249" t="s">
        <v>311</v>
      </c>
      <c r="D1152" s="320" t="s">
        <v>22</v>
      </c>
      <c r="E1152" s="321"/>
      <c r="F1152" s="322" t="s">
        <v>306</v>
      </c>
      <c r="G1152" s="323" t="s">
        <v>1821</v>
      </c>
      <c r="H1152" s="322" t="s">
        <v>109</v>
      </c>
      <c r="I1152" s="324">
        <v>12</v>
      </c>
      <c r="J1152" s="325"/>
      <c r="K1152" s="325">
        <v>48</v>
      </c>
      <c r="L1152" s="325"/>
      <c r="M1152" s="325"/>
      <c r="N1152" s="325"/>
      <c r="O1152" s="326"/>
      <c r="P1152" s="326"/>
      <c r="Q1152" s="326">
        <f>I1152</f>
        <v>12</v>
      </c>
      <c r="R1152" s="326"/>
      <c r="S1152" s="327"/>
    </row>
    <row r="1153" spans="1:19" ht="15" customHeight="1">
      <c r="A1153" s="561">
        <f t="shared" si="22"/>
        <v>1153</v>
      </c>
      <c r="B1153" s="31">
        <v>119</v>
      </c>
      <c r="C1153" s="249" t="s">
        <v>311</v>
      </c>
      <c r="D1153" s="320" t="s">
        <v>22</v>
      </c>
      <c r="E1153" s="321"/>
      <c r="F1153" s="322" t="s">
        <v>309</v>
      </c>
      <c r="G1153" s="323" t="s">
        <v>1822</v>
      </c>
      <c r="H1153" s="322" t="s">
        <v>109</v>
      </c>
      <c r="I1153" s="324">
        <v>4</v>
      </c>
      <c r="J1153" s="325">
        <v>23</v>
      </c>
      <c r="K1153" s="325"/>
      <c r="L1153" s="325"/>
      <c r="M1153" s="325"/>
      <c r="N1153" s="325"/>
      <c r="O1153" s="326"/>
      <c r="P1153" s="326"/>
      <c r="Q1153" s="326"/>
      <c r="R1153" s="326">
        <f t="shared" ref="R1153:R1158" si="24">I1153</f>
        <v>4</v>
      </c>
      <c r="S1153" s="327"/>
    </row>
    <row r="1154" spans="1:19" ht="15" customHeight="1">
      <c r="A1154" s="561">
        <f t="shared" si="22"/>
        <v>1154</v>
      </c>
      <c r="B1154" s="31">
        <v>119</v>
      </c>
      <c r="C1154" s="249" t="s">
        <v>311</v>
      </c>
      <c r="D1154" s="320" t="s">
        <v>22</v>
      </c>
      <c r="E1154" s="321"/>
      <c r="F1154" s="322" t="s">
        <v>1</v>
      </c>
      <c r="G1154" s="323" t="s">
        <v>66</v>
      </c>
      <c r="H1154" s="322" t="s">
        <v>1055</v>
      </c>
      <c r="I1154" s="324">
        <v>3</v>
      </c>
      <c r="J1154" s="325"/>
      <c r="K1154" s="325"/>
      <c r="L1154" s="325"/>
      <c r="M1154" s="325"/>
      <c r="N1154" s="325"/>
      <c r="O1154" s="326"/>
      <c r="P1154" s="326"/>
      <c r="Q1154" s="326"/>
      <c r="R1154" s="326">
        <f t="shared" si="24"/>
        <v>3</v>
      </c>
      <c r="S1154" s="327"/>
    </row>
    <row r="1155" spans="1:19" ht="15" customHeight="1">
      <c r="A1155" s="561">
        <f t="shared" ref="A1155:A1218" si="25">1+A1154</f>
        <v>1155</v>
      </c>
      <c r="B1155" s="31">
        <v>119</v>
      </c>
      <c r="C1155" s="249" t="s">
        <v>311</v>
      </c>
      <c r="D1155" s="320" t="s">
        <v>22</v>
      </c>
      <c r="E1155" s="321"/>
      <c r="F1155" s="322" t="s">
        <v>312</v>
      </c>
      <c r="G1155" s="323" t="s">
        <v>1823</v>
      </c>
      <c r="H1155" s="322" t="s">
        <v>1324</v>
      </c>
      <c r="I1155" s="324">
        <v>46</v>
      </c>
      <c r="J1155" s="325" t="s">
        <v>317</v>
      </c>
      <c r="K1155" s="325"/>
      <c r="L1155" s="325"/>
      <c r="M1155" s="325"/>
      <c r="N1155" s="325"/>
      <c r="O1155" s="326"/>
      <c r="P1155" s="326"/>
      <c r="Q1155" s="326"/>
      <c r="R1155" s="326">
        <f t="shared" si="24"/>
        <v>46</v>
      </c>
      <c r="S1155" s="327"/>
    </row>
    <row r="1156" spans="1:19" ht="15" customHeight="1">
      <c r="A1156" s="561">
        <f t="shared" si="25"/>
        <v>1156</v>
      </c>
      <c r="B1156" s="31">
        <v>119</v>
      </c>
      <c r="C1156" s="249" t="s">
        <v>311</v>
      </c>
      <c r="D1156" s="320" t="s">
        <v>22</v>
      </c>
      <c r="E1156" s="321"/>
      <c r="F1156" s="322" t="s">
        <v>313</v>
      </c>
      <c r="G1156" s="323" t="s">
        <v>191</v>
      </c>
      <c r="H1156" s="322" t="s">
        <v>1324</v>
      </c>
      <c r="I1156" s="324">
        <v>46</v>
      </c>
      <c r="J1156" s="325" t="s">
        <v>317</v>
      </c>
      <c r="K1156" s="325"/>
      <c r="L1156" s="325"/>
      <c r="M1156" s="325"/>
      <c r="N1156" s="325"/>
      <c r="O1156" s="326"/>
      <c r="P1156" s="326"/>
      <c r="Q1156" s="326"/>
      <c r="R1156" s="326">
        <f t="shared" si="24"/>
        <v>46</v>
      </c>
      <c r="S1156" s="327"/>
    </row>
    <row r="1157" spans="1:19" ht="15" customHeight="1">
      <c r="A1157" s="561">
        <f t="shared" si="25"/>
        <v>1157</v>
      </c>
      <c r="B1157" s="31">
        <v>119</v>
      </c>
      <c r="C1157" s="249" t="s">
        <v>311</v>
      </c>
      <c r="D1157" s="320" t="s">
        <v>22</v>
      </c>
      <c r="E1157" s="321"/>
      <c r="F1157" s="322" t="s">
        <v>314</v>
      </c>
      <c r="G1157" s="323" t="s">
        <v>1855</v>
      </c>
      <c r="H1157" s="322" t="s">
        <v>1324</v>
      </c>
      <c r="I1157" s="324">
        <v>46</v>
      </c>
      <c r="J1157" s="325" t="s">
        <v>317</v>
      </c>
      <c r="K1157" s="325"/>
      <c r="L1157" s="325"/>
      <c r="M1157" s="325"/>
      <c r="N1157" s="325"/>
      <c r="O1157" s="326"/>
      <c r="P1157" s="326"/>
      <c r="Q1157" s="326"/>
      <c r="R1157" s="326">
        <f t="shared" si="24"/>
        <v>46</v>
      </c>
      <c r="S1157" s="327"/>
    </row>
    <row r="1158" spans="1:19" ht="15" customHeight="1">
      <c r="A1158" s="561">
        <f t="shared" si="25"/>
        <v>1158</v>
      </c>
      <c r="B1158" s="31">
        <v>119</v>
      </c>
      <c r="C1158" s="249" t="s">
        <v>311</v>
      </c>
      <c r="D1158" s="320" t="s">
        <v>22</v>
      </c>
      <c r="E1158" s="321"/>
      <c r="F1158" s="322" t="s">
        <v>64</v>
      </c>
      <c r="G1158" s="323" t="s">
        <v>1843</v>
      </c>
      <c r="H1158" s="322" t="s">
        <v>160</v>
      </c>
      <c r="I1158" s="324">
        <v>16</v>
      </c>
      <c r="J1158" s="325"/>
      <c r="K1158" s="325"/>
      <c r="L1158" s="325"/>
      <c r="M1158" s="325"/>
      <c r="N1158" s="325"/>
      <c r="O1158" s="326"/>
      <c r="P1158" s="326"/>
      <c r="Q1158" s="326"/>
      <c r="R1158" s="326">
        <f t="shared" si="24"/>
        <v>16</v>
      </c>
      <c r="S1158" s="327"/>
    </row>
    <row r="1159" spans="1:19" ht="15" customHeight="1">
      <c r="A1159" s="561">
        <f t="shared" si="25"/>
        <v>1159</v>
      </c>
      <c r="B1159" s="31">
        <v>119</v>
      </c>
      <c r="C1159" s="249" t="s">
        <v>311</v>
      </c>
      <c r="D1159" s="320" t="s">
        <v>22</v>
      </c>
      <c r="E1159" s="321"/>
      <c r="F1159" s="322" t="s">
        <v>167</v>
      </c>
      <c r="G1159" s="323" t="s">
        <v>1824</v>
      </c>
      <c r="H1159" s="322" t="s">
        <v>160</v>
      </c>
      <c r="I1159" s="324">
        <v>13</v>
      </c>
      <c r="J1159" s="325"/>
      <c r="K1159" s="325"/>
      <c r="L1159" s="325">
        <v>43</v>
      </c>
      <c r="M1159" s="325"/>
      <c r="N1159" s="325"/>
      <c r="O1159" s="326"/>
      <c r="P1159" s="326"/>
      <c r="Q1159" s="326">
        <f>I1159</f>
        <v>13</v>
      </c>
      <c r="R1159" s="326"/>
      <c r="S1159" s="327"/>
    </row>
    <row r="1160" spans="1:19" ht="15" customHeight="1">
      <c r="A1160" s="561">
        <f t="shared" si="25"/>
        <v>1160</v>
      </c>
      <c r="B1160" s="31">
        <v>119</v>
      </c>
      <c r="C1160" s="249" t="s">
        <v>311</v>
      </c>
      <c r="D1160" s="320" t="s">
        <v>22</v>
      </c>
      <c r="E1160" s="321"/>
      <c r="F1160" s="322" t="s">
        <v>215</v>
      </c>
      <c r="G1160" s="323" t="s">
        <v>1825</v>
      </c>
      <c r="H1160" s="322" t="s">
        <v>160</v>
      </c>
      <c r="I1160" s="324">
        <v>15</v>
      </c>
      <c r="J1160" s="325"/>
      <c r="K1160" s="325">
        <v>47</v>
      </c>
      <c r="L1160" s="325"/>
      <c r="M1160" s="325"/>
      <c r="N1160" s="325"/>
      <c r="O1160" s="326"/>
      <c r="P1160" s="326"/>
      <c r="Q1160" s="326">
        <f>I1160</f>
        <v>15</v>
      </c>
      <c r="R1160" s="326"/>
      <c r="S1160" s="327"/>
    </row>
    <row r="1161" spans="1:19" ht="15" customHeight="1">
      <c r="A1161" s="561">
        <f t="shared" si="25"/>
        <v>1161</v>
      </c>
      <c r="B1161" s="31">
        <v>119</v>
      </c>
      <c r="C1161" s="249" t="s">
        <v>311</v>
      </c>
      <c r="D1161" s="320" t="s">
        <v>22</v>
      </c>
      <c r="E1161" s="321"/>
      <c r="F1161" s="322" t="s">
        <v>229</v>
      </c>
      <c r="G1161" s="323" t="s">
        <v>1856</v>
      </c>
      <c r="H1161" s="322" t="s">
        <v>176</v>
      </c>
      <c r="I1161" s="324">
        <v>24</v>
      </c>
      <c r="J1161" s="325"/>
      <c r="K1161" s="325"/>
      <c r="L1161" s="325"/>
      <c r="M1161" s="325"/>
      <c r="N1161" s="325"/>
      <c r="O1161" s="326"/>
      <c r="P1161" s="326"/>
      <c r="Q1161" s="326"/>
      <c r="R1161" s="326">
        <f>I1161</f>
        <v>24</v>
      </c>
      <c r="S1161" s="327"/>
    </row>
    <row r="1162" spans="1:19" ht="15" customHeight="1">
      <c r="A1162" s="561">
        <f t="shared" si="25"/>
        <v>1162</v>
      </c>
      <c r="B1162" s="31">
        <v>119</v>
      </c>
      <c r="C1162" s="249" t="s">
        <v>311</v>
      </c>
      <c r="D1162" s="320" t="s">
        <v>22</v>
      </c>
      <c r="E1162" s="321"/>
      <c r="F1162" s="322" t="s">
        <v>64</v>
      </c>
      <c r="G1162" s="323" t="s">
        <v>1857</v>
      </c>
      <c r="H1162" s="322" t="s">
        <v>160</v>
      </c>
      <c r="I1162" s="324">
        <v>10</v>
      </c>
      <c r="J1162" s="325"/>
      <c r="K1162" s="325"/>
      <c r="L1162" s="325"/>
      <c r="M1162" s="325"/>
      <c r="N1162" s="325"/>
      <c r="O1162" s="326"/>
      <c r="P1162" s="326"/>
      <c r="Q1162" s="326"/>
      <c r="R1162" s="326">
        <f>I1162</f>
        <v>10</v>
      </c>
      <c r="S1162" s="327"/>
    </row>
    <row r="1163" spans="1:19" ht="15" customHeight="1">
      <c r="A1163" s="561">
        <f t="shared" si="25"/>
        <v>1163</v>
      </c>
      <c r="B1163" s="31">
        <v>119</v>
      </c>
      <c r="C1163" s="249" t="s">
        <v>311</v>
      </c>
      <c r="D1163" s="320" t="s">
        <v>22</v>
      </c>
      <c r="E1163" s="321"/>
      <c r="F1163" s="322" t="s">
        <v>308</v>
      </c>
      <c r="G1163" s="323" t="s">
        <v>1858</v>
      </c>
      <c r="H1163" s="322" t="s">
        <v>19</v>
      </c>
      <c r="I1163" s="324">
        <v>20</v>
      </c>
      <c r="J1163" s="325"/>
      <c r="K1163" s="325"/>
      <c r="L1163" s="325">
        <v>54</v>
      </c>
      <c r="M1163" s="325"/>
      <c r="N1163" s="325"/>
      <c r="O1163" s="326"/>
      <c r="P1163" s="326">
        <f>I1163</f>
        <v>20</v>
      </c>
      <c r="Q1163" s="326"/>
      <c r="R1163" s="326"/>
      <c r="S1163" s="327"/>
    </row>
    <row r="1164" spans="1:19" ht="15" customHeight="1">
      <c r="A1164" s="561">
        <f t="shared" si="25"/>
        <v>1164</v>
      </c>
      <c r="B1164" s="31">
        <v>119</v>
      </c>
      <c r="C1164" s="249" t="s">
        <v>311</v>
      </c>
      <c r="D1164" s="320" t="s">
        <v>22</v>
      </c>
      <c r="E1164" s="321"/>
      <c r="F1164" s="322" t="s">
        <v>54</v>
      </c>
      <c r="G1164" s="323" t="s">
        <v>310</v>
      </c>
      <c r="H1164" s="322" t="s">
        <v>109</v>
      </c>
      <c r="I1164" s="324">
        <v>1637</v>
      </c>
      <c r="J1164" s="325"/>
      <c r="K1164" s="325"/>
      <c r="L1164" s="325"/>
      <c r="M1164" s="325"/>
      <c r="N1164" s="325"/>
      <c r="O1164" s="326" t="s">
        <v>327</v>
      </c>
      <c r="P1164" s="326"/>
      <c r="Q1164" s="326"/>
      <c r="R1164" s="326"/>
      <c r="S1164" s="327"/>
    </row>
    <row r="1165" spans="1:19" ht="15" customHeight="1">
      <c r="A1165" s="561">
        <f t="shared" si="25"/>
        <v>1165</v>
      </c>
      <c r="B1165" s="31">
        <v>119</v>
      </c>
      <c r="C1165" s="249" t="s">
        <v>311</v>
      </c>
      <c r="D1165" s="320" t="s">
        <v>22</v>
      </c>
      <c r="E1165" s="321"/>
      <c r="F1165" s="322" t="s">
        <v>123</v>
      </c>
      <c r="G1165" s="323" t="s">
        <v>1859</v>
      </c>
      <c r="H1165" s="322" t="s">
        <v>12</v>
      </c>
      <c r="I1165" s="324">
        <v>3</v>
      </c>
      <c r="J1165" s="325"/>
      <c r="K1165" s="325"/>
      <c r="L1165" s="325">
        <v>15</v>
      </c>
      <c r="M1165" s="325"/>
      <c r="N1165" s="325"/>
      <c r="O1165" s="326"/>
      <c r="P1165" s="326">
        <f>I1165</f>
        <v>3</v>
      </c>
      <c r="Q1165" s="326"/>
      <c r="R1165" s="326"/>
      <c r="S1165" s="327"/>
    </row>
    <row r="1166" spans="1:19" ht="15" customHeight="1">
      <c r="A1166" s="561">
        <f t="shared" si="25"/>
        <v>1166</v>
      </c>
      <c r="B1166" s="31">
        <v>120</v>
      </c>
      <c r="C1166" s="249" t="s">
        <v>301</v>
      </c>
      <c r="D1166" s="320" t="s">
        <v>22</v>
      </c>
      <c r="E1166" s="321"/>
      <c r="F1166" s="322" t="s">
        <v>143</v>
      </c>
      <c r="G1166" s="323" t="s">
        <v>63</v>
      </c>
      <c r="H1166" s="322" t="s">
        <v>1327</v>
      </c>
      <c r="I1166" s="324">
        <v>143</v>
      </c>
      <c r="J1166" s="325">
        <v>364</v>
      </c>
      <c r="K1166" s="325">
        <v>296</v>
      </c>
      <c r="L1166" s="325"/>
      <c r="M1166" s="325"/>
      <c r="N1166" s="325"/>
      <c r="O1166" s="326"/>
      <c r="P1166" s="326"/>
      <c r="Q1166" s="326">
        <f>I1166</f>
        <v>143</v>
      </c>
      <c r="R1166" s="326"/>
      <c r="S1166" s="327"/>
    </row>
    <row r="1167" spans="1:19" ht="15" customHeight="1">
      <c r="A1167" s="561">
        <f t="shared" si="25"/>
        <v>1167</v>
      </c>
      <c r="B1167" s="31">
        <v>120</v>
      </c>
      <c r="C1167" s="249" t="s">
        <v>301</v>
      </c>
      <c r="D1167" s="320" t="s">
        <v>22</v>
      </c>
      <c r="E1167" s="321"/>
      <c r="F1167" s="322" t="s">
        <v>302</v>
      </c>
      <c r="G1167" s="323" t="s">
        <v>224</v>
      </c>
      <c r="H1167" s="322" t="s">
        <v>160</v>
      </c>
      <c r="I1167" s="324">
        <v>28</v>
      </c>
      <c r="J1167" s="325"/>
      <c r="K1167" s="325">
        <v>62</v>
      </c>
      <c r="L1167" s="325"/>
      <c r="M1167" s="325"/>
      <c r="N1167" s="325"/>
      <c r="O1167" s="326"/>
      <c r="P1167" s="326">
        <f>I1167</f>
        <v>28</v>
      </c>
      <c r="Q1167" s="326"/>
      <c r="R1167" s="326"/>
      <c r="S1167" s="327"/>
    </row>
    <row r="1168" spans="1:19" ht="15" customHeight="1">
      <c r="A1168" s="561">
        <f t="shared" si="25"/>
        <v>1168</v>
      </c>
      <c r="B1168" s="31">
        <v>120</v>
      </c>
      <c r="C1168" s="249" t="s">
        <v>301</v>
      </c>
      <c r="D1168" s="320" t="s">
        <v>22</v>
      </c>
      <c r="E1168" s="321"/>
      <c r="F1168" s="322" t="s">
        <v>175</v>
      </c>
      <c r="G1168" s="323" t="s">
        <v>16</v>
      </c>
      <c r="H1168" s="322" t="s">
        <v>1327</v>
      </c>
      <c r="I1168" s="324">
        <v>75</v>
      </c>
      <c r="J1168" s="325"/>
      <c r="K1168" s="325">
        <v>509</v>
      </c>
      <c r="L1168" s="325"/>
      <c r="M1168" s="325"/>
      <c r="N1168" s="325"/>
      <c r="O1168" s="326"/>
      <c r="P1168" s="326"/>
      <c r="Q1168" s="326">
        <f>I1168</f>
        <v>75</v>
      </c>
      <c r="R1168" s="326"/>
      <c r="S1168" s="327"/>
    </row>
    <row r="1169" spans="1:19" ht="15" customHeight="1">
      <c r="A1169" s="561">
        <f t="shared" si="25"/>
        <v>1169</v>
      </c>
      <c r="B1169" s="31">
        <v>120</v>
      </c>
      <c r="C1169" s="249" t="s">
        <v>301</v>
      </c>
      <c r="D1169" s="320" t="s">
        <v>22</v>
      </c>
      <c r="E1169" s="321"/>
      <c r="F1169" s="322" t="s">
        <v>303</v>
      </c>
      <c r="G1169" s="323" t="s">
        <v>182</v>
      </c>
      <c r="H1169" s="322" t="s">
        <v>160</v>
      </c>
      <c r="I1169" s="324">
        <v>12</v>
      </c>
      <c r="J1169" s="325"/>
      <c r="K1169" s="325"/>
      <c r="L1169" s="325">
        <v>45</v>
      </c>
      <c r="M1169" s="325"/>
      <c r="N1169" s="325"/>
      <c r="O1169" s="326"/>
      <c r="P1169" s="326">
        <f t="shared" ref="P1169:P1176" si="26">I1169</f>
        <v>12</v>
      </c>
      <c r="Q1169" s="326"/>
      <c r="R1169" s="326"/>
      <c r="S1169" s="327"/>
    </row>
    <row r="1170" spans="1:19" ht="15" customHeight="1">
      <c r="A1170" s="561">
        <f t="shared" si="25"/>
        <v>1170</v>
      </c>
      <c r="B1170" s="31">
        <v>120</v>
      </c>
      <c r="C1170" s="249" t="s">
        <v>301</v>
      </c>
      <c r="D1170" s="320" t="s">
        <v>22</v>
      </c>
      <c r="E1170" s="321"/>
      <c r="F1170" s="322" t="s">
        <v>177</v>
      </c>
      <c r="G1170" s="323" t="s">
        <v>1860</v>
      </c>
      <c r="H1170" s="322" t="s">
        <v>160</v>
      </c>
      <c r="I1170" s="324">
        <v>15</v>
      </c>
      <c r="J1170" s="325"/>
      <c r="K1170" s="325"/>
      <c r="L1170" s="325">
        <v>50</v>
      </c>
      <c r="M1170" s="325"/>
      <c r="N1170" s="325"/>
      <c r="O1170" s="326"/>
      <c r="P1170" s="326">
        <f t="shared" si="26"/>
        <v>15</v>
      </c>
      <c r="Q1170" s="326"/>
      <c r="R1170" s="326"/>
      <c r="S1170" s="327"/>
    </row>
    <row r="1171" spans="1:19" ht="15" customHeight="1">
      <c r="A1171" s="561">
        <f t="shared" si="25"/>
        <v>1171</v>
      </c>
      <c r="B1171" s="31">
        <v>120</v>
      </c>
      <c r="C1171" s="249" t="s">
        <v>301</v>
      </c>
      <c r="D1171" s="320" t="s">
        <v>22</v>
      </c>
      <c r="E1171" s="321"/>
      <c r="F1171" s="322" t="s">
        <v>304</v>
      </c>
      <c r="G1171" s="323" t="s">
        <v>1861</v>
      </c>
      <c r="H1171" s="322" t="s">
        <v>160</v>
      </c>
      <c r="I1171" s="324">
        <v>8</v>
      </c>
      <c r="J1171" s="325"/>
      <c r="K1171" s="325"/>
      <c r="L1171" s="325">
        <v>37</v>
      </c>
      <c r="M1171" s="325"/>
      <c r="N1171" s="325"/>
      <c r="O1171" s="326"/>
      <c r="P1171" s="326">
        <f t="shared" si="26"/>
        <v>8</v>
      </c>
      <c r="Q1171" s="326"/>
      <c r="R1171" s="326"/>
      <c r="S1171" s="327"/>
    </row>
    <row r="1172" spans="1:19" ht="15" customHeight="1">
      <c r="A1172" s="561">
        <f t="shared" si="25"/>
        <v>1172</v>
      </c>
      <c r="B1172" s="31">
        <v>120</v>
      </c>
      <c r="C1172" s="249" t="s">
        <v>301</v>
      </c>
      <c r="D1172" s="320" t="s">
        <v>22</v>
      </c>
      <c r="E1172" s="321"/>
      <c r="F1172" s="322" t="s">
        <v>305</v>
      </c>
      <c r="G1172" s="323" t="s">
        <v>1820</v>
      </c>
      <c r="H1172" s="322" t="s">
        <v>160</v>
      </c>
      <c r="I1172" s="324">
        <v>12</v>
      </c>
      <c r="J1172" s="325"/>
      <c r="K1172" s="325"/>
      <c r="L1172" s="325">
        <v>42</v>
      </c>
      <c r="M1172" s="325"/>
      <c r="N1172" s="325"/>
      <c r="O1172" s="326"/>
      <c r="P1172" s="326">
        <f t="shared" si="26"/>
        <v>12</v>
      </c>
      <c r="Q1172" s="326"/>
      <c r="R1172" s="326"/>
      <c r="S1172" s="327"/>
    </row>
    <row r="1173" spans="1:19" ht="15" customHeight="1">
      <c r="A1173" s="561">
        <f t="shared" si="25"/>
        <v>1173</v>
      </c>
      <c r="B1173" s="31">
        <v>120</v>
      </c>
      <c r="C1173" s="249" t="s">
        <v>301</v>
      </c>
      <c r="D1173" s="320" t="s">
        <v>22</v>
      </c>
      <c r="E1173" s="321"/>
      <c r="F1173" s="322" t="s">
        <v>305</v>
      </c>
      <c r="G1173" s="323" t="s">
        <v>1854</v>
      </c>
      <c r="H1173" s="322" t="s">
        <v>160</v>
      </c>
      <c r="I1173" s="324">
        <v>12</v>
      </c>
      <c r="J1173" s="325"/>
      <c r="K1173" s="325"/>
      <c r="L1173" s="325">
        <v>42</v>
      </c>
      <c r="M1173" s="325"/>
      <c r="N1173" s="325"/>
      <c r="O1173" s="326"/>
      <c r="P1173" s="326">
        <f t="shared" si="26"/>
        <v>12</v>
      </c>
      <c r="Q1173" s="326"/>
      <c r="R1173" s="326"/>
      <c r="S1173" s="327"/>
    </row>
    <row r="1174" spans="1:19" ht="15" customHeight="1">
      <c r="A1174" s="561">
        <f t="shared" si="25"/>
        <v>1174</v>
      </c>
      <c r="B1174" s="31">
        <v>120</v>
      </c>
      <c r="C1174" s="249" t="s">
        <v>301</v>
      </c>
      <c r="D1174" s="320" t="s">
        <v>22</v>
      </c>
      <c r="E1174" s="321"/>
      <c r="F1174" s="322" t="s">
        <v>306</v>
      </c>
      <c r="G1174" s="323" t="s">
        <v>188</v>
      </c>
      <c r="H1174" s="322" t="s">
        <v>160</v>
      </c>
      <c r="I1174" s="324">
        <v>5</v>
      </c>
      <c r="J1174" s="325"/>
      <c r="K1174" s="325"/>
      <c r="L1174" s="325">
        <v>26</v>
      </c>
      <c r="M1174" s="325"/>
      <c r="N1174" s="325"/>
      <c r="O1174" s="326"/>
      <c r="P1174" s="326">
        <f t="shared" si="26"/>
        <v>5</v>
      </c>
      <c r="Q1174" s="326"/>
      <c r="R1174" s="326"/>
      <c r="S1174" s="327"/>
    </row>
    <row r="1175" spans="1:19" ht="15" customHeight="1">
      <c r="A1175" s="561">
        <f t="shared" si="25"/>
        <v>1175</v>
      </c>
      <c r="B1175" s="31">
        <v>120</v>
      </c>
      <c r="C1175" s="249" t="s">
        <v>301</v>
      </c>
      <c r="D1175" s="320" t="s">
        <v>22</v>
      </c>
      <c r="E1175" s="321"/>
      <c r="F1175" s="322" t="s">
        <v>218</v>
      </c>
      <c r="G1175" s="323" t="s">
        <v>1862</v>
      </c>
      <c r="H1175" s="322" t="s">
        <v>160</v>
      </c>
      <c r="I1175" s="324">
        <v>10</v>
      </c>
      <c r="J1175" s="325"/>
      <c r="K1175" s="325"/>
      <c r="L1175" s="325">
        <v>38</v>
      </c>
      <c r="M1175" s="325"/>
      <c r="N1175" s="325"/>
      <c r="O1175" s="326"/>
      <c r="P1175" s="326">
        <f t="shared" si="26"/>
        <v>10</v>
      </c>
      <c r="Q1175" s="326"/>
      <c r="R1175" s="326"/>
      <c r="S1175" s="327"/>
    </row>
    <row r="1176" spans="1:19" ht="15" customHeight="1">
      <c r="A1176" s="561">
        <f t="shared" si="25"/>
        <v>1176</v>
      </c>
      <c r="B1176" s="31">
        <v>120</v>
      </c>
      <c r="C1176" s="249" t="s">
        <v>301</v>
      </c>
      <c r="D1176" s="320" t="s">
        <v>22</v>
      </c>
      <c r="E1176" s="321"/>
      <c r="F1176" s="322" t="s">
        <v>168</v>
      </c>
      <c r="G1176" s="323" t="s">
        <v>14</v>
      </c>
      <c r="H1176" s="322" t="s">
        <v>160</v>
      </c>
      <c r="I1176" s="324">
        <v>50</v>
      </c>
      <c r="J1176" s="325"/>
      <c r="K1176" s="325"/>
      <c r="L1176" s="325">
        <v>71</v>
      </c>
      <c r="M1176" s="325"/>
      <c r="N1176" s="325"/>
      <c r="O1176" s="326"/>
      <c r="P1176" s="326">
        <f t="shared" si="26"/>
        <v>50</v>
      </c>
      <c r="Q1176" s="326"/>
      <c r="R1176" s="326"/>
      <c r="S1176" s="327"/>
    </row>
    <row r="1177" spans="1:19" ht="15" customHeight="1">
      <c r="A1177" s="561">
        <f t="shared" si="25"/>
        <v>1177</v>
      </c>
      <c r="B1177" s="31">
        <v>120</v>
      </c>
      <c r="C1177" s="249" t="s">
        <v>301</v>
      </c>
      <c r="D1177" s="320" t="s">
        <v>22</v>
      </c>
      <c r="E1177" s="321"/>
      <c r="F1177" s="322" t="s">
        <v>125</v>
      </c>
      <c r="G1177" s="323" t="s">
        <v>66</v>
      </c>
      <c r="H1177" s="322" t="s">
        <v>1055</v>
      </c>
      <c r="I1177" s="324">
        <v>4</v>
      </c>
      <c r="J1177" s="325"/>
      <c r="K1177" s="325"/>
      <c r="L1177" s="325"/>
      <c r="M1177" s="325"/>
      <c r="N1177" s="325"/>
      <c r="O1177" s="326"/>
      <c r="P1177" s="326"/>
      <c r="Q1177" s="326"/>
      <c r="R1177" s="326">
        <f>I1177</f>
        <v>4</v>
      </c>
      <c r="S1177" s="327"/>
    </row>
    <row r="1178" spans="1:19" ht="15" customHeight="1">
      <c r="A1178" s="561">
        <f t="shared" si="25"/>
        <v>1178</v>
      </c>
      <c r="B1178" s="31">
        <v>120</v>
      </c>
      <c r="C1178" s="249" t="s">
        <v>301</v>
      </c>
      <c r="D1178" s="320" t="s">
        <v>22</v>
      </c>
      <c r="E1178" s="321"/>
      <c r="F1178" s="322" t="s">
        <v>307</v>
      </c>
      <c r="G1178" s="323" t="s">
        <v>1863</v>
      </c>
      <c r="H1178" s="322" t="s">
        <v>160</v>
      </c>
      <c r="I1178" s="324">
        <v>3</v>
      </c>
      <c r="J1178" s="325"/>
      <c r="K1178" s="325"/>
      <c r="L1178" s="325">
        <v>20</v>
      </c>
      <c r="M1178" s="325"/>
      <c r="N1178" s="325"/>
      <c r="O1178" s="326"/>
      <c r="P1178" s="326">
        <f>I1178</f>
        <v>3</v>
      </c>
      <c r="Q1178" s="326"/>
      <c r="R1178" s="326"/>
      <c r="S1178" s="327"/>
    </row>
    <row r="1179" spans="1:19" ht="15" customHeight="1">
      <c r="A1179" s="561">
        <f t="shared" si="25"/>
        <v>1179</v>
      </c>
      <c r="B1179" s="31">
        <v>120</v>
      </c>
      <c r="C1179" s="249" t="s">
        <v>301</v>
      </c>
      <c r="D1179" s="320" t="s">
        <v>22</v>
      </c>
      <c r="E1179" s="321"/>
      <c r="F1179" s="322" t="s">
        <v>303</v>
      </c>
      <c r="G1179" s="323" t="s">
        <v>1843</v>
      </c>
      <c r="H1179" s="322" t="s">
        <v>160</v>
      </c>
      <c r="I1179" s="324">
        <v>12</v>
      </c>
      <c r="J1179" s="325"/>
      <c r="K1179" s="325"/>
      <c r="L1179" s="325">
        <v>44</v>
      </c>
      <c r="M1179" s="325"/>
      <c r="N1179" s="325"/>
      <c r="O1179" s="326"/>
      <c r="P1179" s="326">
        <f>I1179</f>
        <v>12</v>
      </c>
      <c r="Q1179" s="326"/>
      <c r="R1179" s="326"/>
      <c r="S1179" s="327"/>
    </row>
    <row r="1180" spans="1:19" ht="15" customHeight="1">
      <c r="A1180" s="561">
        <f t="shared" si="25"/>
        <v>1180</v>
      </c>
      <c r="B1180" s="31">
        <v>120</v>
      </c>
      <c r="C1180" s="249" t="s">
        <v>301</v>
      </c>
      <c r="D1180" s="320" t="s">
        <v>22</v>
      </c>
      <c r="E1180" s="321"/>
      <c r="F1180" s="322" t="s">
        <v>215</v>
      </c>
      <c r="G1180" s="323" t="s">
        <v>1864</v>
      </c>
      <c r="H1180" s="322" t="s">
        <v>160</v>
      </c>
      <c r="I1180" s="324">
        <v>34</v>
      </c>
      <c r="J1180" s="325"/>
      <c r="K1180" s="325"/>
      <c r="L1180" s="325">
        <v>71</v>
      </c>
      <c r="M1180" s="325"/>
      <c r="N1180" s="325"/>
      <c r="O1180" s="326"/>
      <c r="P1180" s="326">
        <f>I1180</f>
        <v>34</v>
      </c>
      <c r="Q1180" s="326"/>
      <c r="R1180" s="326"/>
      <c r="S1180" s="327"/>
    </row>
    <row r="1181" spans="1:19" ht="15" customHeight="1">
      <c r="A1181" s="561">
        <f t="shared" si="25"/>
        <v>1181</v>
      </c>
      <c r="B1181" s="31">
        <v>120</v>
      </c>
      <c r="C1181" s="249" t="s">
        <v>301</v>
      </c>
      <c r="D1181" s="320" t="s">
        <v>22</v>
      </c>
      <c r="E1181" s="321"/>
      <c r="F1181" s="322" t="s">
        <v>308</v>
      </c>
      <c r="G1181" s="323" t="s">
        <v>1865</v>
      </c>
      <c r="H1181" s="322" t="s">
        <v>160</v>
      </c>
      <c r="I1181" s="324">
        <v>26</v>
      </c>
      <c r="J1181" s="325"/>
      <c r="K1181" s="325"/>
      <c r="L1181" s="325">
        <v>37</v>
      </c>
      <c r="M1181" s="325"/>
      <c r="N1181" s="325"/>
      <c r="O1181" s="326"/>
      <c r="P1181" s="326"/>
      <c r="Q1181" s="326">
        <f>I1181</f>
        <v>26</v>
      </c>
      <c r="R1181" s="326"/>
      <c r="S1181" s="327"/>
    </row>
    <row r="1182" spans="1:19" ht="15" customHeight="1">
      <c r="A1182" s="561">
        <f t="shared" si="25"/>
        <v>1182</v>
      </c>
      <c r="B1182" s="31">
        <v>120</v>
      </c>
      <c r="C1182" s="249" t="s">
        <v>301</v>
      </c>
      <c r="D1182" s="320" t="s">
        <v>22</v>
      </c>
      <c r="E1182" s="321"/>
      <c r="F1182" s="322" t="s">
        <v>303</v>
      </c>
      <c r="G1182" s="323" t="s">
        <v>1857</v>
      </c>
      <c r="H1182" s="322" t="s">
        <v>160</v>
      </c>
      <c r="I1182" s="324">
        <v>10</v>
      </c>
      <c r="J1182" s="325"/>
      <c r="K1182" s="325"/>
      <c r="L1182" s="325">
        <v>37</v>
      </c>
      <c r="M1182" s="325"/>
      <c r="N1182" s="325"/>
      <c r="O1182" s="326"/>
      <c r="P1182" s="326">
        <f>I1182</f>
        <v>10</v>
      </c>
      <c r="Q1182" s="326"/>
      <c r="R1182" s="326"/>
      <c r="S1182" s="327"/>
    </row>
    <row r="1183" spans="1:19" ht="15" customHeight="1">
      <c r="A1183" s="561">
        <f t="shared" si="25"/>
        <v>1183</v>
      </c>
      <c r="B1183" s="31">
        <v>120</v>
      </c>
      <c r="C1183" s="249" t="s">
        <v>301</v>
      </c>
      <c r="D1183" s="320" t="s">
        <v>22</v>
      </c>
      <c r="E1183" s="321"/>
      <c r="F1183" s="322" t="s">
        <v>229</v>
      </c>
      <c r="G1183" s="323" t="s">
        <v>1866</v>
      </c>
      <c r="H1183" s="322" t="s">
        <v>160</v>
      </c>
      <c r="I1183" s="324">
        <v>21</v>
      </c>
      <c r="J1183" s="325"/>
      <c r="K1183" s="325"/>
      <c r="L1183" s="325">
        <v>55</v>
      </c>
      <c r="M1183" s="325"/>
      <c r="N1183" s="325"/>
      <c r="O1183" s="326"/>
      <c r="P1183" s="326"/>
      <c r="Q1183" s="326">
        <f>I1183</f>
        <v>21</v>
      </c>
      <c r="R1183" s="326"/>
      <c r="S1183" s="327"/>
    </row>
    <row r="1184" spans="1:19" ht="15" customHeight="1">
      <c r="A1184" s="561">
        <f t="shared" si="25"/>
        <v>1184</v>
      </c>
      <c r="B1184" s="31">
        <v>120</v>
      </c>
      <c r="C1184" s="249" t="s">
        <v>301</v>
      </c>
      <c r="D1184" s="320" t="s">
        <v>22</v>
      </c>
      <c r="E1184" s="321"/>
      <c r="F1184" s="322" t="s">
        <v>309</v>
      </c>
      <c r="G1184" s="323" t="s">
        <v>1867</v>
      </c>
      <c r="H1184" s="322" t="s">
        <v>160</v>
      </c>
      <c r="I1184" s="324">
        <v>2</v>
      </c>
      <c r="J1184" s="325"/>
      <c r="K1184" s="325">
        <v>14</v>
      </c>
      <c r="L1184" s="325"/>
      <c r="M1184" s="325"/>
      <c r="N1184" s="325"/>
      <c r="O1184" s="326"/>
      <c r="P1184" s="326"/>
      <c r="Q1184" s="326">
        <f>I1184</f>
        <v>2</v>
      </c>
      <c r="R1184" s="326"/>
      <c r="S1184" s="327"/>
    </row>
    <row r="1185" spans="1:19" ht="15" customHeight="1">
      <c r="A1185" s="561">
        <f t="shared" si="25"/>
        <v>1185</v>
      </c>
      <c r="B1185" s="31">
        <v>120</v>
      </c>
      <c r="C1185" s="249" t="s">
        <v>301</v>
      </c>
      <c r="D1185" s="320" t="s">
        <v>22</v>
      </c>
      <c r="E1185" s="321"/>
      <c r="F1185" s="322" t="s">
        <v>54</v>
      </c>
      <c r="G1185" s="323" t="s">
        <v>310</v>
      </c>
      <c r="H1185" s="322" t="s">
        <v>1329</v>
      </c>
      <c r="I1185" s="324">
        <v>1881</v>
      </c>
      <c r="J1185" s="325"/>
      <c r="K1185" s="325"/>
      <c r="L1185" s="325"/>
      <c r="M1185" s="325"/>
      <c r="N1185" s="325"/>
      <c r="O1185" s="326">
        <v>1023</v>
      </c>
      <c r="P1185" s="326"/>
      <c r="Q1185" s="326"/>
      <c r="R1185" s="326"/>
      <c r="S1185" s="327"/>
    </row>
    <row r="1186" spans="1:19" ht="15" customHeight="1">
      <c r="A1186" s="561">
        <f t="shared" si="25"/>
        <v>1186</v>
      </c>
      <c r="B1186" s="31">
        <v>120</v>
      </c>
      <c r="C1186" s="249" t="s">
        <v>301</v>
      </c>
      <c r="D1186" s="320" t="s">
        <v>22</v>
      </c>
      <c r="E1186" s="321"/>
      <c r="F1186" s="322" t="s">
        <v>164</v>
      </c>
      <c r="G1186" s="323" t="s">
        <v>1868</v>
      </c>
      <c r="H1186" s="322" t="s">
        <v>1324</v>
      </c>
      <c r="I1186" s="324">
        <v>41</v>
      </c>
      <c r="J1186" s="325" t="s">
        <v>317</v>
      </c>
      <c r="K1186" s="325"/>
      <c r="L1186" s="325"/>
      <c r="M1186" s="325"/>
      <c r="N1186" s="325"/>
      <c r="O1186" s="326"/>
      <c r="P1186" s="326"/>
      <c r="Q1186" s="326"/>
      <c r="R1186" s="326"/>
      <c r="S1186" s="327"/>
    </row>
    <row r="1187" spans="1:19" ht="15" customHeight="1">
      <c r="A1187" s="561">
        <f t="shared" si="25"/>
        <v>1187</v>
      </c>
      <c r="B1187" s="31">
        <v>120</v>
      </c>
      <c r="C1187" s="249" t="s">
        <v>301</v>
      </c>
      <c r="D1187" s="320" t="s">
        <v>22</v>
      </c>
      <c r="E1187" s="321"/>
      <c r="F1187" s="322" t="s">
        <v>164</v>
      </c>
      <c r="G1187" s="323" t="s">
        <v>1869</v>
      </c>
      <c r="H1187" s="322" t="s">
        <v>1324</v>
      </c>
      <c r="I1187" s="324">
        <v>41</v>
      </c>
      <c r="J1187" s="325" t="s">
        <v>317</v>
      </c>
      <c r="K1187" s="325"/>
      <c r="L1187" s="325"/>
      <c r="M1187" s="325"/>
      <c r="N1187" s="325"/>
      <c r="O1187" s="326"/>
      <c r="P1187" s="326"/>
      <c r="Q1187" s="326"/>
      <c r="R1187" s="326"/>
      <c r="S1187" s="327"/>
    </row>
    <row r="1188" spans="1:19" ht="15" customHeight="1">
      <c r="A1188" s="561">
        <f t="shared" si="25"/>
        <v>1188</v>
      </c>
      <c r="B1188" s="31">
        <v>120</v>
      </c>
      <c r="C1188" s="249" t="s">
        <v>301</v>
      </c>
      <c r="D1188" s="320" t="s">
        <v>22</v>
      </c>
      <c r="E1188" s="321"/>
      <c r="F1188" s="322" t="s">
        <v>164</v>
      </c>
      <c r="G1188" s="323" t="s">
        <v>1849</v>
      </c>
      <c r="H1188" s="322" t="s">
        <v>1324</v>
      </c>
      <c r="I1188" s="324">
        <v>41</v>
      </c>
      <c r="J1188" s="325" t="s">
        <v>317</v>
      </c>
      <c r="K1188" s="325"/>
      <c r="L1188" s="325"/>
      <c r="M1188" s="325"/>
      <c r="N1188" s="325"/>
      <c r="O1188" s="326"/>
      <c r="P1188" s="326"/>
      <c r="Q1188" s="326"/>
      <c r="R1188" s="326"/>
      <c r="S1188" s="327"/>
    </row>
    <row r="1189" spans="1:19" ht="15" customHeight="1">
      <c r="A1189" s="561">
        <f t="shared" si="25"/>
        <v>1189</v>
      </c>
      <c r="B1189" s="31">
        <v>121</v>
      </c>
      <c r="C1189" s="249" t="s">
        <v>181</v>
      </c>
      <c r="D1189" s="320" t="s">
        <v>22</v>
      </c>
      <c r="E1189" s="321"/>
      <c r="F1189" s="322" t="s">
        <v>143</v>
      </c>
      <c r="G1189" s="323" t="s">
        <v>63</v>
      </c>
      <c r="H1189" s="322" t="s">
        <v>109</v>
      </c>
      <c r="I1189" s="324">
        <v>170</v>
      </c>
      <c r="J1189" s="325"/>
      <c r="K1189" s="325">
        <v>470</v>
      </c>
      <c r="L1189" s="325"/>
      <c r="M1189" s="325"/>
      <c r="N1189" s="325"/>
      <c r="O1189" s="326"/>
      <c r="P1189" s="326"/>
      <c r="Q1189" s="326">
        <v>170</v>
      </c>
      <c r="R1189" s="326"/>
      <c r="S1189" s="327"/>
    </row>
    <row r="1190" spans="1:19" ht="15" customHeight="1">
      <c r="A1190" s="561">
        <f t="shared" si="25"/>
        <v>1190</v>
      </c>
      <c r="B1190" s="31">
        <v>121</v>
      </c>
      <c r="C1190" s="249" t="s">
        <v>181</v>
      </c>
      <c r="D1190" s="320" t="s">
        <v>22</v>
      </c>
      <c r="E1190" s="321"/>
      <c r="F1190" s="322" t="s">
        <v>175</v>
      </c>
      <c r="G1190" s="323" t="s">
        <v>16</v>
      </c>
      <c r="H1190" s="322" t="s">
        <v>160</v>
      </c>
      <c r="I1190" s="324">
        <v>9</v>
      </c>
      <c r="J1190" s="325"/>
      <c r="K1190" s="325"/>
      <c r="L1190" s="325">
        <v>31</v>
      </c>
      <c r="M1190" s="325"/>
      <c r="N1190" s="325"/>
      <c r="O1190" s="326"/>
      <c r="P1190" s="326">
        <v>9</v>
      </c>
      <c r="Q1190" s="326"/>
      <c r="R1190" s="326"/>
      <c r="S1190" s="327"/>
    </row>
    <row r="1191" spans="1:19" ht="15" customHeight="1">
      <c r="A1191" s="561">
        <f t="shared" si="25"/>
        <v>1191</v>
      </c>
      <c r="B1191" s="31">
        <v>121</v>
      </c>
      <c r="C1191" s="249" t="s">
        <v>181</v>
      </c>
      <c r="D1191" s="320" t="s">
        <v>22</v>
      </c>
      <c r="E1191" s="321"/>
      <c r="F1191" s="322" t="s">
        <v>175</v>
      </c>
      <c r="G1191" s="323" t="s">
        <v>182</v>
      </c>
      <c r="H1191" s="322" t="s">
        <v>109</v>
      </c>
      <c r="I1191" s="324">
        <v>6.55</v>
      </c>
      <c r="J1191" s="325"/>
      <c r="K1191" s="325">
        <v>48</v>
      </c>
      <c r="L1191" s="325"/>
      <c r="M1191" s="325"/>
      <c r="N1191" s="325"/>
      <c r="O1191" s="326"/>
      <c r="P1191" s="326"/>
      <c r="Q1191" s="326">
        <f>I1191</f>
        <v>6.55</v>
      </c>
      <c r="R1191" s="326"/>
      <c r="S1191" s="327"/>
    </row>
    <row r="1192" spans="1:19" ht="15" customHeight="1">
      <c r="A1192" s="561">
        <f t="shared" si="25"/>
        <v>1192</v>
      </c>
      <c r="B1192" s="31">
        <v>121</v>
      </c>
      <c r="C1192" s="249" t="s">
        <v>181</v>
      </c>
      <c r="D1192" s="320" t="s">
        <v>22</v>
      </c>
      <c r="E1192" s="321"/>
      <c r="F1192" s="322" t="s">
        <v>175</v>
      </c>
      <c r="G1192" s="323" t="s">
        <v>183</v>
      </c>
      <c r="H1192" s="322" t="s">
        <v>160</v>
      </c>
      <c r="I1192" s="324">
        <v>8.7200000000000006</v>
      </c>
      <c r="J1192" s="325"/>
      <c r="K1192" s="325"/>
      <c r="L1192" s="325">
        <v>27</v>
      </c>
      <c r="M1192" s="325"/>
      <c r="N1192" s="325"/>
      <c r="O1192" s="326"/>
      <c r="P1192" s="326">
        <f>I1192</f>
        <v>8.7200000000000006</v>
      </c>
      <c r="Q1192" s="326"/>
      <c r="R1192" s="326"/>
      <c r="S1192" s="327"/>
    </row>
    <row r="1193" spans="1:19" ht="15" customHeight="1">
      <c r="A1193" s="561">
        <f t="shared" si="25"/>
        <v>1193</v>
      </c>
      <c r="B1193" s="31">
        <v>121</v>
      </c>
      <c r="C1193" s="249" t="s">
        <v>181</v>
      </c>
      <c r="D1193" s="320" t="s">
        <v>22</v>
      </c>
      <c r="E1193" s="321"/>
      <c r="F1193" s="322" t="s">
        <v>175</v>
      </c>
      <c r="G1193" s="323" t="s">
        <v>1870</v>
      </c>
      <c r="H1193" s="322" t="s">
        <v>176</v>
      </c>
      <c r="I1193" s="324">
        <v>17.940000000000001</v>
      </c>
      <c r="J1193" s="325"/>
      <c r="K1193" s="325">
        <v>48</v>
      </c>
      <c r="L1193" s="325"/>
      <c r="M1193" s="325"/>
      <c r="N1193" s="325"/>
      <c r="O1193" s="326"/>
      <c r="P1193" s="326"/>
      <c r="Q1193" s="326">
        <f t="shared" ref="Q1193:Q1198" si="27">I1193</f>
        <v>17.940000000000001</v>
      </c>
      <c r="R1193" s="326"/>
      <c r="S1193" s="327"/>
    </row>
    <row r="1194" spans="1:19" ht="15" customHeight="1">
      <c r="A1194" s="561">
        <f t="shared" si="25"/>
        <v>1194</v>
      </c>
      <c r="B1194" s="31">
        <v>121</v>
      </c>
      <c r="C1194" s="249" t="s">
        <v>181</v>
      </c>
      <c r="D1194" s="320" t="s">
        <v>22</v>
      </c>
      <c r="E1194" s="321"/>
      <c r="F1194" s="322" t="s">
        <v>156</v>
      </c>
      <c r="G1194" s="323" t="s">
        <v>1871</v>
      </c>
      <c r="H1194" s="322" t="s">
        <v>176</v>
      </c>
      <c r="I1194" s="324">
        <v>41</v>
      </c>
      <c r="J1194" s="325"/>
      <c r="K1194" s="325">
        <v>110</v>
      </c>
      <c r="L1194" s="325"/>
      <c r="M1194" s="325"/>
      <c r="N1194" s="325"/>
      <c r="O1194" s="326"/>
      <c r="P1194" s="326"/>
      <c r="Q1194" s="326">
        <f t="shared" si="27"/>
        <v>41</v>
      </c>
      <c r="R1194" s="326"/>
      <c r="S1194" s="327"/>
    </row>
    <row r="1195" spans="1:19" ht="15" customHeight="1">
      <c r="A1195" s="561">
        <f t="shared" si="25"/>
        <v>1195</v>
      </c>
      <c r="B1195" s="31">
        <v>121</v>
      </c>
      <c r="C1195" s="249" t="s">
        <v>181</v>
      </c>
      <c r="D1195" s="320" t="s">
        <v>22</v>
      </c>
      <c r="E1195" s="321"/>
      <c r="F1195" s="322" t="s">
        <v>178</v>
      </c>
      <c r="G1195" s="323" t="s">
        <v>1872</v>
      </c>
      <c r="H1195" s="322" t="s">
        <v>176</v>
      </c>
      <c r="I1195" s="324">
        <v>13.66</v>
      </c>
      <c r="J1195" s="325"/>
      <c r="K1195" s="325">
        <v>37</v>
      </c>
      <c r="L1195" s="325"/>
      <c r="M1195" s="325"/>
      <c r="N1195" s="325"/>
      <c r="O1195" s="326"/>
      <c r="P1195" s="326"/>
      <c r="Q1195" s="326">
        <f t="shared" si="27"/>
        <v>13.66</v>
      </c>
      <c r="R1195" s="326"/>
      <c r="S1195" s="327"/>
    </row>
    <row r="1196" spans="1:19" ht="15" customHeight="1">
      <c r="A1196" s="561">
        <f t="shared" si="25"/>
        <v>1196</v>
      </c>
      <c r="B1196" s="31">
        <v>121</v>
      </c>
      <c r="C1196" s="249" t="s">
        <v>181</v>
      </c>
      <c r="D1196" s="320" t="s">
        <v>22</v>
      </c>
      <c r="E1196" s="321"/>
      <c r="F1196" s="322" t="s">
        <v>184</v>
      </c>
      <c r="G1196" s="323" t="s">
        <v>1873</v>
      </c>
      <c r="H1196" s="322" t="s">
        <v>160</v>
      </c>
      <c r="I1196" s="324">
        <v>13</v>
      </c>
      <c r="J1196" s="325"/>
      <c r="K1196" s="325">
        <v>37</v>
      </c>
      <c r="L1196" s="325"/>
      <c r="M1196" s="325"/>
      <c r="N1196" s="325"/>
      <c r="O1196" s="326"/>
      <c r="P1196" s="326"/>
      <c r="Q1196" s="326">
        <f t="shared" si="27"/>
        <v>13</v>
      </c>
      <c r="R1196" s="326"/>
      <c r="S1196" s="327"/>
    </row>
    <row r="1197" spans="1:19" ht="15" customHeight="1">
      <c r="A1197" s="561">
        <f t="shared" si="25"/>
        <v>1197</v>
      </c>
      <c r="B1197" s="31">
        <v>121</v>
      </c>
      <c r="C1197" s="249" t="s">
        <v>181</v>
      </c>
      <c r="D1197" s="320" t="s">
        <v>22</v>
      </c>
      <c r="E1197" s="321"/>
      <c r="F1197" s="322" t="s">
        <v>115</v>
      </c>
      <c r="G1197" s="323" t="s">
        <v>1714</v>
      </c>
      <c r="H1197" s="322" t="s">
        <v>176</v>
      </c>
      <c r="I1197" s="324">
        <v>16</v>
      </c>
      <c r="J1197" s="325"/>
      <c r="K1197" s="325">
        <v>39</v>
      </c>
      <c r="L1197" s="325"/>
      <c r="M1197" s="325"/>
      <c r="N1197" s="325"/>
      <c r="O1197" s="326"/>
      <c r="P1197" s="326"/>
      <c r="Q1197" s="326">
        <f t="shared" si="27"/>
        <v>16</v>
      </c>
      <c r="R1197" s="326"/>
      <c r="S1197" s="327"/>
    </row>
    <row r="1198" spans="1:19" ht="15" customHeight="1">
      <c r="A1198" s="561">
        <f t="shared" si="25"/>
        <v>1198</v>
      </c>
      <c r="B1198" s="31">
        <v>121</v>
      </c>
      <c r="C1198" s="249" t="s">
        <v>181</v>
      </c>
      <c r="D1198" s="320" t="s">
        <v>22</v>
      </c>
      <c r="E1198" s="321"/>
      <c r="F1198" s="322" t="s">
        <v>31</v>
      </c>
      <c r="G1198" s="323" t="s">
        <v>1874</v>
      </c>
      <c r="H1198" s="322" t="s">
        <v>176</v>
      </c>
      <c r="I1198" s="324">
        <v>32.47</v>
      </c>
      <c r="J1198" s="325"/>
      <c r="K1198" s="325">
        <v>70</v>
      </c>
      <c r="L1198" s="325"/>
      <c r="M1198" s="325"/>
      <c r="N1198" s="325"/>
      <c r="O1198" s="326"/>
      <c r="P1198" s="326"/>
      <c r="Q1198" s="326">
        <f t="shared" si="27"/>
        <v>32.47</v>
      </c>
      <c r="R1198" s="326"/>
      <c r="S1198" s="327"/>
    </row>
    <row r="1199" spans="1:19" ht="15" customHeight="1">
      <c r="A1199" s="561">
        <f t="shared" si="25"/>
        <v>1199</v>
      </c>
      <c r="B1199" s="31">
        <v>121</v>
      </c>
      <c r="C1199" s="249" t="s">
        <v>181</v>
      </c>
      <c r="D1199" s="320" t="s">
        <v>22</v>
      </c>
      <c r="E1199" s="321"/>
      <c r="F1199" s="322" t="s">
        <v>185</v>
      </c>
      <c r="G1199" s="323" t="s">
        <v>1767</v>
      </c>
      <c r="H1199" s="322" t="s">
        <v>160</v>
      </c>
      <c r="I1199" s="324">
        <v>20</v>
      </c>
      <c r="J1199" s="325"/>
      <c r="K1199" s="325"/>
      <c r="L1199" s="325">
        <v>56</v>
      </c>
      <c r="M1199" s="325"/>
      <c r="N1199" s="325"/>
      <c r="O1199" s="326"/>
      <c r="P1199" s="326">
        <f>I1199</f>
        <v>20</v>
      </c>
      <c r="Q1199" s="326"/>
      <c r="R1199" s="326"/>
      <c r="S1199" s="327"/>
    </row>
    <row r="1200" spans="1:19" ht="15" customHeight="1">
      <c r="A1200" s="561">
        <f t="shared" si="25"/>
        <v>1200</v>
      </c>
      <c r="B1200" s="31">
        <v>121</v>
      </c>
      <c r="C1200" s="249" t="s">
        <v>181</v>
      </c>
      <c r="D1200" s="320" t="s">
        <v>22</v>
      </c>
      <c r="E1200" s="321"/>
      <c r="F1200" s="322" t="s">
        <v>36</v>
      </c>
      <c r="G1200" s="323" t="s">
        <v>1853</v>
      </c>
      <c r="H1200" s="322" t="s">
        <v>160</v>
      </c>
      <c r="I1200" s="324">
        <v>13</v>
      </c>
      <c r="J1200" s="325"/>
      <c r="K1200" s="325"/>
      <c r="L1200" s="325">
        <v>49</v>
      </c>
      <c r="M1200" s="325"/>
      <c r="N1200" s="325"/>
      <c r="O1200" s="326"/>
      <c r="P1200" s="326">
        <f>I1200</f>
        <v>13</v>
      </c>
      <c r="Q1200" s="326"/>
      <c r="R1200" s="326"/>
      <c r="S1200" s="327"/>
    </row>
    <row r="1201" spans="1:19" ht="15" customHeight="1">
      <c r="A1201" s="561">
        <f t="shared" si="25"/>
        <v>1201</v>
      </c>
      <c r="B1201" s="31">
        <v>121</v>
      </c>
      <c r="C1201" s="249" t="s">
        <v>181</v>
      </c>
      <c r="D1201" s="320" t="s">
        <v>22</v>
      </c>
      <c r="E1201" s="321"/>
      <c r="F1201" s="322" t="s">
        <v>116</v>
      </c>
      <c r="G1201" s="323" t="s">
        <v>1875</v>
      </c>
      <c r="H1201" s="322" t="s">
        <v>160</v>
      </c>
      <c r="I1201" s="324">
        <v>9</v>
      </c>
      <c r="J1201" s="325"/>
      <c r="K1201" s="325"/>
      <c r="L1201" s="325">
        <v>29</v>
      </c>
      <c r="M1201" s="325"/>
      <c r="N1201" s="325"/>
      <c r="O1201" s="326"/>
      <c r="P1201" s="326">
        <f>I1201</f>
        <v>9</v>
      </c>
      <c r="Q1201" s="326"/>
      <c r="R1201" s="326"/>
      <c r="S1201" s="327"/>
    </row>
    <row r="1202" spans="1:19" ht="15" customHeight="1">
      <c r="A1202" s="561">
        <f t="shared" si="25"/>
        <v>1202</v>
      </c>
      <c r="B1202" s="31">
        <v>121</v>
      </c>
      <c r="C1202" s="249" t="s">
        <v>181</v>
      </c>
      <c r="D1202" s="320" t="s">
        <v>22</v>
      </c>
      <c r="E1202" s="321"/>
      <c r="F1202" s="322" t="s">
        <v>37</v>
      </c>
      <c r="G1202" s="323" t="s">
        <v>1820</v>
      </c>
      <c r="H1202" s="322" t="s">
        <v>160</v>
      </c>
      <c r="I1202" s="324">
        <v>18</v>
      </c>
      <c r="J1202" s="325"/>
      <c r="K1202" s="325"/>
      <c r="L1202" s="325">
        <v>44</v>
      </c>
      <c r="M1202" s="325"/>
      <c r="N1202" s="325"/>
      <c r="O1202" s="326"/>
      <c r="P1202" s="326">
        <f>I1202</f>
        <v>18</v>
      </c>
      <c r="Q1202" s="326"/>
      <c r="R1202" s="326"/>
      <c r="S1202" s="327"/>
    </row>
    <row r="1203" spans="1:19" ht="15" customHeight="1">
      <c r="A1203" s="561">
        <f t="shared" si="25"/>
        <v>1203</v>
      </c>
      <c r="B1203" s="31">
        <v>121</v>
      </c>
      <c r="C1203" s="249" t="s">
        <v>181</v>
      </c>
      <c r="D1203" s="320" t="s">
        <v>22</v>
      </c>
      <c r="E1203" s="321"/>
      <c r="F1203" s="322" t="s">
        <v>186</v>
      </c>
      <c r="G1203" s="323" t="s">
        <v>1876</v>
      </c>
      <c r="H1203" s="322" t="s">
        <v>160</v>
      </c>
      <c r="I1203" s="324">
        <v>8</v>
      </c>
      <c r="J1203" s="325"/>
      <c r="K1203" s="325"/>
      <c r="L1203" s="325">
        <v>27</v>
      </c>
      <c r="M1203" s="325"/>
      <c r="N1203" s="325"/>
      <c r="O1203" s="326"/>
      <c r="P1203" s="326">
        <f>I1203</f>
        <v>8</v>
      </c>
      <c r="Q1203" s="326"/>
      <c r="R1203" s="326"/>
      <c r="S1203" s="327"/>
    </row>
    <row r="1204" spans="1:19" ht="15" customHeight="1">
      <c r="A1204" s="561">
        <f t="shared" si="25"/>
        <v>1204</v>
      </c>
      <c r="B1204" s="31">
        <v>121</v>
      </c>
      <c r="C1204" s="249" t="s">
        <v>181</v>
      </c>
      <c r="D1204" s="320" t="s">
        <v>22</v>
      </c>
      <c r="E1204" s="321"/>
      <c r="F1204" s="322" t="s">
        <v>40</v>
      </c>
      <c r="G1204" s="323" t="s">
        <v>1821</v>
      </c>
      <c r="H1204" s="322" t="s">
        <v>160</v>
      </c>
      <c r="I1204" s="324">
        <v>10</v>
      </c>
      <c r="J1204" s="325"/>
      <c r="K1204" s="325">
        <v>29</v>
      </c>
      <c r="L1204" s="325"/>
      <c r="M1204" s="325"/>
      <c r="N1204" s="325"/>
      <c r="O1204" s="326"/>
      <c r="P1204" s="326"/>
      <c r="Q1204" s="326">
        <f>I1204</f>
        <v>10</v>
      </c>
      <c r="R1204" s="326"/>
      <c r="S1204" s="327"/>
    </row>
    <row r="1205" spans="1:19" ht="15" customHeight="1">
      <c r="A1205" s="561">
        <f t="shared" si="25"/>
        <v>1205</v>
      </c>
      <c r="B1205" s="31">
        <v>121</v>
      </c>
      <c r="C1205" s="249" t="s">
        <v>181</v>
      </c>
      <c r="D1205" s="320" t="s">
        <v>22</v>
      </c>
      <c r="E1205" s="321"/>
      <c r="F1205" s="322" t="s">
        <v>187</v>
      </c>
      <c r="G1205" s="323" t="s">
        <v>188</v>
      </c>
      <c r="H1205" s="322" t="s">
        <v>160</v>
      </c>
      <c r="I1205" s="324">
        <v>7</v>
      </c>
      <c r="J1205" s="325"/>
      <c r="K1205" s="325"/>
      <c r="L1205" s="325">
        <v>26</v>
      </c>
      <c r="M1205" s="325"/>
      <c r="N1205" s="325"/>
      <c r="O1205" s="326"/>
      <c r="P1205" s="326">
        <f>I1205</f>
        <v>7</v>
      </c>
      <c r="Q1205" s="326"/>
      <c r="R1205" s="326"/>
      <c r="S1205" s="327"/>
    </row>
    <row r="1206" spans="1:19" ht="15" customHeight="1">
      <c r="A1206" s="561">
        <f t="shared" si="25"/>
        <v>1206</v>
      </c>
      <c r="B1206" s="31">
        <v>121</v>
      </c>
      <c r="C1206" s="249" t="s">
        <v>181</v>
      </c>
      <c r="D1206" s="320" t="s">
        <v>22</v>
      </c>
      <c r="E1206" s="321"/>
      <c r="F1206" s="322" t="s">
        <v>41</v>
      </c>
      <c r="G1206" s="323" t="s">
        <v>1877</v>
      </c>
      <c r="H1206" s="322" t="s">
        <v>160</v>
      </c>
      <c r="I1206" s="324">
        <v>16</v>
      </c>
      <c r="J1206" s="325"/>
      <c r="K1206" s="325">
        <v>39</v>
      </c>
      <c r="L1206" s="325"/>
      <c r="M1206" s="325"/>
      <c r="N1206" s="325"/>
      <c r="O1206" s="326"/>
      <c r="P1206" s="326"/>
      <c r="Q1206" s="326">
        <f>I1206</f>
        <v>16</v>
      </c>
      <c r="R1206" s="326"/>
      <c r="S1206" s="327"/>
    </row>
    <row r="1207" spans="1:19" ht="15" customHeight="1">
      <c r="A1207" s="561">
        <f t="shared" si="25"/>
        <v>1207</v>
      </c>
      <c r="B1207" s="31">
        <v>121</v>
      </c>
      <c r="C1207" s="249" t="s">
        <v>181</v>
      </c>
      <c r="D1207" s="320" t="s">
        <v>22</v>
      </c>
      <c r="E1207" s="321"/>
      <c r="F1207" s="322" t="s">
        <v>121</v>
      </c>
      <c r="G1207" s="323" t="s">
        <v>1822</v>
      </c>
      <c r="H1207" s="322" t="s">
        <v>148</v>
      </c>
      <c r="I1207" s="324">
        <v>4</v>
      </c>
      <c r="J1207" s="325">
        <v>24</v>
      </c>
      <c r="K1207" s="325"/>
      <c r="L1207" s="325"/>
      <c r="M1207" s="325"/>
      <c r="N1207" s="325"/>
      <c r="O1207" s="326"/>
      <c r="P1207" s="326"/>
      <c r="Q1207" s="326"/>
      <c r="R1207" s="326">
        <f>I1207</f>
        <v>4</v>
      </c>
      <c r="S1207" s="327"/>
    </row>
    <row r="1208" spans="1:19" ht="15" customHeight="1">
      <c r="A1208" s="561">
        <f t="shared" si="25"/>
        <v>1208</v>
      </c>
      <c r="B1208" s="31">
        <v>121</v>
      </c>
      <c r="C1208" s="249" t="s">
        <v>181</v>
      </c>
      <c r="D1208" s="320" t="s">
        <v>22</v>
      </c>
      <c r="E1208" s="321"/>
      <c r="F1208" s="322" t="s">
        <v>120</v>
      </c>
      <c r="G1208" s="323" t="s">
        <v>1768</v>
      </c>
      <c r="H1208" s="322" t="s">
        <v>148</v>
      </c>
      <c r="I1208" s="324">
        <v>4</v>
      </c>
      <c r="J1208" s="325">
        <v>24</v>
      </c>
      <c r="K1208" s="325"/>
      <c r="L1208" s="325"/>
      <c r="M1208" s="325"/>
      <c r="N1208" s="325"/>
      <c r="O1208" s="326"/>
      <c r="P1208" s="326"/>
      <c r="Q1208" s="326"/>
      <c r="R1208" s="326">
        <f>I1208</f>
        <v>4</v>
      </c>
      <c r="S1208" s="327"/>
    </row>
    <row r="1209" spans="1:19" ht="15" customHeight="1">
      <c r="A1209" s="561">
        <f t="shared" si="25"/>
        <v>1209</v>
      </c>
      <c r="B1209" s="31">
        <v>121</v>
      </c>
      <c r="C1209" s="249" t="s">
        <v>181</v>
      </c>
      <c r="D1209" s="320" t="s">
        <v>22</v>
      </c>
      <c r="E1209" s="321"/>
      <c r="F1209" s="322" t="s">
        <v>189</v>
      </c>
      <c r="G1209" s="323" t="s">
        <v>14</v>
      </c>
      <c r="H1209" s="322" t="s">
        <v>160</v>
      </c>
      <c r="I1209" s="324">
        <v>45</v>
      </c>
      <c r="J1209" s="325"/>
      <c r="K1209" s="325">
        <v>193</v>
      </c>
      <c r="L1209" s="325"/>
      <c r="M1209" s="325"/>
      <c r="N1209" s="325"/>
      <c r="O1209" s="326"/>
      <c r="P1209" s="326"/>
      <c r="Q1209" s="326">
        <f>I1209</f>
        <v>45</v>
      </c>
      <c r="R1209" s="326"/>
      <c r="S1209" s="327"/>
    </row>
    <row r="1210" spans="1:19" ht="15" customHeight="1">
      <c r="A1210" s="561">
        <f t="shared" si="25"/>
        <v>1210</v>
      </c>
      <c r="B1210" s="31">
        <v>121</v>
      </c>
      <c r="C1210" s="249" t="s">
        <v>181</v>
      </c>
      <c r="D1210" s="320" t="s">
        <v>22</v>
      </c>
      <c r="E1210" s="321"/>
      <c r="F1210" s="322" t="s">
        <v>124</v>
      </c>
      <c r="G1210" s="323" t="s">
        <v>66</v>
      </c>
      <c r="H1210" s="322" t="s">
        <v>299</v>
      </c>
      <c r="I1210" s="324">
        <v>6</v>
      </c>
      <c r="J1210" s="325"/>
      <c r="K1210" s="325"/>
      <c r="L1210" s="325"/>
      <c r="M1210" s="325">
        <v>15</v>
      </c>
      <c r="N1210" s="325"/>
      <c r="O1210" s="326"/>
      <c r="P1210" s="326"/>
      <c r="Q1210" s="326"/>
      <c r="R1210" s="326">
        <f>I1210</f>
        <v>6</v>
      </c>
      <c r="S1210" s="327"/>
    </row>
    <row r="1211" spans="1:19" ht="15" customHeight="1">
      <c r="A1211" s="561">
        <f t="shared" si="25"/>
        <v>1211</v>
      </c>
      <c r="B1211" s="31">
        <v>121</v>
      </c>
      <c r="C1211" s="249" t="s">
        <v>181</v>
      </c>
      <c r="D1211" s="320" t="s">
        <v>22</v>
      </c>
      <c r="E1211" s="321"/>
      <c r="F1211" s="322" t="s">
        <v>159</v>
      </c>
      <c r="G1211" s="323" t="s">
        <v>1823</v>
      </c>
      <c r="H1211" s="322" t="s">
        <v>176</v>
      </c>
      <c r="I1211" s="324">
        <v>6</v>
      </c>
      <c r="J1211" s="325"/>
      <c r="K1211" s="325">
        <v>77</v>
      </c>
      <c r="L1211" s="325"/>
      <c r="M1211" s="325"/>
      <c r="N1211" s="325"/>
      <c r="O1211" s="326"/>
      <c r="P1211" s="326"/>
      <c r="Q1211" s="326">
        <f>I1211</f>
        <v>6</v>
      </c>
      <c r="R1211" s="326"/>
      <c r="S1211" s="327"/>
    </row>
    <row r="1212" spans="1:19" ht="15" customHeight="1">
      <c r="A1212" s="561">
        <f t="shared" si="25"/>
        <v>1212</v>
      </c>
      <c r="B1212" s="31">
        <v>121</v>
      </c>
      <c r="C1212" s="249" t="s">
        <v>181</v>
      </c>
      <c r="D1212" s="320" t="s">
        <v>22</v>
      </c>
      <c r="E1212" s="321"/>
      <c r="F1212" s="322" t="s">
        <v>190</v>
      </c>
      <c r="G1212" s="323" t="s">
        <v>1878</v>
      </c>
      <c r="H1212" s="322" t="s">
        <v>109</v>
      </c>
      <c r="I1212" s="324">
        <v>6</v>
      </c>
      <c r="J1212" s="325"/>
      <c r="K1212" s="325">
        <v>35</v>
      </c>
      <c r="L1212" s="325"/>
      <c r="M1212" s="325"/>
      <c r="N1212" s="325"/>
      <c r="O1212" s="326"/>
      <c r="P1212" s="326"/>
      <c r="Q1212" s="326">
        <f>I1212</f>
        <v>6</v>
      </c>
      <c r="R1212" s="326"/>
      <c r="S1212" s="327"/>
    </row>
    <row r="1213" spans="1:19" ht="15" customHeight="1">
      <c r="A1213" s="561">
        <f t="shared" si="25"/>
        <v>1213</v>
      </c>
      <c r="B1213" s="31">
        <v>121</v>
      </c>
      <c r="C1213" s="249" t="s">
        <v>181</v>
      </c>
      <c r="D1213" s="320" t="s">
        <v>22</v>
      </c>
      <c r="E1213" s="321"/>
      <c r="F1213" s="322" t="s">
        <v>192</v>
      </c>
      <c r="G1213" s="323" t="s">
        <v>1879</v>
      </c>
      <c r="H1213" s="322" t="s">
        <v>160</v>
      </c>
      <c r="I1213" s="324">
        <v>26</v>
      </c>
      <c r="J1213" s="325"/>
      <c r="K1213" s="325">
        <v>58</v>
      </c>
      <c r="L1213" s="325"/>
      <c r="M1213" s="325"/>
      <c r="N1213" s="325"/>
      <c r="O1213" s="326"/>
      <c r="P1213" s="326"/>
      <c r="Q1213" s="326">
        <f>I1213</f>
        <v>26</v>
      </c>
      <c r="R1213" s="326"/>
      <c r="S1213" s="327"/>
    </row>
    <row r="1214" spans="1:19" ht="15" customHeight="1">
      <c r="A1214" s="561">
        <f t="shared" si="25"/>
        <v>1214</v>
      </c>
      <c r="B1214" s="31">
        <v>121</v>
      </c>
      <c r="C1214" s="249" t="s">
        <v>181</v>
      </c>
      <c r="D1214" s="320" t="s">
        <v>22</v>
      </c>
      <c r="E1214" s="321"/>
      <c r="F1214" s="322" t="s">
        <v>193</v>
      </c>
      <c r="G1214" s="323" t="s">
        <v>194</v>
      </c>
      <c r="H1214" s="322" t="s">
        <v>176</v>
      </c>
      <c r="I1214" s="324">
        <v>25</v>
      </c>
      <c r="J1214" s="325"/>
      <c r="K1214" s="325">
        <v>75</v>
      </c>
      <c r="L1214" s="325"/>
      <c r="M1214" s="325"/>
      <c r="N1214" s="325"/>
      <c r="O1214" s="326"/>
      <c r="P1214" s="326"/>
      <c r="Q1214" s="326">
        <f>I1214</f>
        <v>25</v>
      </c>
      <c r="R1214" s="326"/>
      <c r="S1214" s="327"/>
    </row>
    <row r="1215" spans="1:19" ht="15" customHeight="1">
      <c r="A1215" s="561">
        <f t="shared" si="25"/>
        <v>1215</v>
      </c>
      <c r="B1215" s="31">
        <v>121</v>
      </c>
      <c r="C1215" s="249" t="s">
        <v>181</v>
      </c>
      <c r="D1215" s="320" t="s">
        <v>22</v>
      </c>
      <c r="E1215" s="321"/>
      <c r="F1215" s="322" t="s">
        <v>195</v>
      </c>
      <c r="G1215" s="323" t="s">
        <v>1880</v>
      </c>
      <c r="H1215" s="322" t="s">
        <v>176</v>
      </c>
      <c r="I1215" s="324">
        <v>14</v>
      </c>
      <c r="J1215" s="325"/>
      <c r="K1215" s="325">
        <v>35</v>
      </c>
      <c r="L1215" s="325"/>
      <c r="M1215" s="325"/>
      <c r="N1215" s="325"/>
      <c r="O1215" s="326"/>
      <c r="P1215" s="326"/>
      <c r="Q1215" s="326">
        <f>I1215</f>
        <v>14</v>
      </c>
      <c r="R1215" s="326"/>
      <c r="S1215" s="327"/>
    </row>
    <row r="1216" spans="1:19" ht="15" customHeight="1">
      <c r="A1216" s="561">
        <f t="shared" si="25"/>
        <v>1216</v>
      </c>
      <c r="B1216" s="31">
        <v>121</v>
      </c>
      <c r="C1216" s="249" t="s">
        <v>181</v>
      </c>
      <c r="D1216" s="320" t="s">
        <v>22</v>
      </c>
      <c r="E1216" s="321"/>
      <c r="F1216" s="322" t="s">
        <v>54</v>
      </c>
      <c r="G1216" s="323" t="s">
        <v>15</v>
      </c>
      <c r="H1216" s="322" t="s">
        <v>113</v>
      </c>
      <c r="I1216" s="324">
        <v>1428</v>
      </c>
      <c r="J1216" s="325"/>
      <c r="K1216" s="325"/>
      <c r="L1216" s="325"/>
      <c r="M1216" s="325"/>
      <c r="N1216" s="325"/>
      <c r="O1216" s="326">
        <v>513</v>
      </c>
      <c r="P1216" s="326"/>
      <c r="Q1216" s="326"/>
      <c r="R1216" s="326"/>
      <c r="S1216" s="327"/>
    </row>
    <row r="1217" spans="1:19" ht="15" customHeight="1">
      <c r="A1217" s="561">
        <f t="shared" si="25"/>
        <v>1217</v>
      </c>
      <c r="B1217" s="31">
        <v>121</v>
      </c>
      <c r="C1217" s="249" t="s">
        <v>181</v>
      </c>
      <c r="D1217" s="320" t="s">
        <v>22</v>
      </c>
      <c r="E1217" s="321"/>
      <c r="F1217" s="322" t="s">
        <v>64</v>
      </c>
      <c r="G1217" s="323" t="s">
        <v>197</v>
      </c>
      <c r="H1217" s="322" t="s">
        <v>68</v>
      </c>
      <c r="I1217" s="324">
        <v>35</v>
      </c>
      <c r="J1217" s="325" t="s">
        <v>317</v>
      </c>
      <c r="K1217" s="325"/>
      <c r="L1217" s="325"/>
      <c r="M1217" s="325"/>
      <c r="N1217" s="325"/>
      <c r="O1217" s="326"/>
      <c r="P1217" s="326"/>
      <c r="Q1217" s="326">
        <f>I1217</f>
        <v>35</v>
      </c>
      <c r="R1217" s="326"/>
      <c r="S1217" s="327"/>
    </row>
    <row r="1218" spans="1:19" ht="15" customHeight="1">
      <c r="A1218" s="561">
        <f t="shared" si="25"/>
        <v>1218</v>
      </c>
      <c r="B1218" s="31">
        <v>121</v>
      </c>
      <c r="C1218" s="249" t="s">
        <v>181</v>
      </c>
      <c r="D1218" s="320" t="s">
        <v>22</v>
      </c>
      <c r="E1218" s="321"/>
      <c r="F1218" s="322" t="s">
        <v>163</v>
      </c>
      <c r="G1218" s="323" t="s">
        <v>1849</v>
      </c>
      <c r="H1218" s="322" t="s">
        <v>821</v>
      </c>
      <c r="I1218" s="324">
        <v>27</v>
      </c>
      <c r="J1218" s="325" t="s">
        <v>317</v>
      </c>
      <c r="K1218" s="325"/>
      <c r="L1218" s="325"/>
      <c r="M1218" s="325"/>
      <c r="N1218" s="325"/>
      <c r="O1218" s="326"/>
      <c r="P1218" s="326"/>
      <c r="Q1218" s="326">
        <f>I1218</f>
        <v>27</v>
      </c>
      <c r="R1218" s="326"/>
      <c r="S1218" s="327"/>
    </row>
    <row r="1219" spans="1:19" ht="15" customHeight="1">
      <c r="A1219" s="561">
        <f t="shared" ref="A1219:A1282" si="28">1+A1218</f>
        <v>1219</v>
      </c>
      <c r="B1219" s="31">
        <v>1001</v>
      </c>
      <c r="C1219" s="249" t="s">
        <v>1040</v>
      </c>
      <c r="D1219" s="320" t="s">
        <v>1044</v>
      </c>
      <c r="E1219" s="321"/>
      <c r="F1219" s="322" t="s">
        <v>1</v>
      </c>
      <c r="G1219" s="323"/>
      <c r="H1219" s="322" t="s">
        <v>1055</v>
      </c>
      <c r="I1219" s="324">
        <v>5</v>
      </c>
      <c r="J1219" s="325"/>
      <c r="K1219" s="325"/>
      <c r="L1219" s="325"/>
      <c r="M1219" s="325"/>
      <c r="N1219" s="325"/>
      <c r="O1219" s="326"/>
      <c r="P1219" s="326"/>
      <c r="Q1219" s="326"/>
      <c r="R1219" s="326"/>
      <c r="S1219" s="327"/>
    </row>
    <row r="1220" spans="1:19" ht="15" customHeight="1">
      <c r="A1220" s="561">
        <f t="shared" si="28"/>
        <v>1220</v>
      </c>
      <c r="B1220" s="31">
        <v>1001</v>
      </c>
      <c r="C1220" s="249" t="s">
        <v>1040</v>
      </c>
      <c r="D1220" s="320" t="s">
        <v>1044</v>
      </c>
      <c r="E1220" s="321"/>
      <c r="F1220" s="322" t="s">
        <v>65</v>
      </c>
      <c r="G1220" s="323"/>
      <c r="H1220" s="322" t="s">
        <v>68</v>
      </c>
      <c r="I1220" s="324">
        <v>6</v>
      </c>
      <c r="J1220" s="325"/>
      <c r="K1220" s="325"/>
      <c r="L1220" s="325">
        <v>23</v>
      </c>
      <c r="M1220" s="325"/>
      <c r="N1220" s="325"/>
      <c r="O1220" s="326"/>
      <c r="P1220" s="326">
        <v>6</v>
      </c>
      <c r="Q1220" s="326"/>
      <c r="R1220" s="326"/>
      <c r="S1220" s="327"/>
    </row>
    <row r="1221" spans="1:19" ht="15" customHeight="1">
      <c r="A1221" s="561">
        <f t="shared" si="28"/>
        <v>1221</v>
      </c>
      <c r="B1221" s="31">
        <v>1001</v>
      </c>
      <c r="C1221" s="249" t="s">
        <v>1040</v>
      </c>
      <c r="D1221" s="320" t="s">
        <v>1044</v>
      </c>
      <c r="E1221" s="321"/>
      <c r="F1221" s="322" t="s">
        <v>1352</v>
      </c>
      <c r="G1221" s="323"/>
      <c r="H1221" s="322" t="s">
        <v>1353</v>
      </c>
      <c r="I1221" s="324">
        <v>420</v>
      </c>
      <c r="J1221" s="325"/>
      <c r="K1221" s="325"/>
      <c r="L1221" s="325"/>
      <c r="M1221" s="325"/>
      <c r="N1221" s="325"/>
      <c r="O1221" s="326"/>
      <c r="P1221" s="326"/>
      <c r="Q1221" s="326"/>
      <c r="R1221" s="326"/>
      <c r="S1221" s="327"/>
    </row>
    <row r="1222" spans="1:19" ht="15" customHeight="1">
      <c r="A1222" s="561">
        <f t="shared" si="28"/>
        <v>1222</v>
      </c>
      <c r="B1222" s="31">
        <v>1001</v>
      </c>
      <c r="C1222" s="249" t="s">
        <v>1040</v>
      </c>
      <c r="D1222" s="320" t="s">
        <v>1044</v>
      </c>
      <c r="E1222" s="321"/>
      <c r="F1222" s="322" t="s">
        <v>97</v>
      </c>
      <c r="G1222" s="323"/>
      <c r="H1222" s="322" t="s">
        <v>1354</v>
      </c>
      <c r="I1222" s="324">
        <v>27</v>
      </c>
      <c r="J1222" s="325"/>
      <c r="K1222" s="325"/>
      <c r="L1222" s="325"/>
      <c r="M1222" s="325"/>
      <c r="N1222" s="325"/>
      <c r="O1222" s="326"/>
      <c r="P1222" s="326"/>
      <c r="Q1222" s="326"/>
      <c r="R1222" s="326"/>
      <c r="S1222" s="327"/>
    </row>
    <row r="1223" spans="1:19" ht="15" customHeight="1">
      <c r="A1223" s="561">
        <f t="shared" si="28"/>
        <v>1223</v>
      </c>
      <c r="B1223" s="31">
        <v>1002</v>
      </c>
      <c r="C1223" s="249" t="s">
        <v>1071</v>
      </c>
      <c r="D1223" s="320" t="s">
        <v>1044</v>
      </c>
      <c r="E1223" s="321"/>
      <c r="F1223" s="322" t="s">
        <v>175</v>
      </c>
      <c r="G1223" s="323" t="s">
        <v>735</v>
      </c>
      <c r="H1223" s="322" t="s">
        <v>109</v>
      </c>
      <c r="I1223" s="324">
        <v>2.8</v>
      </c>
      <c r="J1223" s="325">
        <v>1.4</v>
      </c>
      <c r="K1223" s="325"/>
      <c r="L1223" s="325"/>
      <c r="M1223" s="325"/>
      <c r="N1223" s="325"/>
      <c r="O1223" s="326"/>
      <c r="P1223" s="326">
        <v>15.72</v>
      </c>
      <c r="Q1223" s="326"/>
      <c r="R1223" s="326"/>
      <c r="S1223" s="327"/>
    </row>
    <row r="1224" spans="1:19" ht="15" customHeight="1">
      <c r="A1224" s="561">
        <f t="shared" si="28"/>
        <v>1224</v>
      </c>
      <c r="B1224" s="31">
        <v>1002</v>
      </c>
      <c r="C1224" s="249" t="s">
        <v>1071</v>
      </c>
      <c r="D1224" s="320" t="s">
        <v>1044</v>
      </c>
      <c r="E1224" s="321"/>
      <c r="F1224" s="322" t="s">
        <v>1072</v>
      </c>
      <c r="G1224" s="323" t="s">
        <v>200</v>
      </c>
      <c r="H1224" s="322" t="s">
        <v>109</v>
      </c>
      <c r="I1224" s="324">
        <v>14.4</v>
      </c>
      <c r="J1224" s="325">
        <v>3</v>
      </c>
      <c r="K1224" s="325"/>
      <c r="L1224" s="325"/>
      <c r="M1224" s="325"/>
      <c r="N1224" s="325"/>
      <c r="O1224" s="326"/>
      <c r="P1224" s="326">
        <v>14.4</v>
      </c>
      <c r="Q1224" s="326"/>
      <c r="R1224" s="326"/>
      <c r="S1224" s="327"/>
    </row>
    <row r="1225" spans="1:19" ht="15" customHeight="1">
      <c r="A1225" s="561">
        <f t="shared" si="28"/>
        <v>1225</v>
      </c>
      <c r="B1225" s="31">
        <v>1002</v>
      </c>
      <c r="C1225" s="249" t="s">
        <v>1071</v>
      </c>
      <c r="D1225" s="320" t="s">
        <v>1044</v>
      </c>
      <c r="E1225" s="321"/>
      <c r="F1225" s="322" t="s">
        <v>577</v>
      </c>
      <c r="G1225" s="323" t="s">
        <v>216</v>
      </c>
      <c r="H1225" s="322" t="s">
        <v>109</v>
      </c>
      <c r="I1225" s="324">
        <v>15.72</v>
      </c>
      <c r="J1225" s="325">
        <v>1.4</v>
      </c>
      <c r="K1225" s="325"/>
      <c r="L1225" s="325"/>
      <c r="M1225" s="325"/>
      <c r="N1225" s="325"/>
      <c r="O1225" s="326"/>
      <c r="P1225" s="326">
        <v>2.04</v>
      </c>
      <c r="Q1225" s="326">
        <v>1</v>
      </c>
      <c r="R1225" s="326"/>
      <c r="S1225" s="327"/>
    </row>
    <row r="1226" spans="1:19" ht="15" customHeight="1">
      <c r="A1226" s="561">
        <f t="shared" si="28"/>
        <v>1226</v>
      </c>
      <c r="B1226" s="31">
        <v>1002</v>
      </c>
      <c r="C1226" s="249" t="s">
        <v>1071</v>
      </c>
      <c r="D1226" s="320" t="s">
        <v>1044</v>
      </c>
      <c r="E1226" s="321"/>
      <c r="F1226" s="322" t="s">
        <v>143</v>
      </c>
      <c r="G1226" s="323" t="s">
        <v>213</v>
      </c>
      <c r="H1226" s="322" t="s">
        <v>109</v>
      </c>
      <c r="I1226" s="324">
        <v>30</v>
      </c>
      <c r="J1226" s="325">
        <v>8</v>
      </c>
      <c r="K1226" s="325"/>
      <c r="L1226" s="325"/>
      <c r="M1226" s="325"/>
      <c r="N1226" s="325"/>
      <c r="O1226" s="326"/>
      <c r="P1226" s="326">
        <v>30</v>
      </c>
      <c r="Q1226" s="326">
        <v>2.8</v>
      </c>
      <c r="R1226" s="326"/>
      <c r="S1226" s="327"/>
    </row>
    <row r="1227" spans="1:19" ht="15" customHeight="1">
      <c r="A1227" s="561">
        <f t="shared" si="28"/>
        <v>1227</v>
      </c>
      <c r="B1227" s="31">
        <v>1002</v>
      </c>
      <c r="C1227" s="249" t="s">
        <v>1071</v>
      </c>
      <c r="D1227" s="320" t="s">
        <v>1044</v>
      </c>
      <c r="E1227" s="321"/>
      <c r="F1227" s="322" t="s">
        <v>1045</v>
      </c>
      <c r="G1227" s="323" t="s">
        <v>742</v>
      </c>
      <c r="H1227" s="322" t="s">
        <v>109</v>
      </c>
      <c r="I1227" s="324">
        <v>9.8000000000000007</v>
      </c>
      <c r="J1227" s="325">
        <v>21.36</v>
      </c>
      <c r="K1227" s="325"/>
      <c r="L1227" s="325"/>
      <c r="M1227" s="325"/>
      <c r="N1227" s="325"/>
      <c r="O1227" s="326"/>
      <c r="P1227" s="326">
        <v>9.8000000000000007</v>
      </c>
      <c r="Q1227" s="326"/>
      <c r="R1227" s="326"/>
      <c r="S1227" s="327"/>
    </row>
    <row r="1228" spans="1:19" ht="15" customHeight="1">
      <c r="A1228" s="561">
        <f t="shared" si="28"/>
        <v>1228</v>
      </c>
      <c r="B1228" s="31">
        <v>1002</v>
      </c>
      <c r="C1228" s="249" t="s">
        <v>1071</v>
      </c>
      <c r="D1228" s="320" t="s">
        <v>1044</v>
      </c>
      <c r="E1228" s="321"/>
      <c r="F1228" s="322" t="s">
        <v>1073</v>
      </c>
      <c r="G1228" s="323" t="s">
        <v>1076</v>
      </c>
      <c r="H1228" s="322" t="s">
        <v>109</v>
      </c>
      <c r="I1228" s="324">
        <f>7.6-1.44</f>
        <v>6.16</v>
      </c>
      <c r="J1228" s="325">
        <v>2</v>
      </c>
      <c r="K1228" s="325"/>
      <c r="L1228" s="325"/>
      <c r="M1228" s="325"/>
      <c r="N1228" s="325"/>
      <c r="O1228" s="326"/>
      <c r="P1228" s="326">
        <v>7.6</v>
      </c>
      <c r="Q1228" s="326"/>
      <c r="R1228" s="326"/>
      <c r="S1228" s="327"/>
    </row>
    <row r="1229" spans="1:19" ht="15" customHeight="1">
      <c r="A1229" s="561">
        <f t="shared" si="28"/>
        <v>1229</v>
      </c>
      <c r="B1229" s="31">
        <v>1002</v>
      </c>
      <c r="C1229" s="249" t="s">
        <v>1071</v>
      </c>
      <c r="D1229" s="320" t="s">
        <v>1044</v>
      </c>
      <c r="E1229" s="321"/>
      <c r="F1229" s="322" t="s">
        <v>309</v>
      </c>
      <c r="G1229" s="323" t="s">
        <v>1076</v>
      </c>
      <c r="H1229" s="322" t="s">
        <v>109</v>
      </c>
      <c r="I1229" s="324">
        <v>2.52</v>
      </c>
      <c r="J1229" s="325">
        <v>11.5</v>
      </c>
      <c r="K1229" s="325"/>
      <c r="L1229" s="325"/>
      <c r="M1229" s="325"/>
      <c r="N1229" s="325"/>
      <c r="O1229" s="326"/>
      <c r="P1229" s="326">
        <v>2.7</v>
      </c>
      <c r="Q1229" s="326"/>
      <c r="R1229" s="326"/>
      <c r="S1229" s="327"/>
    </row>
    <row r="1230" spans="1:19" ht="15" customHeight="1">
      <c r="A1230" s="561">
        <f t="shared" si="28"/>
        <v>1230</v>
      </c>
      <c r="B1230" s="31">
        <v>1002</v>
      </c>
      <c r="C1230" s="249" t="s">
        <v>1071</v>
      </c>
      <c r="D1230" s="320" t="s">
        <v>1044</v>
      </c>
      <c r="E1230" s="321"/>
      <c r="F1230" s="322" t="s">
        <v>1074</v>
      </c>
      <c r="G1230" s="323" t="s">
        <v>1076</v>
      </c>
      <c r="H1230" s="322" t="s">
        <v>109</v>
      </c>
      <c r="I1230" s="324">
        <v>7.7</v>
      </c>
      <c r="J1230" s="325">
        <v>2.5</v>
      </c>
      <c r="K1230" s="325"/>
      <c r="L1230" s="325"/>
      <c r="M1230" s="325"/>
      <c r="N1230" s="325"/>
      <c r="O1230" s="326"/>
      <c r="P1230" s="326">
        <v>7.7</v>
      </c>
      <c r="Q1230" s="326"/>
      <c r="R1230" s="326"/>
      <c r="S1230" s="327"/>
    </row>
    <row r="1231" spans="1:19" ht="15" customHeight="1">
      <c r="A1231" s="561">
        <f t="shared" si="28"/>
        <v>1231</v>
      </c>
      <c r="B1231" s="31">
        <v>1002</v>
      </c>
      <c r="C1231" s="249" t="s">
        <v>1071</v>
      </c>
      <c r="D1231" s="320" t="s">
        <v>1044</v>
      </c>
      <c r="E1231" s="321"/>
      <c r="F1231" s="322" t="s">
        <v>1075</v>
      </c>
      <c r="G1231" s="323" t="s">
        <v>1076</v>
      </c>
      <c r="H1231" s="322" t="s">
        <v>109</v>
      </c>
      <c r="I1231" s="324">
        <v>0.7</v>
      </c>
      <c r="J1231" s="325">
        <v>0.5</v>
      </c>
      <c r="K1231" s="325"/>
      <c r="L1231" s="325"/>
      <c r="M1231" s="325"/>
      <c r="N1231" s="325"/>
      <c r="O1231" s="326"/>
      <c r="P1231" s="326">
        <v>0.7</v>
      </c>
      <c r="Q1231" s="326"/>
      <c r="R1231" s="326"/>
      <c r="S1231" s="327"/>
    </row>
    <row r="1232" spans="1:19" ht="15" customHeight="1">
      <c r="A1232" s="561">
        <f t="shared" si="28"/>
        <v>1232</v>
      </c>
      <c r="B1232" s="31">
        <v>1002</v>
      </c>
      <c r="C1232" s="249" t="s">
        <v>1071</v>
      </c>
      <c r="D1232" s="320" t="s">
        <v>1044</v>
      </c>
      <c r="E1232" s="321"/>
      <c r="F1232" s="322" t="s">
        <v>1355</v>
      </c>
      <c r="G1232" s="323"/>
      <c r="H1232" s="322" t="s">
        <v>68</v>
      </c>
      <c r="I1232" s="324">
        <v>43</v>
      </c>
      <c r="J1232" s="325"/>
      <c r="K1232" s="325"/>
      <c r="L1232" s="325"/>
      <c r="M1232" s="325"/>
      <c r="N1232" s="325"/>
      <c r="O1232" s="326"/>
      <c r="P1232" s="326"/>
      <c r="Q1232" s="326"/>
      <c r="R1232" s="326"/>
      <c r="S1232" s="327"/>
    </row>
    <row r="1233" spans="1:19" ht="15" customHeight="1">
      <c r="A1233" s="561">
        <f t="shared" si="28"/>
        <v>1233</v>
      </c>
      <c r="B1233" s="31">
        <v>1002</v>
      </c>
      <c r="C1233" s="249" t="s">
        <v>1071</v>
      </c>
      <c r="D1233" s="320" t="s">
        <v>1044</v>
      </c>
      <c r="E1233" s="321"/>
      <c r="F1233" s="322" t="s">
        <v>1355</v>
      </c>
      <c r="G1233" s="323"/>
      <c r="H1233" s="322" t="s">
        <v>1361</v>
      </c>
      <c r="I1233" s="324">
        <v>60</v>
      </c>
      <c r="J1233" s="325"/>
      <c r="K1233" s="325"/>
      <c r="L1233" s="325"/>
      <c r="M1233" s="325"/>
      <c r="N1233" s="325"/>
      <c r="O1233" s="326"/>
      <c r="P1233" s="326"/>
      <c r="Q1233" s="326"/>
      <c r="R1233" s="326"/>
      <c r="S1233" s="327"/>
    </row>
    <row r="1234" spans="1:19" ht="15" customHeight="1">
      <c r="A1234" s="561">
        <f t="shared" si="28"/>
        <v>1234</v>
      </c>
      <c r="B1234" s="31">
        <v>1002</v>
      </c>
      <c r="C1234" s="249" t="s">
        <v>1071</v>
      </c>
      <c r="D1234" s="320" t="s">
        <v>1044</v>
      </c>
      <c r="E1234" s="321"/>
      <c r="F1234" s="322" t="s">
        <v>1355</v>
      </c>
      <c r="G1234" s="323"/>
      <c r="H1234" s="322" t="s">
        <v>1361</v>
      </c>
      <c r="I1234" s="324">
        <v>6.25</v>
      </c>
      <c r="J1234" s="325"/>
      <c r="K1234" s="325"/>
      <c r="L1234" s="325"/>
      <c r="M1234" s="325"/>
      <c r="N1234" s="325"/>
      <c r="O1234" s="326"/>
      <c r="P1234" s="326"/>
      <c r="Q1234" s="326"/>
      <c r="R1234" s="326"/>
      <c r="S1234" s="327"/>
    </row>
    <row r="1235" spans="1:19" ht="15" customHeight="1">
      <c r="A1235" s="561">
        <f t="shared" si="28"/>
        <v>1235</v>
      </c>
      <c r="B1235" s="31">
        <v>1002</v>
      </c>
      <c r="C1235" s="249" t="s">
        <v>1071</v>
      </c>
      <c r="D1235" s="320" t="s">
        <v>1044</v>
      </c>
      <c r="E1235" s="321"/>
      <c r="F1235" s="322" t="s">
        <v>1355</v>
      </c>
      <c r="G1235" s="323"/>
      <c r="H1235" s="322" t="s">
        <v>1361</v>
      </c>
      <c r="I1235" s="324">
        <v>6.25</v>
      </c>
      <c r="J1235" s="325"/>
      <c r="K1235" s="325"/>
      <c r="L1235" s="325"/>
      <c r="M1235" s="325"/>
      <c r="N1235" s="325"/>
      <c r="O1235" s="326"/>
      <c r="P1235" s="326"/>
      <c r="Q1235" s="326"/>
      <c r="R1235" s="326"/>
      <c r="S1235" s="327"/>
    </row>
    <row r="1236" spans="1:19" ht="15" customHeight="1">
      <c r="A1236" s="561">
        <f t="shared" si="28"/>
        <v>1236</v>
      </c>
      <c r="B1236" s="31">
        <v>1002</v>
      </c>
      <c r="C1236" s="249" t="s">
        <v>1071</v>
      </c>
      <c r="D1236" s="320" t="s">
        <v>1044</v>
      </c>
      <c r="E1236" s="321"/>
      <c r="F1236" s="322" t="s">
        <v>1356</v>
      </c>
      <c r="G1236" s="323"/>
      <c r="H1236" s="322" t="s">
        <v>68</v>
      </c>
      <c r="I1236" s="324">
        <v>17.5</v>
      </c>
      <c r="J1236" s="325"/>
      <c r="K1236" s="325"/>
      <c r="L1236" s="325"/>
      <c r="M1236" s="325"/>
      <c r="N1236" s="325"/>
      <c r="O1236" s="326"/>
      <c r="P1236" s="326"/>
      <c r="Q1236" s="326"/>
      <c r="R1236" s="326"/>
      <c r="S1236" s="327"/>
    </row>
    <row r="1237" spans="1:19" ht="15" customHeight="1">
      <c r="A1237" s="561">
        <f t="shared" si="28"/>
        <v>1237</v>
      </c>
      <c r="B1237" s="31">
        <v>1002</v>
      </c>
      <c r="C1237" s="249" t="s">
        <v>1071</v>
      </c>
      <c r="D1237" s="320" t="s">
        <v>1044</v>
      </c>
      <c r="E1237" s="321"/>
      <c r="F1237" s="322" t="s">
        <v>1356</v>
      </c>
      <c r="G1237" s="323"/>
      <c r="H1237" s="322" t="s">
        <v>68</v>
      </c>
      <c r="I1237" s="324">
        <v>25</v>
      </c>
      <c r="J1237" s="325"/>
      <c r="K1237" s="325"/>
      <c r="L1237" s="325"/>
      <c r="M1237" s="325"/>
      <c r="N1237" s="325"/>
      <c r="O1237" s="326"/>
      <c r="P1237" s="326"/>
      <c r="Q1237" s="326"/>
      <c r="R1237" s="326"/>
      <c r="S1237" s="327"/>
    </row>
    <row r="1238" spans="1:19" ht="15" customHeight="1">
      <c r="A1238" s="561">
        <f t="shared" si="28"/>
        <v>1238</v>
      </c>
      <c r="B1238" s="31">
        <v>1002</v>
      </c>
      <c r="C1238" s="249" t="s">
        <v>1071</v>
      </c>
      <c r="D1238" s="320" t="s">
        <v>1044</v>
      </c>
      <c r="E1238" s="321"/>
      <c r="F1238" s="322" t="s">
        <v>1356</v>
      </c>
      <c r="G1238" s="323"/>
      <c r="H1238" s="322" t="s">
        <v>68</v>
      </c>
      <c r="I1238" s="324">
        <v>25</v>
      </c>
      <c r="J1238" s="325"/>
      <c r="K1238" s="325"/>
      <c r="L1238" s="325"/>
      <c r="M1238" s="325"/>
      <c r="N1238" s="325"/>
      <c r="O1238" s="326"/>
      <c r="P1238" s="326"/>
      <c r="Q1238" s="326"/>
      <c r="R1238" s="326"/>
      <c r="S1238" s="327"/>
    </row>
    <row r="1239" spans="1:19" ht="15" customHeight="1">
      <c r="A1239" s="561">
        <f t="shared" si="28"/>
        <v>1239</v>
      </c>
      <c r="B1239" s="31">
        <v>1002</v>
      </c>
      <c r="C1239" s="249" t="s">
        <v>1071</v>
      </c>
      <c r="D1239" s="320" t="s">
        <v>1044</v>
      </c>
      <c r="E1239" s="321"/>
      <c r="F1239" s="322" t="s">
        <v>320</v>
      </c>
      <c r="G1239" s="323"/>
      <c r="H1239" s="322" t="s">
        <v>68</v>
      </c>
      <c r="I1239" s="324">
        <v>18</v>
      </c>
      <c r="J1239" s="325"/>
      <c r="K1239" s="325"/>
      <c r="L1239" s="325"/>
      <c r="M1239" s="325"/>
      <c r="N1239" s="325"/>
      <c r="O1239" s="326"/>
      <c r="P1239" s="326"/>
      <c r="Q1239" s="326"/>
      <c r="R1239" s="326"/>
      <c r="S1239" s="327"/>
    </row>
    <row r="1240" spans="1:19" ht="15" customHeight="1">
      <c r="A1240" s="561">
        <f t="shared" si="28"/>
        <v>1240</v>
      </c>
      <c r="B1240" s="31">
        <v>1002</v>
      </c>
      <c r="C1240" s="249" t="s">
        <v>1071</v>
      </c>
      <c r="D1240" s="320" t="s">
        <v>1044</v>
      </c>
      <c r="E1240" s="321"/>
      <c r="F1240" s="322" t="s">
        <v>320</v>
      </c>
      <c r="G1240" s="323"/>
      <c r="H1240" s="322" t="s">
        <v>68</v>
      </c>
      <c r="I1240" s="324">
        <v>1</v>
      </c>
      <c r="J1240" s="325"/>
      <c r="K1240" s="325"/>
      <c r="L1240" s="325"/>
      <c r="M1240" s="325"/>
      <c r="N1240" s="325"/>
      <c r="O1240" s="326"/>
      <c r="P1240" s="326"/>
      <c r="Q1240" s="326"/>
      <c r="R1240" s="326"/>
      <c r="S1240" s="327"/>
    </row>
    <row r="1241" spans="1:19" ht="15" customHeight="1">
      <c r="A1241" s="561">
        <f t="shared" si="28"/>
        <v>1241</v>
      </c>
      <c r="B1241" s="31">
        <v>1002</v>
      </c>
      <c r="C1241" s="249" t="s">
        <v>1071</v>
      </c>
      <c r="D1241" s="320" t="s">
        <v>1044</v>
      </c>
      <c r="E1241" s="321"/>
      <c r="F1241" s="322" t="s">
        <v>320</v>
      </c>
      <c r="G1241" s="323"/>
      <c r="H1241" s="322" t="s">
        <v>68</v>
      </c>
      <c r="I1241" s="324">
        <v>1.5</v>
      </c>
      <c r="J1241" s="325"/>
      <c r="K1241" s="325"/>
      <c r="L1241" s="325"/>
      <c r="M1241" s="325"/>
      <c r="N1241" s="325"/>
      <c r="O1241" s="326"/>
      <c r="P1241" s="326"/>
      <c r="Q1241" s="326"/>
      <c r="R1241" s="326"/>
      <c r="S1241" s="327"/>
    </row>
    <row r="1242" spans="1:19" ht="15" customHeight="1">
      <c r="A1242" s="561">
        <f t="shared" si="28"/>
        <v>1242</v>
      </c>
      <c r="B1242" s="31">
        <v>1002</v>
      </c>
      <c r="C1242" s="249" t="s">
        <v>1071</v>
      </c>
      <c r="D1242" s="320" t="s">
        <v>1044</v>
      </c>
      <c r="E1242" s="321"/>
      <c r="F1242" s="322" t="s">
        <v>1357</v>
      </c>
      <c r="G1242" s="323"/>
      <c r="H1242" s="322" t="s">
        <v>68</v>
      </c>
      <c r="I1242" s="324">
        <v>8</v>
      </c>
      <c r="J1242" s="325"/>
      <c r="K1242" s="325"/>
      <c r="L1242" s="325"/>
      <c r="M1242" s="325"/>
      <c r="N1242" s="325"/>
      <c r="O1242" s="326"/>
      <c r="P1242" s="326"/>
      <c r="Q1242" s="326"/>
      <c r="R1242" s="326"/>
      <c r="S1242" s="327"/>
    </row>
    <row r="1243" spans="1:19" ht="15" customHeight="1">
      <c r="A1243" s="561">
        <f t="shared" si="28"/>
        <v>1243</v>
      </c>
      <c r="B1243" s="31">
        <v>1002</v>
      </c>
      <c r="C1243" s="249" t="s">
        <v>1071</v>
      </c>
      <c r="D1243" s="320" t="s">
        <v>1044</v>
      </c>
      <c r="E1243" s="321"/>
      <c r="F1243" s="322" t="s">
        <v>1352</v>
      </c>
      <c r="G1243" s="323"/>
      <c r="H1243" s="322" t="s">
        <v>68</v>
      </c>
      <c r="I1243" s="324">
        <v>495</v>
      </c>
      <c r="J1243" s="325"/>
      <c r="K1243" s="325"/>
      <c r="L1243" s="325"/>
      <c r="M1243" s="325"/>
      <c r="N1243" s="325"/>
      <c r="O1243" s="326"/>
      <c r="P1243" s="326"/>
      <c r="Q1243" s="326"/>
      <c r="R1243" s="326"/>
      <c r="S1243" s="327"/>
    </row>
    <row r="1244" spans="1:19" ht="15" customHeight="1">
      <c r="A1244" s="561">
        <f t="shared" si="28"/>
        <v>1244</v>
      </c>
      <c r="B1244" s="31">
        <v>1002</v>
      </c>
      <c r="C1244" s="249" t="s">
        <v>1071</v>
      </c>
      <c r="D1244" s="320" t="s">
        <v>1044</v>
      </c>
      <c r="E1244" s="321"/>
      <c r="F1244" s="322" t="s">
        <v>1358</v>
      </c>
      <c r="G1244" s="323"/>
      <c r="H1244" s="322" t="s">
        <v>68</v>
      </c>
      <c r="I1244" s="324">
        <v>1044</v>
      </c>
      <c r="J1244" s="325"/>
      <c r="K1244" s="325"/>
      <c r="L1244" s="325"/>
      <c r="M1244" s="325"/>
      <c r="N1244" s="325"/>
      <c r="O1244" s="326"/>
      <c r="P1244" s="326"/>
      <c r="Q1244" s="326"/>
      <c r="R1244" s="326"/>
      <c r="S1244" s="327"/>
    </row>
    <row r="1245" spans="1:19" ht="15" customHeight="1">
      <c r="A1245" s="561">
        <f t="shared" si="28"/>
        <v>1245</v>
      </c>
      <c r="B1245" s="31">
        <v>1002</v>
      </c>
      <c r="C1245" s="249" t="s">
        <v>1071</v>
      </c>
      <c r="D1245" s="320" t="s">
        <v>1044</v>
      </c>
      <c r="E1245" s="321"/>
      <c r="F1245" s="322" t="s">
        <v>1359</v>
      </c>
      <c r="G1245" s="323"/>
      <c r="H1245" s="322" t="s">
        <v>68</v>
      </c>
      <c r="I1245" s="324">
        <v>3</v>
      </c>
      <c r="J1245" s="325"/>
      <c r="K1245" s="325"/>
      <c r="L1245" s="325"/>
      <c r="M1245" s="325"/>
      <c r="N1245" s="325"/>
      <c r="O1245" s="326"/>
      <c r="P1245" s="326"/>
      <c r="Q1245" s="326"/>
      <c r="R1245" s="326"/>
      <c r="S1245" s="327"/>
    </row>
    <row r="1246" spans="1:19" ht="15" customHeight="1">
      <c r="A1246" s="561">
        <f t="shared" si="28"/>
        <v>1246</v>
      </c>
      <c r="B1246" s="31">
        <v>1002</v>
      </c>
      <c r="C1246" s="249" t="s">
        <v>1071</v>
      </c>
      <c r="D1246" s="320" t="s">
        <v>1044</v>
      </c>
      <c r="E1246" s="321"/>
      <c r="F1246" s="322" t="s">
        <v>125</v>
      </c>
      <c r="G1246" s="323"/>
      <c r="H1246" s="322" t="s">
        <v>1354</v>
      </c>
      <c r="I1246" s="324">
        <v>3</v>
      </c>
      <c r="J1246" s="325"/>
      <c r="K1246" s="325"/>
      <c r="L1246" s="325"/>
      <c r="M1246" s="325"/>
      <c r="N1246" s="325"/>
      <c r="O1246" s="326"/>
      <c r="P1246" s="326"/>
      <c r="Q1246" s="326"/>
      <c r="R1246" s="326"/>
      <c r="S1246" s="327"/>
    </row>
    <row r="1247" spans="1:19" ht="15" customHeight="1">
      <c r="A1247" s="561">
        <f t="shared" si="28"/>
        <v>1247</v>
      </c>
      <c r="B1247" s="31">
        <v>1002</v>
      </c>
      <c r="C1247" s="249" t="s">
        <v>1071</v>
      </c>
      <c r="D1247" s="320" t="s">
        <v>1044</v>
      </c>
      <c r="E1247" s="321"/>
      <c r="F1247" s="322" t="s">
        <v>125</v>
      </c>
      <c r="G1247" s="323"/>
      <c r="H1247" s="322" t="s">
        <v>1354</v>
      </c>
      <c r="I1247" s="324">
        <v>3</v>
      </c>
      <c r="J1247" s="325"/>
      <c r="K1247" s="325"/>
      <c r="L1247" s="325"/>
      <c r="M1247" s="325"/>
      <c r="N1247" s="325"/>
      <c r="O1247" s="326"/>
      <c r="P1247" s="326"/>
      <c r="Q1247" s="326"/>
      <c r="R1247" s="326"/>
      <c r="S1247" s="327"/>
    </row>
    <row r="1248" spans="1:19" ht="15" customHeight="1">
      <c r="A1248" s="561">
        <f t="shared" si="28"/>
        <v>1248</v>
      </c>
      <c r="B1248" s="31">
        <v>1002</v>
      </c>
      <c r="C1248" s="249" t="s">
        <v>1071</v>
      </c>
      <c r="D1248" s="320" t="s">
        <v>1044</v>
      </c>
      <c r="E1248" s="321"/>
      <c r="F1248" s="322" t="s">
        <v>1360</v>
      </c>
      <c r="G1248" s="323"/>
      <c r="H1248" s="322" t="s">
        <v>1361</v>
      </c>
      <c r="I1248" s="324">
        <v>5</v>
      </c>
      <c r="J1248" s="325"/>
      <c r="K1248" s="325"/>
      <c r="L1248" s="325"/>
      <c r="M1248" s="325"/>
      <c r="N1248" s="325"/>
      <c r="O1248" s="326"/>
      <c r="P1248" s="326"/>
      <c r="Q1248" s="326"/>
      <c r="R1248" s="326"/>
      <c r="S1248" s="327"/>
    </row>
    <row r="1249" spans="1:19" ht="15" customHeight="1">
      <c r="A1249" s="561">
        <f t="shared" si="28"/>
        <v>1249</v>
      </c>
      <c r="B1249" s="31">
        <v>1002</v>
      </c>
      <c r="C1249" s="249" t="s">
        <v>1071</v>
      </c>
      <c r="D1249" s="320" t="s">
        <v>1044</v>
      </c>
      <c r="E1249" s="321"/>
      <c r="F1249" s="322" t="s">
        <v>1360</v>
      </c>
      <c r="G1249" s="323"/>
      <c r="H1249" s="322" t="s">
        <v>68</v>
      </c>
      <c r="I1249" s="324">
        <v>110</v>
      </c>
      <c r="J1249" s="325"/>
      <c r="K1249" s="325"/>
      <c r="L1249" s="325"/>
      <c r="M1249" s="325"/>
      <c r="N1249" s="325"/>
      <c r="O1249" s="326"/>
      <c r="P1249" s="326"/>
      <c r="Q1249" s="326"/>
      <c r="R1249" s="326"/>
      <c r="S1249" s="327"/>
    </row>
    <row r="1250" spans="1:19" ht="15" customHeight="1">
      <c r="A1250" s="561">
        <f t="shared" si="28"/>
        <v>1250</v>
      </c>
      <c r="B1250" s="31">
        <v>1002</v>
      </c>
      <c r="C1250" s="249" t="s">
        <v>1071</v>
      </c>
      <c r="D1250" s="320" t="s">
        <v>1044</v>
      </c>
      <c r="E1250" s="321"/>
      <c r="F1250" s="322" t="s">
        <v>1360</v>
      </c>
      <c r="G1250" s="323"/>
      <c r="H1250" s="322" t="s">
        <v>68</v>
      </c>
      <c r="I1250" s="324">
        <v>110</v>
      </c>
      <c r="J1250" s="325"/>
      <c r="K1250" s="325"/>
      <c r="L1250" s="325"/>
      <c r="M1250" s="325"/>
      <c r="N1250" s="325"/>
      <c r="O1250" s="326"/>
      <c r="P1250" s="326"/>
      <c r="Q1250" s="326"/>
      <c r="R1250" s="326"/>
      <c r="S1250" s="327"/>
    </row>
    <row r="1251" spans="1:19" ht="15" customHeight="1">
      <c r="A1251" s="561">
        <f t="shared" si="28"/>
        <v>1251</v>
      </c>
      <c r="B1251" s="31">
        <v>1002</v>
      </c>
      <c r="C1251" s="249" t="s">
        <v>1071</v>
      </c>
      <c r="D1251" s="320" t="s">
        <v>1044</v>
      </c>
      <c r="E1251" s="321"/>
      <c r="F1251" s="322" t="s">
        <v>1360</v>
      </c>
      <c r="G1251" s="323"/>
      <c r="H1251" s="322" t="s">
        <v>1354</v>
      </c>
      <c r="I1251" s="324">
        <v>37.5</v>
      </c>
      <c r="J1251" s="325"/>
      <c r="K1251" s="325"/>
      <c r="L1251" s="325"/>
      <c r="M1251" s="325"/>
      <c r="N1251" s="325"/>
      <c r="O1251" s="326"/>
      <c r="P1251" s="326"/>
      <c r="Q1251" s="326"/>
      <c r="R1251" s="326"/>
      <c r="S1251" s="327"/>
    </row>
    <row r="1252" spans="1:19" ht="15" customHeight="1">
      <c r="A1252" s="561">
        <f t="shared" si="28"/>
        <v>1252</v>
      </c>
      <c r="B1252" s="31">
        <v>1002</v>
      </c>
      <c r="C1252" s="249" t="s">
        <v>1071</v>
      </c>
      <c r="D1252" s="320" t="s">
        <v>1044</v>
      </c>
      <c r="E1252" s="321"/>
      <c r="F1252" s="322" t="s">
        <v>1360</v>
      </c>
      <c r="G1252" s="323"/>
      <c r="H1252" s="322" t="s">
        <v>1354</v>
      </c>
      <c r="I1252" s="324">
        <v>37.5</v>
      </c>
      <c r="J1252" s="325"/>
      <c r="K1252" s="325"/>
      <c r="L1252" s="325"/>
      <c r="M1252" s="325"/>
      <c r="N1252" s="325"/>
      <c r="O1252" s="326"/>
      <c r="P1252" s="326"/>
      <c r="Q1252" s="326"/>
      <c r="R1252" s="326"/>
      <c r="S1252" s="327"/>
    </row>
    <row r="1253" spans="1:19" ht="15" customHeight="1">
      <c r="A1253" s="561">
        <f t="shared" si="28"/>
        <v>1253</v>
      </c>
      <c r="B1253" s="31">
        <v>1002</v>
      </c>
      <c r="C1253" s="249" t="s">
        <v>1071</v>
      </c>
      <c r="D1253" s="320" t="s">
        <v>1044</v>
      </c>
      <c r="E1253" s="321"/>
      <c r="F1253" s="322" t="s">
        <v>1360</v>
      </c>
      <c r="G1253" s="323"/>
      <c r="H1253" s="322" t="s">
        <v>1354</v>
      </c>
      <c r="I1253" s="324">
        <v>37.5</v>
      </c>
      <c r="J1253" s="325"/>
      <c r="K1253" s="325"/>
      <c r="L1253" s="325"/>
      <c r="M1253" s="325"/>
      <c r="N1253" s="325"/>
      <c r="O1253" s="326"/>
      <c r="P1253" s="326"/>
      <c r="Q1253" s="326"/>
      <c r="R1253" s="326"/>
      <c r="S1253" s="327"/>
    </row>
    <row r="1254" spans="1:19" ht="15" customHeight="1">
      <c r="A1254" s="561">
        <f t="shared" si="28"/>
        <v>1254</v>
      </c>
      <c r="B1254" s="31">
        <v>1002</v>
      </c>
      <c r="C1254" s="249" t="s">
        <v>1071</v>
      </c>
      <c r="D1254" s="320" t="s">
        <v>1044</v>
      </c>
      <c r="E1254" s="321"/>
      <c r="F1254" s="322" t="s">
        <v>1360</v>
      </c>
      <c r="G1254" s="323"/>
      <c r="H1254" s="322" t="s">
        <v>1354</v>
      </c>
      <c r="I1254" s="324">
        <v>37.5</v>
      </c>
      <c r="J1254" s="325"/>
      <c r="K1254" s="325"/>
      <c r="L1254" s="325"/>
      <c r="M1254" s="325"/>
      <c r="N1254" s="325"/>
      <c r="O1254" s="326"/>
      <c r="P1254" s="326"/>
      <c r="Q1254" s="326"/>
      <c r="R1254" s="326"/>
      <c r="S1254" s="327"/>
    </row>
    <row r="1255" spans="1:19" ht="15" customHeight="1">
      <c r="A1255" s="561">
        <f t="shared" si="28"/>
        <v>1255</v>
      </c>
      <c r="B1255" s="31">
        <v>1002</v>
      </c>
      <c r="C1255" s="249" t="s">
        <v>1071</v>
      </c>
      <c r="D1255" s="320" t="s">
        <v>1044</v>
      </c>
      <c r="E1255" s="321"/>
      <c r="F1255" s="322" t="s">
        <v>123</v>
      </c>
      <c r="G1255" s="323"/>
      <c r="H1255" s="322" t="s">
        <v>68</v>
      </c>
      <c r="I1255" s="324">
        <v>17.5</v>
      </c>
      <c r="J1255" s="325"/>
      <c r="K1255" s="325"/>
      <c r="L1255" s="325"/>
      <c r="M1255" s="325"/>
      <c r="N1255" s="325"/>
      <c r="O1255" s="326"/>
      <c r="P1255" s="326"/>
      <c r="Q1255" s="326"/>
      <c r="R1255" s="326"/>
      <c r="S1255" s="327"/>
    </row>
    <row r="1256" spans="1:19" ht="15" customHeight="1">
      <c r="A1256" s="561">
        <f t="shared" si="28"/>
        <v>1256</v>
      </c>
      <c r="B1256" s="31">
        <v>1002</v>
      </c>
      <c r="C1256" s="249" t="s">
        <v>1071</v>
      </c>
      <c r="D1256" s="320" t="s">
        <v>1044</v>
      </c>
      <c r="E1256" s="321"/>
      <c r="F1256" s="322" t="s">
        <v>123</v>
      </c>
      <c r="G1256" s="323"/>
      <c r="H1256" s="322" t="s">
        <v>68</v>
      </c>
      <c r="I1256" s="324">
        <v>17.5</v>
      </c>
      <c r="J1256" s="325"/>
      <c r="K1256" s="325"/>
      <c r="L1256" s="325"/>
      <c r="M1256" s="325"/>
      <c r="N1256" s="325"/>
      <c r="O1256" s="326"/>
      <c r="P1256" s="326"/>
      <c r="Q1256" s="326"/>
      <c r="R1256" s="326"/>
      <c r="S1256" s="327"/>
    </row>
    <row r="1257" spans="1:19" ht="15" customHeight="1">
      <c r="A1257" s="561">
        <f t="shared" si="28"/>
        <v>1257</v>
      </c>
      <c r="B1257" s="31">
        <v>1002</v>
      </c>
      <c r="C1257" s="249" t="s">
        <v>1071</v>
      </c>
      <c r="D1257" s="320" t="s">
        <v>1044</v>
      </c>
      <c r="E1257" s="321"/>
      <c r="F1257" s="322" t="s">
        <v>18</v>
      </c>
      <c r="G1257" s="323"/>
      <c r="H1257" s="322" t="s">
        <v>1354</v>
      </c>
      <c r="I1257" s="324">
        <v>22.5</v>
      </c>
      <c r="J1257" s="325"/>
      <c r="K1257" s="325"/>
      <c r="L1257" s="325"/>
      <c r="M1257" s="325"/>
      <c r="N1257" s="325"/>
      <c r="O1257" s="326"/>
      <c r="P1257" s="326"/>
      <c r="Q1257" s="326"/>
      <c r="R1257" s="326"/>
      <c r="S1257" s="327"/>
    </row>
    <row r="1258" spans="1:19" ht="15" customHeight="1">
      <c r="A1258" s="561">
        <f t="shared" si="28"/>
        <v>1258</v>
      </c>
      <c r="B1258" s="31">
        <v>1002</v>
      </c>
      <c r="C1258" s="249" t="s">
        <v>1071</v>
      </c>
      <c r="D1258" s="320" t="s">
        <v>1044</v>
      </c>
      <c r="E1258" s="321"/>
      <c r="F1258" s="322" t="s">
        <v>18</v>
      </c>
      <c r="G1258" s="323"/>
      <c r="H1258" s="322" t="s">
        <v>1354</v>
      </c>
      <c r="I1258" s="324">
        <v>22.5</v>
      </c>
      <c r="J1258" s="325"/>
      <c r="K1258" s="325"/>
      <c r="L1258" s="325"/>
      <c r="M1258" s="325"/>
      <c r="N1258" s="325"/>
      <c r="O1258" s="326"/>
      <c r="P1258" s="326"/>
      <c r="Q1258" s="326"/>
      <c r="R1258" s="326"/>
      <c r="S1258" s="327"/>
    </row>
    <row r="1259" spans="1:19" ht="15" customHeight="1">
      <c r="A1259" s="561">
        <f t="shared" si="28"/>
        <v>1259</v>
      </c>
      <c r="B1259" s="58">
        <v>201</v>
      </c>
      <c r="C1259" s="328" t="s">
        <v>1554</v>
      </c>
      <c r="D1259" s="329" t="s">
        <v>1420</v>
      </c>
      <c r="E1259" s="330"/>
      <c r="F1259" s="59" t="s">
        <v>54</v>
      </c>
      <c r="G1259" s="323" t="s">
        <v>1881</v>
      </c>
      <c r="H1259" s="59" t="s">
        <v>1697</v>
      </c>
      <c r="I1259" s="331">
        <v>507</v>
      </c>
      <c r="J1259" s="332"/>
      <c r="K1259" s="332"/>
      <c r="L1259" s="332"/>
      <c r="M1259" s="332"/>
      <c r="N1259" s="332"/>
      <c r="O1259" s="333"/>
      <c r="P1259" s="333"/>
      <c r="Q1259" s="333"/>
      <c r="R1259" s="333"/>
      <c r="S1259" s="334"/>
    </row>
    <row r="1260" spans="1:19" ht="15" customHeight="1">
      <c r="A1260" s="561">
        <f t="shared" si="28"/>
        <v>1260</v>
      </c>
      <c r="B1260" s="58">
        <v>202</v>
      </c>
      <c r="C1260" s="328" t="s">
        <v>1421</v>
      </c>
      <c r="D1260" s="329" t="s">
        <v>1420</v>
      </c>
      <c r="E1260" s="330"/>
      <c r="F1260" s="59" t="s">
        <v>54</v>
      </c>
      <c r="G1260" s="323" t="s">
        <v>1881</v>
      </c>
      <c r="H1260" s="59" t="s">
        <v>1697</v>
      </c>
      <c r="I1260" s="331">
        <v>671</v>
      </c>
      <c r="J1260" s="332"/>
      <c r="K1260" s="332"/>
      <c r="L1260" s="332"/>
      <c r="M1260" s="332"/>
      <c r="N1260" s="332"/>
      <c r="O1260" s="333"/>
      <c r="P1260" s="333"/>
      <c r="Q1260" s="333"/>
      <c r="R1260" s="333"/>
      <c r="S1260" s="334"/>
    </row>
    <row r="1261" spans="1:19" ht="15" customHeight="1">
      <c r="A1261" s="561">
        <f t="shared" si="28"/>
        <v>1261</v>
      </c>
      <c r="B1261" s="58">
        <v>203</v>
      </c>
      <c r="C1261" s="328" t="s">
        <v>1422</v>
      </c>
      <c r="D1261" s="329" t="s">
        <v>1420</v>
      </c>
      <c r="E1261" s="330"/>
      <c r="F1261" s="59" t="s">
        <v>54</v>
      </c>
      <c r="G1261" s="323" t="s">
        <v>1882</v>
      </c>
      <c r="H1261" s="59" t="s">
        <v>1697</v>
      </c>
      <c r="I1261" s="331">
        <v>507</v>
      </c>
      <c r="J1261" s="332"/>
      <c r="K1261" s="332"/>
      <c r="L1261" s="332"/>
      <c r="M1261" s="332"/>
      <c r="N1261" s="332"/>
      <c r="O1261" s="333"/>
      <c r="P1261" s="333"/>
      <c r="Q1261" s="333"/>
      <c r="R1261" s="333"/>
      <c r="S1261" s="334"/>
    </row>
    <row r="1262" spans="1:19" ht="15" customHeight="1">
      <c r="A1262" s="561">
        <f t="shared" si="28"/>
        <v>1262</v>
      </c>
      <c r="B1262" s="58">
        <v>203</v>
      </c>
      <c r="C1262" s="328" t="s">
        <v>1422</v>
      </c>
      <c r="D1262" s="329" t="s">
        <v>1420</v>
      </c>
      <c r="E1262" s="330"/>
      <c r="F1262" s="59" t="s">
        <v>97</v>
      </c>
      <c r="G1262" s="323" t="s">
        <v>224</v>
      </c>
      <c r="H1262" s="59" t="s">
        <v>1698</v>
      </c>
      <c r="I1262" s="331">
        <v>78</v>
      </c>
      <c r="J1262" s="332"/>
      <c r="K1262" s="332"/>
      <c r="L1262" s="332"/>
      <c r="M1262" s="332"/>
      <c r="N1262" s="332"/>
      <c r="O1262" s="333"/>
      <c r="P1262" s="333"/>
      <c r="Q1262" s="333"/>
      <c r="R1262" s="333"/>
      <c r="S1262" s="334"/>
    </row>
    <row r="1263" spans="1:19" ht="15" customHeight="1">
      <c r="A1263" s="561">
        <f t="shared" si="28"/>
        <v>1263</v>
      </c>
      <c r="B1263" s="58">
        <v>203</v>
      </c>
      <c r="C1263" s="328" t="s">
        <v>1422</v>
      </c>
      <c r="D1263" s="329" t="s">
        <v>1420</v>
      </c>
      <c r="E1263" s="330"/>
      <c r="F1263" s="59" t="s">
        <v>1</v>
      </c>
      <c r="G1263" s="323" t="s">
        <v>66</v>
      </c>
      <c r="H1263" s="59" t="s">
        <v>1699</v>
      </c>
      <c r="I1263" s="331">
        <v>4</v>
      </c>
      <c r="J1263" s="332"/>
      <c r="K1263" s="332"/>
      <c r="L1263" s="332"/>
      <c r="M1263" s="332">
        <v>19</v>
      </c>
      <c r="N1263" s="332"/>
      <c r="O1263" s="333"/>
      <c r="P1263" s="333"/>
      <c r="Q1263" s="333"/>
      <c r="R1263" s="333"/>
      <c r="S1263" s="334"/>
    </row>
    <row r="1264" spans="1:19" ht="15" customHeight="1">
      <c r="A1264" s="561">
        <f t="shared" si="28"/>
        <v>1264</v>
      </c>
      <c r="B1264" s="58">
        <v>204</v>
      </c>
      <c r="C1264" s="328" t="s">
        <v>1423</v>
      </c>
      <c r="D1264" s="329" t="s">
        <v>1420</v>
      </c>
      <c r="E1264" s="330"/>
      <c r="F1264" s="59" t="s">
        <v>67</v>
      </c>
      <c r="G1264" s="323" t="s">
        <v>1881</v>
      </c>
      <c r="H1264" s="59" t="s">
        <v>1700</v>
      </c>
      <c r="I1264" s="331">
        <v>581</v>
      </c>
      <c r="J1264" s="332"/>
      <c r="K1264" s="332"/>
      <c r="L1264" s="332"/>
      <c r="M1264" s="332">
        <v>120</v>
      </c>
      <c r="N1264" s="332"/>
      <c r="O1264" s="333"/>
      <c r="P1264" s="333">
        <v>151</v>
      </c>
      <c r="Q1264" s="333"/>
      <c r="R1264" s="333"/>
      <c r="S1264" s="334"/>
    </row>
    <row r="1265" spans="1:19" ht="15" customHeight="1">
      <c r="A1265" s="561">
        <f t="shared" si="28"/>
        <v>1265</v>
      </c>
      <c r="B1265" s="58">
        <v>204</v>
      </c>
      <c r="C1265" s="328" t="s">
        <v>1423</v>
      </c>
      <c r="D1265" s="329" t="s">
        <v>1420</v>
      </c>
      <c r="E1265" s="330"/>
      <c r="F1265" s="59" t="s">
        <v>1560</v>
      </c>
      <c r="G1265" s="323"/>
      <c r="H1265" s="59" t="s">
        <v>1698</v>
      </c>
      <c r="I1265" s="331">
        <v>77</v>
      </c>
      <c r="J1265" s="332"/>
      <c r="K1265" s="332"/>
      <c r="L1265" s="332"/>
      <c r="M1265" s="332"/>
      <c r="N1265" s="332"/>
      <c r="O1265" s="333"/>
      <c r="P1265" s="333"/>
      <c r="Q1265" s="333"/>
      <c r="R1265" s="333"/>
      <c r="S1265" s="334"/>
    </row>
    <row r="1266" spans="1:19" ht="15" customHeight="1">
      <c r="A1266" s="561">
        <f t="shared" si="28"/>
        <v>1266</v>
      </c>
      <c r="B1266" s="58">
        <v>204</v>
      </c>
      <c r="C1266" s="328" t="s">
        <v>1423</v>
      </c>
      <c r="D1266" s="329" t="s">
        <v>1420</v>
      </c>
      <c r="E1266" s="330"/>
      <c r="F1266" s="59" t="s">
        <v>1</v>
      </c>
      <c r="G1266" s="323" t="s">
        <v>66</v>
      </c>
      <c r="H1266" s="59" t="s">
        <v>1699</v>
      </c>
      <c r="I1266" s="331">
        <v>4</v>
      </c>
      <c r="J1266" s="332"/>
      <c r="K1266" s="332"/>
      <c r="L1266" s="332"/>
      <c r="M1266" s="332">
        <v>19</v>
      </c>
      <c r="N1266" s="332"/>
      <c r="O1266" s="333"/>
      <c r="P1266" s="333"/>
      <c r="Q1266" s="333"/>
      <c r="R1266" s="333"/>
      <c r="S1266" s="334"/>
    </row>
    <row r="1267" spans="1:19" ht="15" customHeight="1">
      <c r="A1267" s="561">
        <f t="shared" si="28"/>
        <v>1267</v>
      </c>
      <c r="B1267" s="58">
        <v>205</v>
      </c>
      <c r="C1267" s="328" t="s">
        <v>1424</v>
      </c>
      <c r="D1267" s="329" t="s">
        <v>1420</v>
      </c>
      <c r="E1267" s="330"/>
      <c r="F1267" s="59" t="s">
        <v>67</v>
      </c>
      <c r="G1267" s="323" t="s">
        <v>1883</v>
      </c>
      <c r="H1267" s="59" t="s">
        <v>1700</v>
      </c>
      <c r="I1267" s="331">
        <v>581</v>
      </c>
      <c r="J1267" s="332"/>
      <c r="K1267" s="332"/>
      <c r="L1267" s="332"/>
      <c r="M1267" s="332">
        <v>120</v>
      </c>
      <c r="N1267" s="332"/>
      <c r="O1267" s="333"/>
      <c r="P1267" s="333">
        <v>151</v>
      </c>
      <c r="Q1267" s="333"/>
      <c r="R1267" s="333"/>
      <c r="S1267" s="334"/>
    </row>
    <row r="1268" spans="1:19" ht="15" customHeight="1">
      <c r="A1268" s="561">
        <f t="shared" si="28"/>
        <v>1268</v>
      </c>
      <c r="B1268" s="58">
        <v>205</v>
      </c>
      <c r="C1268" s="328" t="s">
        <v>1424</v>
      </c>
      <c r="D1268" s="329" t="s">
        <v>1420</v>
      </c>
      <c r="E1268" s="330"/>
      <c r="F1268" s="59" t="s">
        <v>1560</v>
      </c>
      <c r="G1268" s="323"/>
      <c r="H1268" s="59" t="s">
        <v>1698</v>
      </c>
      <c r="I1268" s="331">
        <v>77</v>
      </c>
      <c r="J1268" s="332"/>
      <c r="K1268" s="332"/>
      <c r="L1268" s="332"/>
      <c r="M1268" s="332"/>
      <c r="N1268" s="332"/>
      <c r="O1268" s="333"/>
      <c r="P1268" s="333"/>
      <c r="Q1268" s="333"/>
      <c r="R1268" s="333"/>
      <c r="S1268" s="334"/>
    </row>
    <row r="1269" spans="1:19" ht="15" customHeight="1">
      <c r="A1269" s="561">
        <f t="shared" si="28"/>
        <v>1269</v>
      </c>
      <c r="B1269" s="58">
        <v>205</v>
      </c>
      <c r="C1269" s="328" t="s">
        <v>1424</v>
      </c>
      <c r="D1269" s="329" t="s">
        <v>1420</v>
      </c>
      <c r="E1269" s="330"/>
      <c r="F1269" s="59" t="s">
        <v>1</v>
      </c>
      <c r="G1269" s="323" t="s">
        <v>66</v>
      </c>
      <c r="H1269" s="59" t="s">
        <v>1699</v>
      </c>
      <c r="I1269" s="331">
        <v>4</v>
      </c>
      <c r="J1269" s="332"/>
      <c r="K1269" s="332"/>
      <c r="L1269" s="332"/>
      <c r="M1269" s="332">
        <v>19</v>
      </c>
      <c r="N1269" s="332"/>
      <c r="O1269" s="333"/>
      <c r="P1269" s="333"/>
      <c r="Q1269" s="333"/>
      <c r="R1269" s="333"/>
      <c r="S1269" s="334"/>
    </row>
    <row r="1270" spans="1:19" ht="15" customHeight="1">
      <c r="A1270" s="561">
        <f t="shared" si="28"/>
        <v>1270</v>
      </c>
      <c r="B1270" s="58">
        <v>206</v>
      </c>
      <c r="C1270" s="328" t="s">
        <v>1425</v>
      </c>
      <c r="D1270" s="329" t="s">
        <v>1420</v>
      </c>
      <c r="E1270" s="330"/>
      <c r="F1270" s="59" t="s">
        <v>54</v>
      </c>
      <c r="G1270" s="323" t="s">
        <v>1882</v>
      </c>
      <c r="H1270" s="59" t="s">
        <v>1700</v>
      </c>
      <c r="I1270" s="331">
        <v>462</v>
      </c>
      <c r="J1270" s="332"/>
      <c r="K1270" s="332"/>
      <c r="L1270" s="332">
        <v>100</v>
      </c>
      <c r="M1270" s="332"/>
      <c r="N1270" s="332"/>
      <c r="O1270" s="333"/>
      <c r="P1270" s="333"/>
      <c r="Q1270" s="333"/>
      <c r="R1270" s="333"/>
      <c r="S1270" s="334"/>
    </row>
    <row r="1271" spans="1:19" ht="15" customHeight="1">
      <c r="A1271" s="561">
        <f t="shared" si="28"/>
        <v>1271</v>
      </c>
      <c r="B1271" s="58">
        <v>206</v>
      </c>
      <c r="C1271" s="328" t="s">
        <v>1425</v>
      </c>
      <c r="D1271" s="329" t="s">
        <v>1420</v>
      </c>
      <c r="E1271" s="330"/>
      <c r="F1271" s="59" t="s">
        <v>1561</v>
      </c>
      <c r="G1271" s="323" t="s">
        <v>224</v>
      </c>
      <c r="H1271" s="59" t="s">
        <v>1698</v>
      </c>
      <c r="I1271" s="331">
        <v>64</v>
      </c>
      <c r="J1271" s="332"/>
      <c r="K1271" s="332"/>
      <c r="L1271" s="332"/>
      <c r="M1271" s="332"/>
      <c r="N1271" s="332"/>
      <c r="O1271" s="333"/>
      <c r="P1271" s="333"/>
      <c r="Q1271" s="333"/>
      <c r="R1271" s="333"/>
      <c r="S1271" s="334"/>
    </row>
    <row r="1272" spans="1:19" ht="15" customHeight="1">
      <c r="A1272" s="561">
        <f t="shared" si="28"/>
        <v>1272</v>
      </c>
      <c r="B1272" s="58">
        <v>206</v>
      </c>
      <c r="C1272" s="328" t="s">
        <v>1425</v>
      </c>
      <c r="D1272" s="329" t="s">
        <v>1420</v>
      </c>
      <c r="E1272" s="330"/>
      <c r="F1272" s="59" t="s">
        <v>1</v>
      </c>
      <c r="G1272" s="323" t="s">
        <v>66</v>
      </c>
      <c r="H1272" s="59" t="s">
        <v>1699</v>
      </c>
      <c r="I1272" s="331">
        <v>4</v>
      </c>
      <c r="J1272" s="332"/>
      <c r="K1272" s="332"/>
      <c r="L1272" s="332"/>
      <c r="M1272" s="332">
        <v>19</v>
      </c>
      <c r="N1272" s="332"/>
      <c r="O1272" s="333"/>
      <c r="P1272" s="333"/>
      <c r="Q1272" s="333"/>
      <c r="R1272" s="333"/>
      <c r="S1272" s="334"/>
    </row>
    <row r="1273" spans="1:19" ht="15" customHeight="1">
      <c r="A1273" s="561">
        <f t="shared" si="28"/>
        <v>1273</v>
      </c>
      <c r="B1273" s="58">
        <v>207</v>
      </c>
      <c r="C1273" s="328" t="s">
        <v>1426</v>
      </c>
      <c r="D1273" s="329" t="s">
        <v>1420</v>
      </c>
      <c r="E1273" s="330"/>
      <c r="F1273" s="59" t="s">
        <v>54</v>
      </c>
      <c r="G1273" s="323" t="s">
        <v>1882</v>
      </c>
      <c r="H1273" s="59" t="s">
        <v>1700</v>
      </c>
      <c r="I1273" s="331">
        <v>532</v>
      </c>
      <c r="J1273" s="332"/>
      <c r="K1273" s="332"/>
      <c r="L1273" s="332">
        <v>177</v>
      </c>
      <c r="M1273" s="332">
        <v>13</v>
      </c>
      <c r="N1273" s="332"/>
      <c r="O1273" s="333"/>
      <c r="P1273" s="333"/>
      <c r="Q1273" s="333"/>
      <c r="R1273" s="333"/>
      <c r="S1273" s="334"/>
    </row>
    <row r="1274" spans="1:19" ht="15" customHeight="1">
      <c r="A1274" s="561">
        <f t="shared" si="28"/>
        <v>1274</v>
      </c>
      <c r="B1274" s="58">
        <v>207</v>
      </c>
      <c r="C1274" s="328" t="s">
        <v>1426</v>
      </c>
      <c r="D1274" s="329" t="s">
        <v>1420</v>
      </c>
      <c r="E1274" s="330"/>
      <c r="F1274" s="59" t="s">
        <v>97</v>
      </c>
      <c r="G1274" s="323" t="s">
        <v>1884</v>
      </c>
      <c r="H1274" s="59" t="s">
        <v>1698</v>
      </c>
      <c r="I1274" s="331">
        <v>64</v>
      </c>
      <c r="J1274" s="332"/>
      <c r="K1274" s="332"/>
      <c r="L1274" s="332"/>
      <c r="M1274" s="332"/>
      <c r="N1274" s="332"/>
      <c r="O1274" s="333"/>
      <c r="P1274" s="333"/>
      <c r="Q1274" s="333"/>
      <c r="R1274" s="333"/>
      <c r="S1274" s="334"/>
    </row>
    <row r="1275" spans="1:19" ht="15" customHeight="1">
      <c r="A1275" s="561">
        <f t="shared" si="28"/>
        <v>1275</v>
      </c>
      <c r="B1275" s="58">
        <v>207</v>
      </c>
      <c r="C1275" s="328" t="s">
        <v>1426</v>
      </c>
      <c r="D1275" s="329" t="s">
        <v>1420</v>
      </c>
      <c r="E1275" s="330"/>
      <c r="F1275" s="59" t="s">
        <v>1</v>
      </c>
      <c r="G1275" s="323" t="s">
        <v>66</v>
      </c>
      <c r="H1275" s="59" t="s">
        <v>1699</v>
      </c>
      <c r="I1275" s="331">
        <v>4</v>
      </c>
      <c r="J1275" s="332"/>
      <c r="K1275" s="332"/>
      <c r="L1275" s="332"/>
      <c r="M1275" s="332">
        <v>19</v>
      </c>
      <c r="N1275" s="332"/>
      <c r="O1275" s="333"/>
      <c r="P1275" s="333"/>
      <c r="Q1275" s="333"/>
      <c r="R1275" s="333"/>
      <c r="S1275" s="334"/>
    </row>
    <row r="1276" spans="1:19" ht="15" customHeight="1">
      <c r="A1276" s="561">
        <f t="shared" si="28"/>
        <v>1276</v>
      </c>
      <c r="B1276" s="58">
        <v>208</v>
      </c>
      <c r="C1276" s="328" t="s">
        <v>1689</v>
      </c>
      <c r="D1276" s="329" t="s">
        <v>1420</v>
      </c>
      <c r="E1276" s="330"/>
      <c r="F1276" s="59" t="s">
        <v>54</v>
      </c>
      <c r="G1276" s="323" t="s">
        <v>1881</v>
      </c>
      <c r="H1276" s="59" t="s">
        <v>1697</v>
      </c>
      <c r="I1276" s="331">
        <v>609</v>
      </c>
      <c r="J1276" s="332"/>
      <c r="K1276" s="332"/>
      <c r="L1276" s="332"/>
      <c r="M1276" s="332"/>
      <c r="N1276" s="332"/>
      <c r="O1276" s="333"/>
      <c r="P1276" s="333"/>
      <c r="Q1276" s="333"/>
      <c r="R1276" s="333"/>
      <c r="S1276" s="334"/>
    </row>
    <row r="1277" spans="1:19" ht="15" customHeight="1">
      <c r="A1277" s="561">
        <f t="shared" si="28"/>
        <v>1277</v>
      </c>
      <c r="B1277" s="58">
        <v>209</v>
      </c>
      <c r="C1277" s="328" t="s">
        <v>1690</v>
      </c>
      <c r="D1277" s="329" t="s">
        <v>1420</v>
      </c>
      <c r="E1277" s="330"/>
      <c r="F1277" s="59" t="s">
        <v>54</v>
      </c>
      <c r="G1277" s="323" t="s">
        <v>1882</v>
      </c>
      <c r="H1277" s="59" t="s">
        <v>1701</v>
      </c>
      <c r="I1277" s="331">
        <v>836</v>
      </c>
      <c r="J1277" s="332"/>
      <c r="K1277" s="332"/>
      <c r="L1277" s="332"/>
      <c r="M1277" s="332">
        <v>104</v>
      </c>
      <c r="N1277" s="332"/>
      <c r="O1277" s="333"/>
      <c r="P1277" s="333">
        <v>40</v>
      </c>
      <c r="Q1277" s="333"/>
      <c r="R1277" s="333"/>
      <c r="S1277" s="334"/>
    </row>
    <row r="1278" spans="1:19" ht="15" customHeight="1">
      <c r="A1278" s="561">
        <f t="shared" si="28"/>
        <v>1278</v>
      </c>
      <c r="B1278" s="58">
        <v>209</v>
      </c>
      <c r="C1278" s="328" t="s">
        <v>1690</v>
      </c>
      <c r="D1278" s="329" t="s">
        <v>1420</v>
      </c>
      <c r="E1278" s="330"/>
      <c r="F1278" s="59" t="s">
        <v>97</v>
      </c>
      <c r="G1278" s="323" t="s">
        <v>1884</v>
      </c>
      <c r="H1278" s="59" t="s">
        <v>1698</v>
      </c>
      <c r="I1278" s="331">
        <v>63</v>
      </c>
      <c r="J1278" s="332"/>
      <c r="K1278" s="332"/>
      <c r="L1278" s="332"/>
      <c r="M1278" s="332"/>
      <c r="N1278" s="332"/>
      <c r="O1278" s="333"/>
      <c r="P1278" s="333"/>
      <c r="Q1278" s="333"/>
      <c r="R1278" s="333"/>
      <c r="S1278" s="334"/>
    </row>
    <row r="1279" spans="1:19" ht="15" customHeight="1">
      <c r="A1279" s="561">
        <f t="shared" si="28"/>
        <v>1279</v>
      </c>
      <c r="B1279" s="58">
        <v>209</v>
      </c>
      <c r="C1279" s="328" t="s">
        <v>1690</v>
      </c>
      <c r="D1279" s="329" t="s">
        <v>1420</v>
      </c>
      <c r="E1279" s="330"/>
      <c r="F1279" s="59" t="s">
        <v>1</v>
      </c>
      <c r="G1279" s="323" t="s">
        <v>66</v>
      </c>
      <c r="H1279" s="59" t="s">
        <v>1699</v>
      </c>
      <c r="I1279" s="331">
        <v>4</v>
      </c>
      <c r="J1279" s="332"/>
      <c r="K1279" s="332"/>
      <c r="L1279" s="332"/>
      <c r="M1279" s="332"/>
      <c r="N1279" s="332"/>
      <c r="O1279" s="333"/>
      <c r="P1279" s="333"/>
      <c r="Q1279" s="333"/>
      <c r="R1279" s="333"/>
      <c r="S1279" s="334"/>
    </row>
    <row r="1280" spans="1:19" ht="15" customHeight="1">
      <c r="A1280" s="561">
        <f t="shared" si="28"/>
        <v>1280</v>
      </c>
      <c r="B1280" s="58">
        <v>210</v>
      </c>
      <c r="C1280" s="328" t="s">
        <v>1691</v>
      </c>
      <c r="D1280" s="329" t="s">
        <v>1420</v>
      </c>
      <c r="E1280" s="330"/>
      <c r="F1280" s="59" t="s">
        <v>54</v>
      </c>
      <c r="G1280" s="323" t="s">
        <v>1882</v>
      </c>
      <c r="H1280" s="59" t="s">
        <v>1701</v>
      </c>
      <c r="I1280" s="331">
        <v>581</v>
      </c>
      <c r="J1280" s="332"/>
      <c r="K1280" s="332"/>
      <c r="L1280" s="332"/>
      <c r="M1280" s="332">
        <v>120</v>
      </c>
      <c r="N1280" s="332"/>
      <c r="O1280" s="333"/>
      <c r="P1280" s="333">
        <v>151</v>
      </c>
      <c r="Q1280" s="333"/>
      <c r="R1280" s="333"/>
      <c r="S1280" s="334"/>
    </row>
    <row r="1281" spans="1:19" ht="15" customHeight="1">
      <c r="A1281" s="561">
        <f t="shared" si="28"/>
        <v>1281</v>
      </c>
      <c r="B1281" s="58">
        <v>210</v>
      </c>
      <c r="C1281" s="328" t="s">
        <v>1691</v>
      </c>
      <c r="D1281" s="329" t="s">
        <v>1420</v>
      </c>
      <c r="E1281" s="330"/>
      <c r="F1281" s="59" t="s">
        <v>97</v>
      </c>
      <c r="G1281" s="323" t="s">
        <v>1884</v>
      </c>
      <c r="H1281" s="59" t="s">
        <v>1698</v>
      </c>
      <c r="I1281" s="331">
        <v>77</v>
      </c>
      <c r="J1281" s="332"/>
      <c r="K1281" s="332"/>
      <c r="L1281" s="332"/>
      <c r="M1281" s="332"/>
      <c r="N1281" s="332"/>
      <c r="O1281" s="333"/>
      <c r="P1281" s="333"/>
      <c r="Q1281" s="333"/>
      <c r="R1281" s="333"/>
      <c r="S1281" s="334"/>
    </row>
    <row r="1282" spans="1:19" ht="15" customHeight="1">
      <c r="A1282" s="561">
        <f t="shared" si="28"/>
        <v>1282</v>
      </c>
      <c r="B1282" s="58">
        <v>210</v>
      </c>
      <c r="C1282" s="328" t="s">
        <v>1691</v>
      </c>
      <c r="D1282" s="329" t="s">
        <v>1420</v>
      </c>
      <c r="E1282" s="330"/>
      <c r="F1282" s="59" t="s">
        <v>1</v>
      </c>
      <c r="G1282" s="323" t="s">
        <v>66</v>
      </c>
      <c r="H1282" s="59" t="s">
        <v>1699</v>
      </c>
      <c r="I1282" s="331">
        <v>4</v>
      </c>
      <c r="J1282" s="332"/>
      <c r="K1282" s="332"/>
      <c r="L1282" s="332"/>
      <c r="M1282" s="332">
        <v>19</v>
      </c>
      <c r="N1282" s="332"/>
      <c r="O1282" s="333"/>
      <c r="P1282" s="333"/>
      <c r="Q1282" s="333"/>
      <c r="R1282" s="333"/>
      <c r="S1282" s="334"/>
    </row>
    <row r="1283" spans="1:19" ht="15" customHeight="1">
      <c r="A1283" s="561">
        <f t="shared" ref="A1283:A1346" si="29">1+A1282</f>
        <v>1283</v>
      </c>
      <c r="B1283" s="58">
        <v>211</v>
      </c>
      <c r="C1283" s="328" t="s">
        <v>1692</v>
      </c>
      <c r="D1283" s="329" t="s">
        <v>1420</v>
      </c>
      <c r="E1283" s="330"/>
      <c r="F1283" s="59" t="s">
        <v>54</v>
      </c>
      <c r="G1283" s="323" t="s">
        <v>1882</v>
      </c>
      <c r="H1283" s="59" t="s">
        <v>1697</v>
      </c>
      <c r="I1283" s="331">
        <v>334</v>
      </c>
      <c r="J1283" s="332"/>
      <c r="K1283" s="332"/>
      <c r="L1283" s="332">
        <v>40</v>
      </c>
      <c r="M1283" s="332"/>
      <c r="N1283" s="332"/>
      <c r="O1283" s="333"/>
      <c r="P1283" s="333"/>
      <c r="Q1283" s="333"/>
      <c r="R1283" s="333"/>
      <c r="S1283" s="334"/>
    </row>
    <row r="1284" spans="1:19" ht="15" customHeight="1">
      <c r="A1284" s="561">
        <f t="shared" si="29"/>
        <v>1284</v>
      </c>
      <c r="B1284" s="58">
        <v>211</v>
      </c>
      <c r="C1284" s="328" t="s">
        <v>1692</v>
      </c>
      <c r="D1284" s="329" t="s">
        <v>1420</v>
      </c>
      <c r="E1284" s="330"/>
      <c r="F1284" s="59" t="s">
        <v>97</v>
      </c>
      <c r="G1284" s="323" t="s">
        <v>1884</v>
      </c>
      <c r="H1284" s="59" t="s">
        <v>1698</v>
      </c>
      <c r="I1284" s="331">
        <v>60</v>
      </c>
      <c r="J1284" s="332"/>
      <c r="K1284" s="332"/>
      <c r="L1284" s="332"/>
      <c r="M1284" s="332"/>
      <c r="N1284" s="332"/>
      <c r="O1284" s="333"/>
      <c r="P1284" s="333"/>
      <c r="Q1284" s="333"/>
      <c r="R1284" s="333"/>
      <c r="S1284" s="334"/>
    </row>
    <row r="1285" spans="1:19" ht="15" customHeight="1">
      <c r="A1285" s="561">
        <f t="shared" si="29"/>
        <v>1285</v>
      </c>
      <c r="B1285" s="58">
        <v>211</v>
      </c>
      <c r="C1285" s="328" t="s">
        <v>1692</v>
      </c>
      <c r="D1285" s="329" t="s">
        <v>1420</v>
      </c>
      <c r="E1285" s="330"/>
      <c r="F1285" s="59" t="s">
        <v>1</v>
      </c>
      <c r="G1285" s="323" t="s">
        <v>66</v>
      </c>
      <c r="H1285" s="59" t="s">
        <v>1699</v>
      </c>
      <c r="I1285" s="331">
        <v>4</v>
      </c>
      <c r="J1285" s="332"/>
      <c r="K1285" s="332"/>
      <c r="L1285" s="332"/>
      <c r="M1285" s="332"/>
      <c r="N1285" s="332"/>
      <c r="O1285" s="333"/>
      <c r="P1285" s="333"/>
      <c r="Q1285" s="333"/>
      <c r="R1285" s="333"/>
      <c r="S1285" s="334"/>
    </row>
    <row r="1286" spans="1:19" ht="15" customHeight="1">
      <c r="A1286" s="561">
        <f t="shared" si="29"/>
        <v>1286</v>
      </c>
      <c r="B1286" s="58">
        <v>212</v>
      </c>
      <c r="C1286" s="328" t="s">
        <v>1693</v>
      </c>
      <c r="D1286" s="329" t="s">
        <v>1420</v>
      </c>
      <c r="E1286" s="330"/>
      <c r="F1286" s="59" t="s">
        <v>54</v>
      </c>
      <c r="G1286" s="323" t="s">
        <v>1881</v>
      </c>
      <c r="H1286" s="59" t="s">
        <v>1701</v>
      </c>
      <c r="I1286" s="331">
        <v>378</v>
      </c>
      <c r="J1286" s="332"/>
      <c r="K1286" s="332"/>
      <c r="L1286" s="332"/>
      <c r="M1286" s="332"/>
      <c r="N1286" s="332"/>
      <c r="O1286" s="333"/>
      <c r="P1286" s="333"/>
      <c r="Q1286" s="333"/>
      <c r="R1286" s="333"/>
      <c r="S1286" s="334"/>
    </row>
    <row r="1287" spans="1:19" ht="15" customHeight="1">
      <c r="A1287" s="561">
        <f t="shared" si="29"/>
        <v>1287</v>
      </c>
      <c r="B1287" s="58">
        <v>213</v>
      </c>
      <c r="C1287" s="328" t="s">
        <v>1694</v>
      </c>
      <c r="D1287" s="329" t="s">
        <v>1420</v>
      </c>
      <c r="E1287" s="330"/>
      <c r="F1287" s="59" t="s">
        <v>54</v>
      </c>
      <c r="G1287" s="323" t="s">
        <v>1881</v>
      </c>
      <c r="H1287" s="59" t="s">
        <v>1701</v>
      </c>
      <c r="I1287" s="331">
        <v>492</v>
      </c>
      <c r="J1287" s="332"/>
      <c r="K1287" s="332"/>
      <c r="L1287" s="332"/>
      <c r="M1287" s="332"/>
      <c r="N1287" s="332"/>
      <c r="O1287" s="333"/>
      <c r="P1287" s="333"/>
      <c r="Q1287" s="333"/>
      <c r="R1287" s="333"/>
      <c r="S1287" s="334"/>
    </row>
    <row r="1288" spans="1:19" ht="15" customHeight="1">
      <c r="A1288" s="561">
        <f t="shared" si="29"/>
        <v>1288</v>
      </c>
      <c r="B1288" s="58">
        <v>214</v>
      </c>
      <c r="C1288" s="328" t="s">
        <v>1695</v>
      </c>
      <c r="D1288" s="329" t="s">
        <v>1420</v>
      </c>
      <c r="E1288" s="330"/>
      <c r="F1288" s="59" t="s">
        <v>54</v>
      </c>
      <c r="G1288" s="323" t="s">
        <v>1881</v>
      </c>
      <c r="H1288" s="59" t="s">
        <v>1701</v>
      </c>
      <c r="I1288" s="331">
        <v>467</v>
      </c>
      <c r="J1288" s="332"/>
      <c r="K1288" s="332"/>
      <c r="L1288" s="332"/>
      <c r="M1288" s="332"/>
      <c r="N1288" s="332"/>
      <c r="O1288" s="333"/>
      <c r="P1288" s="333"/>
      <c r="Q1288" s="333"/>
      <c r="R1288" s="333"/>
      <c r="S1288" s="334"/>
    </row>
    <row r="1289" spans="1:19" ht="15" customHeight="1">
      <c r="A1289" s="561">
        <f t="shared" si="29"/>
        <v>1289</v>
      </c>
      <c r="B1289" s="58">
        <v>215</v>
      </c>
      <c r="C1289" s="328" t="s">
        <v>1696</v>
      </c>
      <c r="D1289" s="329" t="s">
        <v>1420</v>
      </c>
      <c r="E1289" s="330"/>
      <c r="F1289" s="59" t="s">
        <v>54</v>
      </c>
      <c r="G1289" s="323" t="s">
        <v>1881</v>
      </c>
      <c r="H1289" s="59" t="s">
        <v>1701</v>
      </c>
      <c r="I1289" s="331">
        <v>510</v>
      </c>
      <c r="J1289" s="332"/>
      <c r="K1289" s="332"/>
      <c r="L1289" s="332"/>
      <c r="M1289" s="332"/>
      <c r="N1289" s="332"/>
      <c r="O1289" s="333"/>
      <c r="P1289" s="333"/>
      <c r="Q1289" s="333"/>
      <c r="R1289" s="333"/>
      <c r="S1289" s="334"/>
    </row>
    <row r="1290" spans="1:19" ht="15" customHeight="1">
      <c r="A1290" s="561">
        <f t="shared" si="29"/>
        <v>1290</v>
      </c>
      <c r="B1290" s="58">
        <v>301</v>
      </c>
      <c r="C1290" s="328" t="s">
        <v>1427</v>
      </c>
      <c r="D1290" s="329" t="s">
        <v>1411</v>
      </c>
      <c r="E1290" s="330"/>
      <c r="F1290" s="59" t="s">
        <v>1563</v>
      </c>
      <c r="G1290" s="323" t="s">
        <v>15</v>
      </c>
      <c r="H1290" s="59" t="s">
        <v>68</v>
      </c>
      <c r="I1290" s="331">
        <v>108</v>
      </c>
      <c r="J1290" s="332"/>
      <c r="K1290" s="332"/>
      <c r="L1290" s="332"/>
      <c r="M1290" s="332"/>
      <c r="N1290" s="332"/>
      <c r="O1290" s="333"/>
      <c r="P1290" s="333"/>
      <c r="Q1290" s="333"/>
      <c r="R1290" s="333"/>
      <c r="S1290" s="334"/>
    </row>
    <row r="1291" spans="1:19" ht="15" customHeight="1">
      <c r="A1291" s="561">
        <f t="shared" si="29"/>
        <v>1291</v>
      </c>
      <c r="B1291" s="58">
        <v>301</v>
      </c>
      <c r="C1291" s="328" t="s">
        <v>1427</v>
      </c>
      <c r="D1291" s="329" t="s">
        <v>1411</v>
      </c>
      <c r="E1291" s="330"/>
      <c r="F1291" s="59" t="s">
        <v>1564</v>
      </c>
      <c r="G1291" s="323" t="s">
        <v>1885</v>
      </c>
      <c r="H1291" s="59" t="s">
        <v>1327</v>
      </c>
      <c r="I1291" s="331">
        <v>1400</v>
      </c>
      <c r="J1291" s="332"/>
      <c r="K1291" s="332"/>
      <c r="L1291" s="332"/>
      <c r="M1291" s="332"/>
      <c r="N1291" s="332"/>
      <c r="O1291" s="333"/>
      <c r="P1291" s="333"/>
      <c r="Q1291" s="333"/>
      <c r="R1291" s="333"/>
      <c r="S1291" s="334"/>
    </row>
    <row r="1292" spans="1:19" ht="15" customHeight="1">
      <c r="A1292" s="561">
        <f t="shared" si="29"/>
        <v>1292</v>
      </c>
      <c r="B1292" s="58">
        <v>301</v>
      </c>
      <c r="C1292" s="328" t="s">
        <v>1427</v>
      </c>
      <c r="D1292" s="329" t="s">
        <v>1411</v>
      </c>
      <c r="E1292" s="330"/>
      <c r="F1292" s="59" t="s">
        <v>1565</v>
      </c>
      <c r="G1292" s="323" t="s">
        <v>1714</v>
      </c>
      <c r="H1292" s="59" t="s">
        <v>109</v>
      </c>
      <c r="I1292" s="331">
        <v>20</v>
      </c>
      <c r="J1292" s="332"/>
      <c r="K1292" s="332">
        <v>72</v>
      </c>
      <c r="L1292" s="332"/>
      <c r="M1292" s="332"/>
      <c r="N1292" s="332"/>
      <c r="O1292" s="333"/>
      <c r="P1292" s="333"/>
      <c r="Q1292" s="333">
        <v>20</v>
      </c>
      <c r="R1292" s="333"/>
      <c r="S1292" s="334"/>
    </row>
    <row r="1293" spans="1:19" ht="15" customHeight="1">
      <c r="A1293" s="561">
        <f t="shared" si="29"/>
        <v>1293</v>
      </c>
      <c r="B1293" s="58">
        <v>301</v>
      </c>
      <c r="C1293" s="328" t="s">
        <v>1427</v>
      </c>
      <c r="D1293" s="329" t="s">
        <v>1411</v>
      </c>
      <c r="E1293" s="330"/>
      <c r="F1293" s="59" t="s">
        <v>1566</v>
      </c>
      <c r="G1293" s="323" t="s">
        <v>1767</v>
      </c>
      <c r="H1293" s="59" t="s">
        <v>109</v>
      </c>
      <c r="I1293" s="331">
        <v>2</v>
      </c>
      <c r="J1293" s="332"/>
      <c r="K1293" s="332"/>
      <c r="L1293" s="332">
        <v>19</v>
      </c>
      <c r="M1293" s="332"/>
      <c r="N1293" s="332"/>
      <c r="O1293" s="333"/>
      <c r="P1293" s="333"/>
      <c r="Q1293" s="333"/>
      <c r="R1293" s="333">
        <v>2</v>
      </c>
      <c r="S1293" s="334"/>
    </row>
    <row r="1294" spans="1:19" ht="15" customHeight="1">
      <c r="A1294" s="561">
        <f t="shared" si="29"/>
        <v>1294</v>
      </c>
      <c r="B1294" s="58">
        <v>301</v>
      </c>
      <c r="C1294" s="328" t="s">
        <v>1427</v>
      </c>
      <c r="D1294" s="329" t="s">
        <v>1411</v>
      </c>
      <c r="E1294" s="330"/>
      <c r="F1294" s="59" t="s">
        <v>17</v>
      </c>
      <c r="G1294" s="323" t="s">
        <v>188</v>
      </c>
      <c r="H1294" s="59" t="s">
        <v>109</v>
      </c>
      <c r="I1294" s="331">
        <v>2</v>
      </c>
      <c r="J1294" s="332">
        <v>12</v>
      </c>
      <c r="K1294" s="332"/>
      <c r="L1294" s="332"/>
      <c r="M1294" s="332"/>
      <c r="N1294" s="332"/>
      <c r="O1294" s="333"/>
      <c r="P1294" s="333"/>
      <c r="Q1294" s="333"/>
      <c r="R1294" s="333">
        <v>2</v>
      </c>
      <c r="S1294" s="334"/>
    </row>
    <row r="1295" spans="1:19" ht="15" customHeight="1">
      <c r="A1295" s="561">
        <f t="shared" si="29"/>
        <v>1295</v>
      </c>
      <c r="B1295" s="58">
        <v>301</v>
      </c>
      <c r="C1295" s="328" t="s">
        <v>1427</v>
      </c>
      <c r="D1295" s="329" t="s">
        <v>1411</v>
      </c>
      <c r="E1295" s="330"/>
      <c r="F1295" s="59" t="s">
        <v>70</v>
      </c>
      <c r="G1295" s="323" t="s">
        <v>1821</v>
      </c>
      <c r="H1295" s="59" t="s">
        <v>109</v>
      </c>
      <c r="I1295" s="331">
        <v>2</v>
      </c>
      <c r="J1295" s="332">
        <v>12</v>
      </c>
      <c r="K1295" s="332"/>
      <c r="L1295" s="332"/>
      <c r="M1295" s="332"/>
      <c r="N1295" s="332"/>
      <c r="O1295" s="333"/>
      <c r="P1295" s="333"/>
      <c r="Q1295" s="333"/>
      <c r="R1295" s="333">
        <v>2</v>
      </c>
      <c r="S1295" s="334"/>
    </row>
    <row r="1296" spans="1:19" ht="15" customHeight="1">
      <c r="A1296" s="561">
        <f t="shared" si="29"/>
        <v>1296</v>
      </c>
      <c r="B1296" s="58">
        <v>301</v>
      </c>
      <c r="C1296" s="328" t="s">
        <v>1427</v>
      </c>
      <c r="D1296" s="329" t="s">
        <v>1411</v>
      </c>
      <c r="E1296" s="330"/>
      <c r="F1296" s="59" t="s">
        <v>65</v>
      </c>
      <c r="G1296" s="323" t="s">
        <v>14</v>
      </c>
      <c r="H1296" s="59" t="s">
        <v>109</v>
      </c>
      <c r="I1296" s="331">
        <v>8</v>
      </c>
      <c r="J1296" s="332"/>
      <c r="K1296" s="332">
        <v>26</v>
      </c>
      <c r="L1296" s="332"/>
      <c r="M1296" s="332"/>
      <c r="N1296" s="332"/>
      <c r="O1296" s="333"/>
      <c r="P1296" s="333"/>
      <c r="Q1296" s="333"/>
      <c r="R1296" s="333">
        <v>8</v>
      </c>
      <c r="S1296" s="334"/>
    </row>
    <row r="1297" spans="1:19" ht="15" customHeight="1">
      <c r="A1297" s="561">
        <f t="shared" si="29"/>
        <v>1297</v>
      </c>
      <c r="B1297" s="58">
        <v>301</v>
      </c>
      <c r="C1297" s="328" t="s">
        <v>1427</v>
      </c>
      <c r="D1297" s="329" t="s">
        <v>1411</v>
      </c>
      <c r="E1297" s="330"/>
      <c r="F1297" s="59" t="s">
        <v>65</v>
      </c>
      <c r="G1297" s="323" t="s">
        <v>66</v>
      </c>
      <c r="H1297" s="59" t="s">
        <v>109</v>
      </c>
      <c r="I1297" s="331">
        <v>6</v>
      </c>
      <c r="J1297" s="332"/>
      <c r="K1297" s="332">
        <v>35</v>
      </c>
      <c r="L1297" s="332"/>
      <c r="M1297" s="332"/>
      <c r="N1297" s="332"/>
      <c r="O1297" s="333"/>
      <c r="P1297" s="333"/>
      <c r="Q1297" s="333"/>
      <c r="R1297" s="333">
        <v>6</v>
      </c>
      <c r="S1297" s="334"/>
    </row>
    <row r="1298" spans="1:19" ht="15" customHeight="1">
      <c r="A1298" s="561">
        <f t="shared" si="29"/>
        <v>1298</v>
      </c>
      <c r="B1298" s="58">
        <v>301</v>
      </c>
      <c r="C1298" s="328" t="s">
        <v>1427</v>
      </c>
      <c r="D1298" s="329" t="s">
        <v>1411</v>
      </c>
      <c r="E1298" s="330"/>
      <c r="F1298" s="59" t="s">
        <v>1567</v>
      </c>
      <c r="G1298" s="323" t="s">
        <v>194</v>
      </c>
      <c r="H1298" s="59" t="s">
        <v>75</v>
      </c>
      <c r="I1298" s="331">
        <v>0.5</v>
      </c>
      <c r="J1298" s="332"/>
      <c r="K1298" s="332"/>
      <c r="L1298" s="332">
        <v>3</v>
      </c>
      <c r="M1298" s="332"/>
      <c r="N1298" s="332"/>
      <c r="O1298" s="333"/>
      <c r="P1298" s="333"/>
      <c r="Q1298" s="333"/>
      <c r="R1298" s="333">
        <v>1</v>
      </c>
      <c r="S1298" s="334"/>
    </row>
    <row r="1299" spans="1:19" ht="15" customHeight="1">
      <c r="A1299" s="561">
        <f t="shared" si="29"/>
        <v>1299</v>
      </c>
      <c r="B1299" s="58">
        <v>301</v>
      </c>
      <c r="C1299" s="328" t="s">
        <v>1427</v>
      </c>
      <c r="D1299" s="329" t="s">
        <v>1411</v>
      </c>
      <c r="E1299" s="330"/>
      <c r="F1299" s="59" t="s">
        <v>1568</v>
      </c>
      <c r="G1299" s="323"/>
      <c r="H1299" s="59" t="s">
        <v>1327</v>
      </c>
      <c r="I1299" s="331">
        <v>335</v>
      </c>
      <c r="J1299" s="332"/>
      <c r="K1299" s="332"/>
      <c r="L1299" s="332">
        <v>3</v>
      </c>
      <c r="M1299" s="332"/>
      <c r="N1299" s="332"/>
      <c r="O1299" s="333"/>
      <c r="P1299" s="333"/>
      <c r="Q1299" s="333"/>
      <c r="R1299" s="333"/>
      <c r="S1299" s="334"/>
    </row>
    <row r="1300" spans="1:19" ht="15" customHeight="1">
      <c r="A1300" s="561">
        <f t="shared" si="29"/>
        <v>1300</v>
      </c>
      <c r="B1300" s="58">
        <v>301</v>
      </c>
      <c r="C1300" s="328" t="s">
        <v>1427</v>
      </c>
      <c r="D1300" s="329" t="s">
        <v>1411</v>
      </c>
      <c r="E1300" s="330"/>
      <c r="F1300" s="59" t="s">
        <v>1569</v>
      </c>
      <c r="G1300" s="323" t="s">
        <v>1886</v>
      </c>
      <c r="H1300" s="59" t="s">
        <v>1055</v>
      </c>
      <c r="I1300" s="331">
        <v>5</v>
      </c>
      <c r="J1300" s="332"/>
      <c r="K1300" s="332"/>
      <c r="L1300" s="332"/>
      <c r="M1300" s="332">
        <v>15</v>
      </c>
      <c r="N1300" s="332"/>
      <c r="O1300" s="333"/>
      <c r="P1300" s="333"/>
      <c r="Q1300" s="333"/>
      <c r="R1300" s="333"/>
      <c r="S1300" s="334"/>
    </row>
    <row r="1301" spans="1:19" ht="15" customHeight="1">
      <c r="A1301" s="561">
        <f t="shared" si="29"/>
        <v>1301</v>
      </c>
      <c r="B1301" s="58">
        <v>301</v>
      </c>
      <c r="C1301" s="328" t="s">
        <v>1427</v>
      </c>
      <c r="D1301" s="329" t="s">
        <v>1411</v>
      </c>
      <c r="E1301" s="330"/>
      <c r="F1301" s="59" t="s">
        <v>1570</v>
      </c>
      <c r="G1301" s="323" t="s">
        <v>1887</v>
      </c>
      <c r="H1301" s="59" t="s">
        <v>1055</v>
      </c>
      <c r="I1301" s="331">
        <v>5</v>
      </c>
      <c r="J1301" s="332"/>
      <c r="K1301" s="332"/>
      <c r="L1301" s="332"/>
      <c r="M1301" s="332">
        <v>15</v>
      </c>
      <c r="N1301" s="332"/>
      <c r="O1301" s="333"/>
      <c r="P1301" s="333"/>
      <c r="Q1301" s="333"/>
      <c r="R1301" s="333"/>
      <c r="S1301" s="334"/>
    </row>
    <row r="1302" spans="1:19" ht="15" customHeight="1">
      <c r="A1302" s="561">
        <f t="shared" si="29"/>
        <v>1302</v>
      </c>
      <c r="B1302" s="58">
        <v>302</v>
      </c>
      <c r="C1302" s="328" t="s">
        <v>1410</v>
      </c>
      <c r="D1302" s="329" t="s">
        <v>1411</v>
      </c>
      <c r="E1302" s="330"/>
      <c r="F1302" s="59" t="s">
        <v>1563</v>
      </c>
      <c r="G1302" s="323" t="s">
        <v>15</v>
      </c>
      <c r="H1302" s="59" t="s">
        <v>68</v>
      </c>
      <c r="I1302" s="331">
        <v>48</v>
      </c>
      <c r="J1302" s="332" t="s">
        <v>317</v>
      </c>
      <c r="K1302" s="332"/>
      <c r="L1302" s="332"/>
      <c r="M1302" s="332"/>
      <c r="N1302" s="332"/>
      <c r="O1302" s="333"/>
      <c r="P1302" s="333"/>
      <c r="Q1302" s="333"/>
      <c r="R1302" s="333"/>
      <c r="S1302" s="334"/>
    </row>
    <row r="1303" spans="1:19" ht="15" customHeight="1">
      <c r="A1303" s="561">
        <f t="shared" si="29"/>
        <v>1303</v>
      </c>
      <c r="B1303" s="58">
        <v>302</v>
      </c>
      <c r="C1303" s="328" t="s">
        <v>1410</v>
      </c>
      <c r="D1303" s="329" t="s">
        <v>1411</v>
      </c>
      <c r="E1303" s="330"/>
      <c r="F1303" s="59" t="s">
        <v>1564</v>
      </c>
      <c r="G1303" s="323" t="s">
        <v>1885</v>
      </c>
      <c r="H1303" s="59" t="s">
        <v>12</v>
      </c>
      <c r="I1303" s="331">
        <v>1178</v>
      </c>
      <c r="J1303" s="332"/>
      <c r="K1303" s="332"/>
      <c r="L1303" s="332"/>
      <c r="M1303" s="332"/>
      <c r="N1303" s="332"/>
      <c r="O1303" s="333"/>
      <c r="P1303" s="333"/>
      <c r="Q1303" s="333"/>
      <c r="R1303" s="333"/>
      <c r="S1303" s="334"/>
    </row>
    <row r="1304" spans="1:19" ht="15" customHeight="1">
      <c r="A1304" s="561">
        <f t="shared" si="29"/>
        <v>1304</v>
      </c>
      <c r="B1304" s="58">
        <v>302</v>
      </c>
      <c r="C1304" s="328" t="s">
        <v>1410</v>
      </c>
      <c r="D1304" s="329" t="s">
        <v>1411</v>
      </c>
      <c r="E1304" s="330"/>
      <c r="F1304" s="59" t="s">
        <v>1571</v>
      </c>
      <c r="G1304" s="323" t="s">
        <v>16</v>
      </c>
      <c r="H1304" s="59" t="s">
        <v>176</v>
      </c>
      <c r="I1304" s="331">
        <v>35</v>
      </c>
      <c r="J1304" s="332">
        <v>20</v>
      </c>
      <c r="K1304" s="332">
        <v>19</v>
      </c>
      <c r="L1304" s="332">
        <v>10</v>
      </c>
      <c r="M1304" s="332"/>
      <c r="N1304" s="332"/>
      <c r="O1304" s="333"/>
      <c r="P1304" s="333"/>
      <c r="Q1304" s="333"/>
      <c r="R1304" s="333">
        <v>35</v>
      </c>
      <c r="S1304" s="334" t="s">
        <v>1572</v>
      </c>
    </row>
    <row r="1305" spans="1:19" ht="15" customHeight="1">
      <c r="A1305" s="561">
        <f t="shared" si="29"/>
        <v>1305</v>
      </c>
      <c r="B1305" s="58">
        <v>302</v>
      </c>
      <c r="C1305" s="328" t="s">
        <v>1410</v>
      </c>
      <c r="D1305" s="329" t="s">
        <v>1411</v>
      </c>
      <c r="E1305" s="330"/>
      <c r="F1305" s="59" t="s">
        <v>18</v>
      </c>
      <c r="G1305" s="323" t="s">
        <v>1888</v>
      </c>
      <c r="H1305" s="59" t="s">
        <v>1324</v>
      </c>
      <c r="I1305" s="331">
        <v>29</v>
      </c>
      <c r="J1305" s="332"/>
      <c r="K1305" s="332"/>
      <c r="L1305" s="332"/>
      <c r="M1305" s="332">
        <v>20</v>
      </c>
      <c r="N1305" s="332"/>
      <c r="O1305" s="333"/>
      <c r="P1305" s="333"/>
      <c r="Q1305" s="333"/>
      <c r="R1305" s="333"/>
      <c r="S1305" s="334"/>
    </row>
    <row r="1306" spans="1:19" ht="15" customHeight="1">
      <c r="A1306" s="561">
        <f t="shared" si="29"/>
        <v>1306</v>
      </c>
      <c r="B1306" s="58">
        <v>302</v>
      </c>
      <c r="C1306" s="328" t="s">
        <v>1410</v>
      </c>
      <c r="D1306" s="329" t="s">
        <v>1411</v>
      </c>
      <c r="E1306" s="330"/>
      <c r="F1306" s="59" t="s">
        <v>1573</v>
      </c>
      <c r="G1306" s="323" t="s">
        <v>63</v>
      </c>
      <c r="H1306" s="59" t="s">
        <v>109</v>
      </c>
      <c r="I1306" s="331">
        <v>181</v>
      </c>
      <c r="J1306" s="332">
        <v>13</v>
      </c>
      <c r="K1306" s="332">
        <v>98</v>
      </c>
      <c r="L1306" s="332"/>
      <c r="M1306" s="332">
        <v>8</v>
      </c>
      <c r="N1306" s="332"/>
      <c r="O1306" s="333"/>
      <c r="P1306" s="333"/>
      <c r="Q1306" s="333"/>
      <c r="R1306" s="333">
        <v>181</v>
      </c>
      <c r="S1306" s="334" t="s">
        <v>1574</v>
      </c>
    </row>
    <row r="1307" spans="1:19" ht="15" customHeight="1">
      <c r="A1307" s="561">
        <f t="shared" si="29"/>
        <v>1307</v>
      </c>
      <c r="B1307" s="58">
        <v>302</v>
      </c>
      <c r="C1307" s="328" t="s">
        <v>1410</v>
      </c>
      <c r="D1307" s="329" t="s">
        <v>1411</v>
      </c>
      <c r="E1307" s="330"/>
      <c r="F1307" s="59" t="s">
        <v>1575</v>
      </c>
      <c r="G1307" s="323" t="s">
        <v>1714</v>
      </c>
      <c r="H1307" s="59" t="s">
        <v>12</v>
      </c>
      <c r="I1307" s="331">
        <v>10</v>
      </c>
      <c r="J1307" s="332"/>
      <c r="K1307" s="332"/>
      <c r="L1307" s="332">
        <v>53</v>
      </c>
      <c r="M1307" s="332"/>
      <c r="N1307" s="332"/>
      <c r="O1307" s="333"/>
      <c r="P1307" s="333">
        <v>10</v>
      </c>
      <c r="Q1307" s="333"/>
      <c r="R1307" s="333"/>
      <c r="S1307" s="334" t="s">
        <v>318</v>
      </c>
    </row>
    <row r="1308" spans="1:19" ht="15" customHeight="1">
      <c r="A1308" s="561">
        <f t="shared" si="29"/>
        <v>1308</v>
      </c>
      <c r="B1308" s="58">
        <v>302</v>
      </c>
      <c r="C1308" s="328" t="s">
        <v>1410</v>
      </c>
      <c r="D1308" s="329" t="s">
        <v>1411</v>
      </c>
      <c r="E1308" s="330"/>
      <c r="F1308" s="59" t="s">
        <v>1576</v>
      </c>
      <c r="G1308" s="323" t="s">
        <v>14</v>
      </c>
      <c r="H1308" s="59" t="s">
        <v>109</v>
      </c>
      <c r="I1308" s="331">
        <v>30</v>
      </c>
      <c r="J1308" s="332"/>
      <c r="K1308" s="332">
        <v>45</v>
      </c>
      <c r="L1308" s="332"/>
      <c r="M1308" s="332"/>
      <c r="N1308" s="332"/>
      <c r="O1308" s="333"/>
      <c r="P1308" s="333"/>
      <c r="Q1308" s="333">
        <v>30</v>
      </c>
      <c r="R1308" s="333"/>
      <c r="S1308" s="334"/>
    </row>
    <row r="1309" spans="1:19" ht="15" customHeight="1">
      <c r="A1309" s="561">
        <f t="shared" si="29"/>
        <v>1309</v>
      </c>
      <c r="B1309" s="58">
        <v>302</v>
      </c>
      <c r="C1309" s="328" t="s">
        <v>1410</v>
      </c>
      <c r="D1309" s="329" t="s">
        <v>1411</v>
      </c>
      <c r="E1309" s="330"/>
      <c r="F1309" s="59" t="s">
        <v>1577</v>
      </c>
      <c r="G1309" s="323" t="s">
        <v>66</v>
      </c>
      <c r="H1309" s="59" t="s">
        <v>109</v>
      </c>
      <c r="I1309" s="331">
        <v>45</v>
      </c>
      <c r="J1309" s="332"/>
      <c r="K1309" s="332">
        <v>88</v>
      </c>
      <c r="L1309" s="332"/>
      <c r="M1309" s="332"/>
      <c r="N1309" s="332"/>
      <c r="O1309" s="333"/>
      <c r="P1309" s="333"/>
      <c r="Q1309" s="333">
        <v>45</v>
      </c>
      <c r="R1309" s="333"/>
      <c r="S1309" s="334"/>
    </row>
    <row r="1310" spans="1:19" ht="15" customHeight="1">
      <c r="A1310" s="561">
        <f t="shared" si="29"/>
        <v>1310</v>
      </c>
      <c r="B1310" s="58">
        <v>302</v>
      </c>
      <c r="C1310" s="328" t="s">
        <v>1410</v>
      </c>
      <c r="D1310" s="329" t="s">
        <v>1411</v>
      </c>
      <c r="E1310" s="330"/>
      <c r="F1310" s="59" t="s">
        <v>1578</v>
      </c>
      <c r="G1310" s="323" t="s">
        <v>1823</v>
      </c>
      <c r="H1310" s="59" t="s">
        <v>1055</v>
      </c>
      <c r="I1310" s="331">
        <v>5</v>
      </c>
      <c r="J1310" s="332"/>
      <c r="K1310" s="332"/>
      <c r="L1310" s="332"/>
      <c r="M1310" s="332">
        <v>15</v>
      </c>
      <c r="N1310" s="332"/>
      <c r="O1310" s="333"/>
      <c r="P1310" s="333"/>
      <c r="Q1310" s="333"/>
      <c r="R1310" s="333"/>
      <c r="S1310" s="334"/>
    </row>
    <row r="1311" spans="1:19" ht="15" customHeight="1">
      <c r="A1311" s="561">
        <f t="shared" si="29"/>
        <v>1311</v>
      </c>
      <c r="B1311" s="58">
        <v>303</v>
      </c>
      <c r="C1311" s="328" t="s">
        <v>133</v>
      </c>
      <c r="D1311" s="329" t="s">
        <v>1411</v>
      </c>
      <c r="E1311" s="330"/>
      <c r="F1311" s="59" t="s">
        <v>1579</v>
      </c>
      <c r="G1311" s="323" t="s">
        <v>15</v>
      </c>
      <c r="H1311" s="59" t="s">
        <v>68</v>
      </c>
      <c r="I1311" s="331">
        <v>104</v>
      </c>
      <c r="J1311" s="332" t="s">
        <v>1580</v>
      </c>
      <c r="K1311" s="332"/>
      <c r="L1311" s="332"/>
      <c r="M1311" s="332"/>
      <c r="N1311" s="332"/>
      <c r="O1311" s="333"/>
      <c r="P1311" s="333"/>
      <c r="Q1311" s="333"/>
      <c r="R1311" s="333"/>
      <c r="S1311" s="334"/>
    </row>
    <row r="1312" spans="1:19" ht="15" customHeight="1">
      <c r="A1312" s="561">
        <f t="shared" si="29"/>
        <v>1312</v>
      </c>
      <c r="B1312" s="58">
        <v>303</v>
      </c>
      <c r="C1312" s="328" t="s">
        <v>133</v>
      </c>
      <c r="D1312" s="329" t="s">
        <v>1411</v>
      </c>
      <c r="E1312" s="330"/>
      <c r="F1312" s="59" t="s">
        <v>1564</v>
      </c>
      <c r="G1312" s="323" t="s">
        <v>1885</v>
      </c>
      <c r="H1312" s="59" t="s">
        <v>12</v>
      </c>
      <c r="I1312" s="331">
        <v>731</v>
      </c>
      <c r="J1312" s="332"/>
      <c r="K1312" s="332"/>
      <c r="L1312" s="332"/>
      <c r="M1312" s="332"/>
      <c r="N1312" s="332"/>
      <c r="O1312" s="333"/>
      <c r="P1312" s="333"/>
      <c r="Q1312" s="333"/>
      <c r="R1312" s="333"/>
      <c r="S1312" s="334"/>
    </row>
    <row r="1313" spans="1:19" ht="15" customHeight="1">
      <c r="A1313" s="561">
        <f t="shared" si="29"/>
        <v>1313</v>
      </c>
      <c r="B1313" s="58">
        <v>303</v>
      </c>
      <c r="C1313" s="328" t="s">
        <v>133</v>
      </c>
      <c r="D1313" s="329" t="s">
        <v>1411</v>
      </c>
      <c r="E1313" s="330"/>
      <c r="F1313" s="59" t="s">
        <v>1564</v>
      </c>
      <c r="G1313" s="323" t="s">
        <v>197</v>
      </c>
      <c r="H1313" s="59" t="s">
        <v>12</v>
      </c>
      <c r="I1313" s="331">
        <v>803</v>
      </c>
      <c r="J1313" s="332"/>
      <c r="K1313" s="332"/>
      <c r="L1313" s="332"/>
      <c r="M1313" s="332"/>
      <c r="N1313" s="332"/>
      <c r="O1313" s="333"/>
      <c r="P1313" s="333"/>
      <c r="Q1313" s="333"/>
      <c r="R1313" s="333"/>
      <c r="S1313" s="334"/>
    </row>
    <row r="1314" spans="1:19" ht="15" customHeight="1">
      <c r="A1314" s="561">
        <f t="shared" si="29"/>
        <v>1314</v>
      </c>
      <c r="B1314" s="58">
        <v>303</v>
      </c>
      <c r="C1314" s="328" t="s">
        <v>133</v>
      </c>
      <c r="D1314" s="329" t="s">
        <v>1411</v>
      </c>
      <c r="E1314" s="330"/>
      <c r="F1314" s="59" t="s">
        <v>67</v>
      </c>
      <c r="G1314" s="323" t="s">
        <v>1889</v>
      </c>
      <c r="H1314" s="59" t="s">
        <v>1581</v>
      </c>
      <c r="I1314" s="331">
        <v>47</v>
      </c>
      <c r="J1314" s="332"/>
      <c r="K1314" s="332"/>
      <c r="L1314" s="332"/>
      <c r="M1314" s="332"/>
      <c r="N1314" s="332"/>
      <c r="O1314" s="333"/>
      <c r="P1314" s="333"/>
      <c r="Q1314" s="333"/>
      <c r="R1314" s="333"/>
      <c r="S1314" s="334"/>
    </row>
    <row r="1315" spans="1:19" ht="15" customHeight="1">
      <c r="A1315" s="561">
        <f t="shared" si="29"/>
        <v>1315</v>
      </c>
      <c r="B1315" s="58">
        <v>303</v>
      </c>
      <c r="C1315" s="328" t="s">
        <v>133</v>
      </c>
      <c r="D1315" s="329" t="s">
        <v>1411</v>
      </c>
      <c r="E1315" s="330"/>
      <c r="F1315" s="59" t="s">
        <v>1564</v>
      </c>
      <c r="G1315" s="323" t="s">
        <v>1890</v>
      </c>
      <c r="H1315" s="59" t="s">
        <v>12</v>
      </c>
      <c r="I1315" s="331">
        <v>122</v>
      </c>
      <c r="J1315" s="332"/>
      <c r="K1315" s="332"/>
      <c r="L1315" s="332"/>
      <c r="M1315" s="332"/>
      <c r="N1315" s="332"/>
      <c r="O1315" s="333"/>
      <c r="P1315" s="333"/>
      <c r="Q1315" s="333"/>
      <c r="R1315" s="333"/>
      <c r="S1315" s="334"/>
    </row>
    <row r="1316" spans="1:19" ht="15" customHeight="1">
      <c r="A1316" s="561">
        <f t="shared" si="29"/>
        <v>1316</v>
      </c>
      <c r="B1316" s="58">
        <v>303</v>
      </c>
      <c r="C1316" s="328" t="s">
        <v>133</v>
      </c>
      <c r="D1316" s="329" t="s">
        <v>1411</v>
      </c>
      <c r="E1316" s="330"/>
      <c r="F1316" s="59" t="s">
        <v>1582</v>
      </c>
      <c r="G1316" s="323" t="s">
        <v>1891</v>
      </c>
      <c r="H1316" s="59" t="s">
        <v>109</v>
      </c>
      <c r="I1316" s="331">
        <v>49</v>
      </c>
      <c r="J1316" s="332"/>
      <c r="K1316" s="332">
        <v>32</v>
      </c>
      <c r="L1316" s="332">
        <v>26</v>
      </c>
      <c r="M1316" s="332"/>
      <c r="N1316" s="332"/>
      <c r="O1316" s="333"/>
      <c r="P1316" s="333"/>
      <c r="Q1316" s="333"/>
      <c r="R1316" s="333">
        <v>49</v>
      </c>
      <c r="S1316" s="334"/>
    </row>
    <row r="1317" spans="1:19" ht="15" customHeight="1">
      <c r="A1317" s="561">
        <f t="shared" si="29"/>
        <v>1317</v>
      </c>
      <c r="B1317" s="58">
        <v>303</v>
      </c>
      <c r="C1317" s="328" t="s">
        <v>133</v>
      </c>
      <c r="D1317" s="329" t="s">
        <v>1411</v>
      </c>
      <c r="E1317" s="330"/>
      <c r="F1317" s="59" t="s">
        <v>18</v>
      </c>
      <c r="G1317" s="323" t="s">
        <v>1888</v>
      </c>
      <c r="H1317" s="59" t="s">
        <v>1324</v>
      </c>
      <c r="I1317" s="331">
        <v>62</v>
      </c>
      <c r="J1317" s="332"/>
      <c r="K1317" s="332"/>
      <c r="L1317" s="332"/>
      <c r="M1317" s="332"/>
      <c r="N1317" s="332"/>
      <c r="O1317" s="333"/>
      <c r="P1317" s="333"/>
      <c r="Q1317" s="333"/>
      <c r="R1317" s="333"/>
      <c r="S1317" s="334"/>
    </row>
    <row r="1318" spans="1:19" ht="15" customHeight="1">
      <c r="A1318" s="561">
        <f t="shared" si="29"/>
        <v>1318</v>
      </c>
      <c r="B1318" s="58">
        <v>303</v>
      </c>
      <c r="C1318" s="328" t="s">
        <v>133</v>
      </c>
      <c r="D1318" s="329" t="s">
        <v>1411</v>
      </c>
      <c r="E1318" s="330"/>
      <c r="F1318" s="59" t="s">
        <v>1583</v>
      </c>
      <c r="G1318" s="323" t="s">
        <v>16</v>
      </c>
      <c r="H1318" s="59" t="s">
        <v>109</v>
      </c>
      <c r="I1318" s="331">
        <v>1013</v>
      </c>
      <c r="J1318" s="332">
        <v>92</v>
      </c>
      <c r="K1318" s="332">
        <v>59</v>
      </c>
      <c r="L1318" s="332"/>
      <c r="M1318" s="332"/>
      <c r="N1318" s="332"/>
      <c r="O1318" s="333"/>
      <c r="P1318" s="333"/>
      <c r="Q1318" s="333"/>
      <c r="R1318" s="333">
        <v>119</v>
      </c>
      <c r="S1318" s="334" t="s">
        <v>1584</v>
      </c>
    </row>
    <row r="1319" spans="1:19" ht="15" customHeight="1">
      <c r="A1319" s="561">
        <f t="shared" si="29"/>
        <v>1319</v>
      </c>
      <c r="B1319" s="58">
        <v>303</v>
      </c>
      <c r="C1319" s="328" t="s">
        <v>133</v>
      </c>
      <c r="D1319" s="329" t="s">
        <v>1411</v>
      </c>
      <c r="E1319" s="330"/>
      <c r="F1319" s="59" t="s">
        <v>1585</v>
      </c>
      <c r="G1319" s="323" t="s">
        <v>1892</v>
      </c>
      <c r="H1319" s="59" t="s">
        <v>12</v>
      </c>
      <c r="I1319" s="331">
        <v>7</v>
      </c>
      <c r="J1319" s="332"/>
      <c r="K1319" s="332"/>
      <c r="L1319" s="332">
        <v>25</v>
      </c>
      <c r="M1319" s="332"/>
      <c r="N1319" s="332"/>
      <c r="O1319" s="333"/>
      <c r="P1319" s="333"/>
      <c r="Q1319" s="333">
        <v>7</v>
      </c>
      <c r="R1319" s="333"/>
      <c r="S1319" s="334"/>
    </row>
    <row r="1320" spans="1:19" ht="15" customHeight="1">
      <c r="A1320" s="561">
        <f t="shared" si="29"/>
        <v>1320</v>
      </c>
      <c r="B1320" s="58">
        <v>303</v>
      </c>
      <c r="C1320" s="328" t="s">
        <v>133</v>
      </c>
      <c r="D1320" s="329" t="s">
        <v>1411</v>
      </c>
      <c r="E1320" s="330"/>
      <c r="F1320" s="59" t="s">
        <v>1565</v>
      </c>
      <c r="G1320" s="323" t="s">
        <v>1714</v>
      </c>
      <c r="H1320" s="59" t="s">
        <v>12</v>
      </c>
      <c r="I1320" s="331">
        <v>17</v>
      </c>
      <c r="J1320" s="332"/>
      <c r="K1320" s="332"/>
      <c r="L1320" s="332">
        <v>45</v>
      </c>
      <c r="M1320" s="332"/>
      <c r="N1320" s="332"/>
      <c r="O1320" s="333"/>
      <c r="P1320" s="333"/>
      <c r="Q1320" s="333">
        <v>17</v>
      </c>
      <c r="R1320" s="333"/>
      <c r="S1320" s="334"/>
    </row>
    <row r="1321" spans="1:19" ht="15" customHeight="1">
      <c r="A1321" s="561">
        <f t="shared" si="29"/>
        <v>1321</v>
      </c>
      <c r="B1321" s="58">
        <v>303</v>
      </c>
      <c r="C1321" s="328" t="s">
        <v>133</v>
      </c>
      <c r="D1321" s="329" t="s">
        <v>1411</v>
      </c>
      <c r="E1321" s="330"/>
      <c r="F1321" s="59" t="s">
        <v>1566</v>
      </c>
      <c r="G1321" s="323" t="s">
        <v>1767</v>
      </c>
      <c r="H1321" s="59" t="s">
        <v>12</v>
      </c>
      <c r="I1321" s="331">
        <v>9</v>
      </c>
      <c r="J1321" s="332"/>
      <c r="K1321" s="332"/>
      <c r="L1321" s="332">
        <v>30</v>
      </c>
      <c r="M1321" s="332"/>
      <c r="N1321" s="332"/>
      <c r="O1321" s="333"/>
      <c r="P1321" s="333"/>
      <c r="Q1321" s="333">
        <v>9</v>
      </c>
      <c r="R1321" s="333"/>
      <c r="S1321" s="334"/>
    </row>
    <row r="1322" spans="1:19" ht="15" customHeight="1">
      <c r="A1322" s="561">
        <f t="shared" si="29"/>
        <v>1322</v>
      </c>
      <c r="B1322" s="58">
        <v>303</v>
      </c>
      <c r="C1322" s="328" t="s">
        <v>133</v>
      </c>
      <c r="D1322" s="329" t="s">
        <v>1411</v>
      </c>
      <c r="E1322" s="330"/>
      <c r="F1322" s="59" t="s">
        <v>292</v>
      </c>
      <c r="G1322" s="323" t="s">
        <v>1893</v>
      </c>
      <c r="H1322" s="59" t="s">
        <v>12</v>
      </c>
      <c r="I1322" s="331">
        <v>4</v>
      </c>
      <c r="J1322" s="332"/>
      <c r="K1322" s="332"/>
      <c r="L1322" s="332">
        <v>25</v>
      </c>
      <c r="M1322" s="332"/>
      <c r="N1322" s="332"/>
      <c r="O1322" s="333"/>
      <c r="P1322" s="333"/>
      <c r="Q1322" s="333">
        <v>4</v>
      </c>
      <c r="R1322" s="333"/>
      <c r="S1322" s="334"/>
    </row>
    <row r="1323" spans="1:19" ht="15" customHeight="1">
      <c r="A1323" s="561">
        <f t="shared" si="29"/>
        <v>1323</v>
      </c>
      <c r="B1323" s="58">
        <v>303</v>
      </c>
      <c r="C1323" s="328" t="s">
        <v>133</v>
      </c>
      <c r="D1323" s="329" t="s">
        <v>1411</v>
      </c>
      <c r="E1323" s="330"/>
      <c r="F1323" s="59" t="s">
        <v>292</v>
      </c>
      <c r="G1323" s="323" t="s">
        <v>1894</v>
      </c>
      <c r="H1323" s="59" t="s">
        <v>160</v>
      </c>
      <c r="I1323" s="331">
        <v>16</v>
      </c>
      <c r="J1323" s="332"/>
      <c r="K1323" s="332"/>
      <c r="L1323" s="332">
        <v>40</v>
      </c>
      <c r="M1323" s="332"/>
      <c r="N1323" s="332"/>
      <c r="O1323" s="333"/>
      <c r="P1323" s="333"/>
      <c r="Q1323" s="333">
        <v>16</v>
      </c>
      <c r="R1323" s="333"/>
      <c r="S1323" s="334"/>
    </row>
    <row r="1324" spans="1:19" ht="15" customHeight="1">
      <c r="A1324" s="561">
        <f t="shared" si="29"/>
        <v>1324</v>
      </c>
      <c r="B1324" s="58">
        <v>303</v>
      </c>
      <c r="C1324" s="328" t="s">
        <v>133</v>
      </c>
      <c r="D1324" s="329" t="s">
        <v>1411</v>
      </c>
      <c r="E1324" s="330"/>
      <c r="F1324" s="59" t="s">
        <v>292</v>
      </c>
      <c r="G1324" s="323" t="s">
        <v>1895</v>
      </c>
      <c r="H1324" s="59" t="s">
        <v>160</v>
      </c>
      <c r="I1324" s="331">
        <v>7</v>
      </c>
      <c r="J1324" s="332"/>
      <c r="K1324" s="332"/>
      <c r="L1324" s="332">
        <v>36</v>
      </c>
      <c r="M1324" s="332"/>
      <c r="N1324" s="332"/>
      <c r="O1324" s="333"/>
      <c r="P1324" s="333"/>
      <c r="Q1324" s="333">
        <v>7</v>
      </c>
      <c r="R1324" s="333"/>
      <c r="S1324" s="334"/>
    </row>
    <row r="1325" spans="1:19" ht="15" customHeight="1">
      <c r="A1325" s="561">
        <f t="shared" si="29"/>
        <v>1325</v>
      </c>
      <c r="B1325" s="58">
        <v>303</v>
      </c>
      <c r="C1325" s="328" t="s">
        <v>133</v>
      </c>
      <c r="D1325" s="329" t="s">
        <v>1411</v>
      </c>
      <c r="E1325" s="330"/>
      <c r="F1325" s="59" t="s">
        <v>70</v>
      </c>
      <c r="G1325" s="323" t="s">
        <v>1821</v>
      </c>
      <c r="H1325" s="59" t="s">
        <v>109</v>
      </c>
      <c r="I1325" s="331">
        <v>6</v>
      </c>
      <c r="J1325" s="332">
        <v>2</v>
      </c>
      <c r="K1325" s="332">
        <v>38</v>
      </c>
      <c r="L1325" s="332"/>
      <c r="M1325" s="332"/>
      <c r="N1325" s="332"/>
      <c r="O1325" s="333"/>
      <c r="P1325" s="333"/>
      <c r="Q1325" s="333">
        <v>6</v>
      </c>
      <c r="R1325" s="333"/>
      <c r="S1325" s="334"/>
    </row>
    <row r="1326" spans="1:19" ht="15" customHeight="1">
      <c r="A1326" s="561">
        <f t="shared" si="29"/>
        <v>1326</v>
      </c>
      <c r="B1326" s="58">
        <v>303</v>
      </c>
      <c r="C1326" s="328" t="s">
        <v>133</v>
      </c>
      <c r="D1326" s="329" t="s">
        <v>1411</v>
      </c>
      <c r="E1326" s="330"/>
      <c r="F1326" s="59" t="s">
        <v>1586</v>
      </c>
      <c r="G1326" s="323" t="s">
        <v>14</v>
      </c>
      <c r="H1326" s="59" t="s">
        <v>109</v>
      </c>
      <c r="I1326" s="331">
        <v>64</v>
      </c>
      <c r="J1326" s="332"/>
      <c r="K1326" s="332">
        <v>195</v>
      </c>
      <c r="L1326" s="332"/>
      <c r="M1326" s="332"/>
      <c r="N1326" s="332"/>
      <c r="O1326" s="333"/>
      <c r="P1326" s="333"/>
      <c r="Q1326" s="333">
        <v>64</v>
      </c>
      <c r="R1326" s="333"/>
      <c r="S1326" s="334"/>
    </row>
    <row r="1327" spans="1:19" ht="15" customHeight="1">
      <c r="A1327" s="561">
        <f t="shared" si="29"/>
        <v>1327</v>
      </c>
      <c r="B1327" s="58">
        <v>303</v>
      </c>
      <c r="C1327" s="328" t="s">
        <v>133</v>
      </c>
      <c r="D1327" s="329" t="s">
        <v>1411</v>
      </c>
      <c r="E1327" s="330"/>
      <c r="F1327" s="59" t="s">
        <v>1586</v>
      </c>
      <c r="G1327" s="323" t="s">
        <v>66</v>
      </c>
      <c r="H1327" s="59" t="s">
        <v>109</v>
      </c>
      <c r="I1327" s="331">
        <v>50</v>
      </c>
      <c r="J1327" s="332"/>
      <c r="K1327" s="332">
        <v>190</v>
      </c>
      <c r="L1327" s="332"/>
      <c r="M1327" s="332"/>
      <c r="N1327" s="332"/>
      <c r="O1327" s="333"/>
      <c r="P1327" s="333"/>
      <c r="Q1327" s="333">
        <v>50</v>
      </c>
      <c r="R1327" s="333"/>
      <c r="S1327" s="334"/>
    </row>
    <row r="1328" spans="1:19" ht="15" customHeight="1">
      <c r="A1328" s="561">
        <f t="shared" si="29"/>
        <v>1328</v>
      </c>
      <c r="B1328" s="58">
        <v>303</v>
      </c>
      <c r="C1328" s="328" t="s">
        <v>133</v>
      </c>
      <c r="D1328" s="329" t="s">
        <v>1411</v>
      </c>
      <c r="E1328" s="330"/>
      <c r="F1328" s="59" t="s">
        <v>1587</v>
      </c>
      <c r="G1328" s="323"/>
      <c r="H1328" s="59" t="s">
        <v>12</v>
      </c>
      <c r="I1328" s="331">
        <v>10</v>
      </c>
      <c r="J1328" s="332"/>
      <c r="K1328" s="332"/>
      <c r="L1328" s="332">
        <v>30</v>
      </c>
      <c r="M1328" s="332"/>
      <c r="N1328" s="332"/>
      <c r="O1328" s="333"/>
      <c r="P1328" s="333">
        <v>10</v>
      </c>
      <c r="Q1328" s="333"/>
      <c r="R1328" s="333"/>
      <c r="S1328" s="334"/>
    </row>
    <row r="1329" spans="1:19" ht="15" customHeight="1">
      <c r="A1329" s="561">
        <f t="shared" si="29"/>
        <v>1329</v>
      </c>
      <c r="B1329" s="58">
        <v>303</v>
      </c>
      <c r="C1329" s="328" t="s">
        <v>133</v>
      </c>
      <c r="D1329" s="329" t="s">
        <v>1411</v>
      </c>
      <c r="E1329" s="330"/>
      <c r="F1329" s="59" t="s">
        <v>1</v>
      </c>
      <c r="G1329" s="323"/>
      <c r="H1329" s="59" t="s">
        <v>1055</v>
      </c>
      <c r="I1329" s="331">
        <v>5</v>
      </c>
      <c r="J1329" s="332"/>
      <c r="K1329" s="332"/>
      <c r="L1329" s="332">
        <v>0</v>
      </c>
      <c r="M1329" s="332"/>
      <c r="N1329" s="332"/>
      <c r="O1329" s="333"/>
      <c r="P1329" s="333"/>
      <c r="Q1329" s="333"/>
      <c r="R1329" s="333"/>
      <c r="S1329" s="334"/>
    </row>
    <row r="1330" spans="1:19" ht="15" customHeight="1">
      <c r="A1330" s="561">
        <f t="shared" si="29"/>
        <v>1330</v>
      </c>
      <c r="B1330" s="58">
        <v>303</v>
      </c>
      <c r="C1330" s="328" t="s">
        <v>133</v>
      </c>
      <c r="D1330" s="329" t="s">
        <v>1411</v>
      </c>
      <c r="E1330" s="330"/>
      <c r="F1330" s="59" t="s">
        <v>1</v>
      </c>
      <c r="G1330" s="323"/>
      <c r="H1330" s="59" t="s">
        <v>1055</v>
      </c>
      <c r="I1330" s="331">
        <v>5</v>
      </c>
      <c r="J1330" s="332"/>
      <c r="K1330" s="332"/>
      <c r="L1330" s="332">
        <v>0</v>
      </c>
      <c r="M1330" s="332"/>
      <c r="N1330" s="332"/>
      <c r="O1330" s="333"/>
      <c r="P1330" s="333"/>
      <c r="Q1330" s="333"/>
      <c r="R1330" s="333"/>
      <c r="S1330" s="334"/>
    </row>
    <row r="1331" spans="1:19" ht="15" customHeight="1">
      <c r="A1331" s="561">
        <f t="shared" si="29"/>
        <v>1331</v>
      </c>
      <c r="B1331" s="58">
        <v>303</v>
      </c>
      <c r="C1331" s="328" t="s">
        <v>133</v>
      </c>
      <c r="D1331" s="329" t="s">
        <v>1411</v>
      </c>
      <c r="E1331" s="330"/>
      <c r="F1331" s="59" t="s">
        <v>1588</v>
      </c>
      <c r="G1331" s="323" t="s">
        <v>1589</v>
      </c>
      <c r="H1331" s="59" t="s">
        <v>1055</v>
      </c>
      <c r="I1331" s="331">
        <v>7</v>
      </c>
      <c r="J1331" s="332"/>
      <c r="K1331" s="332"/>
      <c r="L1331" s="332">
        <v>92</v>
      </c>
      <c r="M1331" s="332"/>
      <c r="N1331" s="332"/>
      <c r="O1331" s="333"/>
      <c r="P1331" s="333"/>
      <c r="Q1331" s="333"/>
      <c r="R1331" s="333"/>
      <c r="S1331" s="334"/>
    </row>
    <row r="1332" spans="1:19" ht="15" customHeight="1">
      <c r="A1332" s="561">
        <f t="shared" si="29"/>
        <v>1332</v>
      </c>
      <c r="B1332" s="58">
        <v>304</v>
      </c>
      <c r="C1332" s="328" t="s">
        <v>1414</v>
      </c>
      <c r="D1332" s="329" t="s">
        <v>1411</v>
      </c>
      <c r="E1332" s="330"/>
      <c r="F1332" s="59" t="s">
        <v>1563</v>
      </c>
      <c r="G1332" s="323" t="s">
        <v>1590</v>
      </c>
      <c r="H1332" s="59" t="s">
        <v>68</v>
      </c>
      <c r="I1332" s="331">
        <v>152</v>
      </c>
      <c r="J1332" s="332"/>
      <c r="K1332" s="332"/>
      <c r="L1332" s="332"/>
      <c r="M1332" s="332"/>
      <c r="N1332" s="332"/>
      <c r="O1332" s="333"/>
      <c r="P1332" s="333"/>
      <c r="Q1332" s="333"/>
      <c r="R1332" s="333"/>
      <c r="S1332" s="334"/>
    </row>
    <row r="1333" spans="1:19" ht="15" customHeight="1">
      <c r="A1333" s="561">
        <f t="shared" si="29"/>
        <v>1333</v>
      </c>
      <c r="B1333" s="58">
        <v>304</v>
      </c>
      <c r="C1333" s="328" t="s">
        <v>1414</v>
      </c>
      <c r="D1333" s="329" t="s">
        <v>1411</v>
      </c>
      <c r="E1333" s="330"/>
      <c r="F1333" s="59" t="s">
        <v>1564</v>
      </c>
      <c r="G1333" s="323" t="s">
        <v>1885</v>
      </c>
      <c r="H1333" s="59" t="s">
        <v>1591</v>
      </c>
      <c r="I1333" s="331">
        <v>1279</v>
      </c>
      <c r="J1333" s="332"/>
      <c r="K1333" s="332"/>
      <c r="L1333" s="332"/>
      <c r="M1333" s="332"/>
      <c r="N1333" s="332"/>
      <c r="O1333" s="333"/>
      <c r="P1333" s="333"/>
      <c r="Q1333" s="333"/>
      <c r="R1333" s="333"/>
      <c r="S1333" s="334"/>
    </row>
    <row r="1334" spans="1:19" ht="15" customHeight="1">
      <c r="A1334" s="561">
        <f t="shared" si="29"/>
        <v>1334</v>
      </c>
      <c r="B1334" s="58">
        <v>304</v>
      </c>
      <c r="C1334" s="328" t="s">
        <v>1414</v>
      </c>
      <c r="D1334" s="329" t="s">
        <v>1411</v>
      </c>
      <c r="E1334" s="330"/>
      <c r="F1334" s="59" t="s">
        <v>1592</v>
      </c>
      <c r="G1334" s="323" t="s">
        <v>1885</v>
      </c>
      <c r="H1334" s="59" t="s">
        <v>1593</v>
      </c>
      <c r="I1334" s="331">
        <v>165</v>
      </c>
      <c r="J1334" s="332"/>
      <c r="K1334" s="332"/>
      <c r="L1334" s="332"/>
      <c r="M1334" s="332"/>
      <c r="N1334" s="332"/>
      <c r="O1334" s="333"/>
      <c r="P1334" s="333"/>
      <c r="Q1334" s="333"/>
      <c r="R1334" s="333"/>
      <c r="S1334" s="334"/>
    </row>
    <row r="1335" spans="1:19" ht="15" customHeight="1">
      <c r="A1335" s="561">
        <f t="shared" si="29"/>
        <v>1335</v>
      </c>
      <c r="B1335" s="58">
        <v>304</v>
      </c>
      <c r="C1335" s="328" t="s">
        <v>1414</v>
      </c>
      <c r="D1335" s="329" t="s">
        <v>1411</v>
      </c>
      <c r="E1335" s="330"/>
      <c r="F1335" s="59" t="s">
        <v>1594</v>
      </c>
      <c r="G1335" s="323" t="s">
        <v>1885</v>
      </c>
      <c r="H1335" s="59" t="s">
        <v>12</v>
      </c>
      <c r="I1335" s="331">
        <v>241</v>
      </c>
      <c r="J1335" s="332"/>
      <c r="K1335" s="332"/>
      <c r="L1335" s="332"/>
      <c r="M1335" s="332"/>
      <c r="N1335" s="332"/>
      <c r="O1335" s="333"/>
      <c r="P1335" s="333"/>
      <c r="Q1335" s="333"/>
      <c r="R1335" s="333"/>
      <c r="S1335" s="334"/>
    </row>
    <row r="1336" spans="1:19" ht="15" customHeight="1">
      <c r="A1336" s="561">
        <f t="shared" si="29"/>
        <v>1336</v>
      </c>
      <c r="B1336" s="58">
        <v>304</v>
      </c>
      <c r="C1336" s="328" t="s">
        <v>1414</v>
      </c>
      <c r="D1336" s="329" t="s">
        <v>1411</v>
      </c>
      <c r="E1336" s="330"/>
      <c r="F1336" s="59" t="s">
        <v>1595</v>
      </c>
      <c r="G1336" s="323" t="s">
        <v>1896</v>
      </c>
      <c r="H1336" s="59" t="s">
        <v>176</v>
      </c>
      <c r="I1336" s="331">
        <v>1</v>
      </c>
      <c r="J1336" s="332"/>
      <c r="K1336" s="332"/>
      <c r="L1336" s="332"/>
      <c r="M1336" s="332">
        <v>22</v>
      </c>
      <c r="N1336" s="332">
        <v>17</v>
      </c>
      <c r="O1336" s="333"/>
      <c r="P1336" s="333"/>
      <c r="Q1336" s="333"/>
      <c r="R1336" s="333">
        <v>9</v>
      </c>
      <c r="S1336" s="334"/>
    </row>
    <row r="1337" spans="1:19" ht="15" customHeight="1">
      <c r="A1337" s="561">
        <f t="shared" si="29"/>
        <v>1337</v>
      </c>
      <c r="B1337" s="58">
        <v>304</v>
      </c>
      <c r="C1337" s="328" t="s">
        <v>1414</v>
      </c>
      <c r="D1337" s="329" t="s">
        <v>1411</v>
      </c>
      <c r="E1337" s="330"/>
      <c r="F1337" s="59" t="s">
        <v>1595</v>
      </c>
      <c r="G1337" s="323" t="s">
        <v>1896</v>
      </c>
      <c r="H1337" s="59" t="s">
        <v>176</v>
      </c>
      <c r="I1337" s="331">
        <v>8</v>
      </c>
      <c r="J1337" s="332"/>
      <c r="K1337" s="332"/>
      <c r="L1337" s="332"/>
      <c r="M1337" s="332">
        <v>22</v>
      </c>
      <c r="N1337" s="332">
        <v>17</v>
      </c>
      <c r="O1337" s="333"/>
      <c r="P1337" s="333"/>
      <c r="Q1337" s="333"/>
      <c r="R1337" s="333">
        <v>9</v>
      </c>
      <c r="S1337" s="334"/>
    </row>
    <row r="1338" spans="1:19" ht="15" customHeight="1">
      <c r="A1338" s="561">
        <f t="shared" si="29"/>
        <v>1338</v>
      </c>
      <c r="B1338" s="58">
        <v>304</v>
      </c>
      <c r="C1338" s="328" t="s">
        <v>1414</v>
      </c>
      <c r="D1338" s="329" t="s">
        <v>1411</v>
      </c>
      <c r="E1338" s="330"/>
      <c r="F1338" s="59" t="s">
        <v>18</v>
      </c>
      <c r="G1338" s="323" t="s">
        <v>1596</v>
      </c>
      <c r="H1338" s="59" t="s">
        <v>1324</v>
      </c>
      <c r="I1338" s="331">
        <v>62</v>
      </c>
      <c r="J1338" s="332"/>
      <c r="K1338" s="332"/>
      <c r="L1338" s="332"/>
      <c r="M1338" s="332">
        <v>36</v>
      </c>
      <c r="N1338" s="332"/>
      <c r="O1338" s="333"/>
      <c r="P1338" s="333"/>
      <c r="Q1338" s="333"/>
      <c r="R1338" s="333"/>
      <c r="S1338" s="334"/>
    </row>
    <row r="1339" spans="1:19" ht="15" customHeight="1">
      <c r="A1339" s="561">
        <f t="shared" si="29"/>
        <v>1339</v>
      </c>
      <c r="B1339" s="58">
        <v>304</v>
      </c>
      <c r="C1339" s="328" t="s">
        <v>1414</v>
      </c>
      <c r="D1339" s="329" t="s">
        <v>1411</v>
      </c>
      <c r="E1339" s="330"/>
      <c r="F1339" s="59" t="s">
        <v>17</v>
      </c>
      <c r="G1339" s="323" t="s">
        <v>16</v>
      </c>
      <c r="H1339" s="59" t="s">
        <v>109</v>
      </c>
      <c r="I1339" s="331">
        <v>12</v>
      </c>
      <c r="J1339" s="332"/>
      <c r="K1339" s="332">
        <v>49</v>
      </c>
      <c r="L1339" s="332"/>
      <c r="M1339" s="332"/>
      <c r="N1339" s="332"/>
      <c r="O1339" s="333"/>
      <c r="P1339" s="333"/>
      <c r="Q1339" s="333">
        <v>12</v>
      </c>
      <c r="R1339" s="333"/>
      <c r="S1339" s="334"/>
    </row>
    <row r="1340" spans="1:19" ht="15" customHeight="1">
      <c r="A1340" s="561">
        <f t="shared" si="29"/>
        <v>1340</v>
      </c>
      <c r="B1340" s="58">
        <v>304</v>
      </c>
      <c r="C1340" s="328" t="s">
        <v>1414</v>
      </c>
      <c r="D1340" s="329" t="s">
        <v>1411</v>
      </c>
      <c r="E1340" s="330"/>
      <c r="F1340" s="59" t="s">
        <v>20</v>
      </c>
      <c r="G1340" s="323" t="s">
        <v>182</v>
      </c>
      <c r="H1340" s="59" t="s">
        <v>109</v>
      </c>
      <c r="I1340" s="331">
        <v>8</v>
      </c>
      <c r="J1340" s="332"/>
      <c r="K1340" s="332">
        <v>33</v>
      </c>
      <c r="L1340" s="332"/>
      <c r="M1340" s="332"/>
      <c r="N1340" s="332"/>
      <c r="O1340" s="333"/>
      <c r="P1340" s="333"/>
      <c r="Q1340" s="333">
        <v>8</v>
      </c>
      <c r="R1340" s="333"/>
      <c r="S1340" s="334"/>
    </row>
    <row r="1341" spans="1:19" ht="15" customHeight="1">
      <c r="A1341" s="561">
        <f t="shared" si="29"/>
        <v>1341</v>
      </c>
      <c r="B1341" s="58">
        <v>304</v>
      </c>
      <c r="C1341" s="328" t="s">
        <v>1414</v>
      </c>
      <c r="D1341" s="329" t="s">
        <v>1411</v>
      </c>
      <c r="E1341" s="330"/>
      <c r="F1341" s="59" t="s">
        <v>1565</v>
      </c>
      <c r="G1341" s="323" t="s">
        <v>1714</v>
      </c>
      <c r="H1341" s="59" t="s">
        <v>109</v>
      </c>
      <c r="I1341" s="331">
        <v>10</v>
      </c>
      <c r="J1341" s="332"/>
      <c r="K1341" s="332">
        <v>45</v>
      </c>
      <c r="L1341" s="332"/>
      <c r="M1341" s="332"/>
      <c r="N1341" s="332"/>
      <c r="O1341" s="333"/>
      <c r="P1341" s="333"/>
      <c r="Q1341" s="333">
        <v>10</v>
      </c>
      <c r="R1341" s="333"/>
      <c r="S1341" s="334"/>
    </row>
    <row r="1342" spans="1:19" ht="15" customHeight="1">
      <c r="A1342" s="561">
        <f t="shared" si="29"/>
        <v>1342</v>
      </c>
      <c r="B1342" s="58">
        <v>304</v>
      </c>
      <c r="C1342" s="328" t="s">
        <v>1414</v>
      </c>
      <c r="D1342" s="329" t="s">
        <v>1411</v>
      </c>
      <c r="E1342" s="330"/>
      <c r="F1342" s="59" t="s">
        <v>1566</v>
      </c>
      <c r="G1342" s="323" t="s">
        <v>1767</v>
      </c>
      <c r="H1342" s="59" t="s">
        <v>109</v>
      </c>
      <c r="I1342" s="331">
        <v>8</v>
      </c>
      <c r="J1342" s="332"/>
      <c r="K1342" s="332">
        <v>38</v>
      </c>
      <c r="L1342" s="332"/>
      <c r="M1342" s="332"/>
      <c r="N1342" s="332"/>
      <c r="O1342" s="333"/>
      <c r="P1342" s="333"/>
      <c r="Q1342" s="333">
        <v>8</v>
      </c>
      <c r="R1342" s="333"/>
      <c r="S1342" s="334"/>
    </row>
    <row r="1343" spans="1:19" ht="15" customHeight="1">
      <c r="A1343" s="561">
        <f t="shared" si="29"/>
        <v>1343</v>
      </c>
      <c r="B1343" s="58">
        <v>304</v>
      </c>
      <c r="C1343" s="328" t="s">
        <v>1414</v>
      </c>
      <c r="D1343" s="329" t="s">
        <v>1411</v>
      </c>
      <c r="E1343" s="330"/>
      <c r="F1343" s="59" t="s">
        <v>1566</v>
      </c>
      <c r="G1343" s="323" t="s">
        <v>1853</v>
      </c>
      <c r="H1343" s="59" t="s">
        <v>109</v>
      </c>
      <c r="I1343" s="331">
        <v>1</v>
      </c>
      <c r="J1343" s="332"/>
      <c r="K1343" s="332">
        <v>13</v>
      </c>
      <c r="L1343" s="332"/>
      <c r="M1343" s="332"/>
      <c r="N1343" s="332"/>
      <c r="O1343" s="333"/>
      <c r="P1343" s="333"/>
      <c r="Q1343" s="333">
        <v>1</v>
      </c>
      <c r="R1343" s="333"/>
      <c r="S1343" s="334"/>
    </row>
    <row r="1344" spans="1:19" ht="15" customHeight="1">
      <c r="A1344" s="561">
        <f t="shared" si="29"/>
        <v>1344</v>
      </c>
      <c r="B1344" s="58">
        <v>304</v>
      </c>
      <c r="C1344" s="328" t="s">
        <v>1414</v>
      </c>
      <c r="D1344" s="329" t="s">
        <v>1411</v>
      </c>
      <c r="E1344" s="330"/>
      <c r="F1344" s="59" t="s">
        <v>1597</v>
      </c>
      <c r="G1344" s="323" t="s">
        <v>1820</v>
      </c>
      <c r="H1344" s="59" t="s">
        <v>109</v>
      </c>
      <c r="I1344" s="331">
        <v>10</v>
      </c>
      <c r="J1344" s="332"/>
      <c r="K1344" s="332">
        <v>13</v>
      </c>
      <c r="L1344" s="332"/>
      <c r="M1344" s="332"/>
      <c r="N1344" s="332"/>
      <c r="O1344" s="333"/>
      <c r="P1344" s="333"/>
      <c r="Q1344" s="333">
        <v>10</v>
      </c>
      <c r="R1344" s="333"/>
      <c r="S1344" s="334"/>
    </row>
    <row r="1345" spans="1:19" ht="15" customHeight="1">
      <c r="A1345" s="561">
        <f t="shared" si="29"/>
        <v>1345</v>
      </c>
      <c r="B1345" s="58">
        <v>304</v>
      </c>
      <c r="C1345" s="328" t="s">
        <v>1414</v>
      </c>
      <c r="D1345" s="329" t="s">
        <v>1411</v>
      </c>
      <c r="E1345" s="330"/>
      <c r="F1345" s="59" t="s">
        <v>70</v>
      </c>
      <c r="G1345" s="323" t="s">
        <v>1821</v>
      </c>
      <c r="H1345" s="59" t="s">
        <v>109</v>
      </c>
      <c r="I1345" s="331">
        <v>10</v>
      </c>
      <c r="J1345" s="332"/>
      <c r="K1345" s="332">
        <v>45</v>
      </c>
      <c r="L1345" s="332"/>
      <c r="M1345" s="332"/>
      <c r="N1345" s="332"/>
      <c r="O1345" s="333"/>
      <c r="P1345" s="333"/>
      <c r="Q1345" s="333">
        <v>10</v>
      </c>
      <c r="R1345" s="333"/>
      <c r="S1345" s="334"/>
    </row>
    <row r="1346" spans="1:19" ht="15" customHeight="1">
      <c r="A1346" s="561">
        <f t="shared" si="29"/>
        <v>1346</v>
      </c>
      <c r="B1346" s="58">
        <v>304</v>
      </c>
      <c r="C1346" s="328" t="s">
        <v>1414</v>
      </c>
      <c r="D1346" s="329" t="s">
        <v>1411</v>
      </c>
      <c r="E1346" s="330"/>
      <c r="F1346" s="59" t="s">
        <v>1586</v>
      </c>
      <c r="G1346" s="323" t="s">
        <v>14</v>
      </c>
      <c r="H1346" s="59" t="s">
        <v>109</v>
      </c>
      <c r="I1346" s="331">
        <v>15</v>
      </c>
      <c r="J1346" s="332"/>
      <c r="K1346" s="332">
        <v>60</v>
      </c>
      <c r="L1346" s="332"/>
      <c r="M1346" s="332"/>
      <c r="N1346" s="332"/>
      <c r="O1346" s="333"/>
      <c r="P1346" s="333"/>
      <c r="Q1346" s="333">
        <v>15</v>
      </c>
      <c r="R1346" s="333"/>
      <c r="S1346" s="334"/>
    </row>
    <row r="1347" spans="1:19" ht="15" customHeight="1">
      <c r="A1347" s="561">
        <f t="shared" ref="A1347:A1410" si="30">1+A1346</f>
        <v>1347</v>
      </c>
      <c r="B1347" s="58">
        <v>304</v>
      </c>
      <c r="C1347" s="328" t="s">
        <v>1414</v>
      </c>
      <c r="D1347" s="329" t="s">
        <v>1411</v>
      </c>
      <c r="E1347" s="330"/>
      <c r="F1347" s="59" t="s">
        <v>1586</v>
      </c>
      <c r="G1347" s="323" t="s">
        <v>66</v>
      </c>
      <c r="H1347" s="59" t="s">
        <v>109</v>
      </c>
      <c r="I1347" s="331">
        <v>11</v>
      </c>
      <c r="J1347" s="332"/>
      <c r="K1347" s="332">
        <v>54</v>
      </c>
      <c r="L1347" s="332"/>
      <c r="M1347" s="332"/>
      <c r="N1347" s="332"/>
      <c r="O1347" s="333"/>
      <c r="P1347" s="333"/>
      <c r="Q1347" s="333">
        <v>11</v>
      </c>
      <c r="R1347" s="333"/>
      <c r="S1347" s="334"/>
    </row>
    <row r="1348" spans="1:19" ht="15" customHeight="1">
      <c r="A1348" s="561">
        <f t="shared" si="30"/>
        <v>1348</v>
      </c>
      <c r="B1348" s="58">
        <v>304</v>
      </c>
      <c r="C1348" s="328" t="s">
        <v>1414</v>
      </c>
      <c r="D1348" s="329" t="s">
        <v>1411</v>
      </c>
      <c r="E1348" s="330"/>
      <c r="F1348" s="59" t="s">
        <v>1598</v>
      </c>
      <c r="G1348" s="323" t="s">
        <v>1599</v>
      </c>
      <c r="H1348" s="59" t="s">
        <v>1327</v>
      </c>
      <c r="I1348" s="331">
        <v>90</v>
      </c>
      <c r="J1348" s="332"/>
      <c r="K1348" s="332"/>
      <c r="L1348" s="332"/>
      <c r="M1348" s="332"/>
      <c r="N1348" s="332"/>
      <c r="O1348" s="333"/>
      <c r="P1348" s="333"/>
      <c r="Q1348" s="333"/>
      <c r="R1348" s="333"/>
      <c r="S1348" s="334" t="s">
        <v>1600</v>
      </c>
    </row>
    <row r="1349" spans="1:19" ht="15" customHeight="1">
      <c r="A1349" s="561">
        <f t="shared" si="30"/>
        <v>1349</v>
      </c>
      <c r="B1349" s="58">
        <v>304</v>
      </c>
      <c r="C1349" s="328" t="s">
        <v>1414</v>
      </c>
      <c r="D1349" s="329" t="s">
        <v>1411</v>
      </c>
      <c r="E1349" s="330"/>
      <c r="F1349" s="59" t="s">
        <v>1578</v>
      </c>
      <c r="G1349" s="323" t="s">
        <v>1823</v>
      </c>
      <c r="H1349" s="59" t="s">
        <v>1055</v>
      </c>
      <c r="I1349" s="331">
        <v>5</v>
      </c>
      <c r="J1349" s="332"/>
      <c r="K1349" s="332"/>
      <c r="L1349" s="332"/>
      <c r="M1349" s="332"/>
      <c r="N1349" s="332"/>
      <c r="O1349" s="333"/>
      <c r="P1349" s="333"/>
      <c r="Q1349" s="333"/>
      <c r="R1349" s="333"/>
      <c r="S1349" s="334"/>
    </row>
    <row r="1350" spans="1:19" ht="15" customHeight="1">
      <c r="A1350" s="561">
        <f t="shared" si="30"/>
        <v>1350</v>
      </c>
      <c r="B1350" s="58">
        <v>305</v>
      </c>
      <c r="C1350" s="328" t="s">
        <v>1417</v>
      </c>
      <c r="D1350" s="329" t="s">
        <v>1411</v>
      </c>
      <c r="E1350" s="330"/>
      <c r="F1350" s="59" t="s">
        <v>67</v>
      </c>
      <c r="G1350" s="323" t="s">
        <v>1897</v>
      </c>
      <c r="H1350" s="59" t="s">
        <v>1591</v>
      </c>
      <c r="I1350" s="331">
        <v>608</v>
      </c>
      <c r="J1350" s="332"/>
      <c r="K1350" s="332"/>
      <c r="L1350" s="332"/>
      <c r="M1350" s="332"/>
      <c r="N1350" s="332"/>
      <c r="O1350" s="333"/>
      <c r="P1350" s="333"/>
      <c r="Q1350" s="333"/>
      <c r="R1350" s="333"/>
      <c r="S1350" s="334"/>
    </row>
    <row r="1351" spans="1:19" ht="15" customHeight="1">
      <c r="A1351" s="561">
        <f t="shared" si="30"/>
        <v>1351</v>
      </c>
      <c r="B1351" s="58">
        <v>305</v>
      </c>
      <c r="C1351" s="328" t="s">
        <v>1417</v>
      </c>
      <c r="D1351" s="329" t="s">
        <v>1411</v>
      </c>
      <c r="E1351" s="330"/>
      <c r="F1351" s="59" t="s">
        <v>1592</v>
      </c>
      <c r="G1351" s="323" t="s">
        <v>1897</v>
      </c>
      <c r="H1351" s="59" t="s">
        <v>1593</v>
      </c>
      <c r="I1351" s="331">
        <v>358</v>
      </c>
      <c r="J1351" s="332"/>
      <c r="K1351" s="332"/>
      <c r="L1351" s="332"/>
      <c r="M1351" s="332"/>
      <c r="N1351" s="332"/>
      <c r="O1351" s="333"/>
      <c r="P1351" s="333"/>
      <c r="Q1351" s="333"/>
      <c r="R1351" s="333"/>
      <c r="S1351" s="334"/>
    </row>
    <row r="1352" spans="1:19" ht="15" customHeight="1">
      <c r="A1352" s="561">
        <f t="shared" si="30"/>
        <v>1352</v>
      </c>
      <c r="B1352" s="58">
        <v>305</v>
      </c>
      <c r="C1352" s="328" t="s">
        <v>1417</v>
      </c>
      <c r="D1352" s="329" t="s">
        <v>1411</v>
      </c>
      <c r="E1352" s="330"/>
      <c r="F1352" s="59" t="s">
        <v>1594</v>
      </c>
      <c r="G1352" s="323" t="s">
        <v>1897</v>
      </c>
      <c r="H1352" s="59" t="s">
        <v>12</v>
      </c>
      <c r="I1352" s="331">
        <v>204</v>
      </c>
      <c r="J1352" s="332"/>
      <c r="K1352" s="332"/>
      <c r="L1352" s="332"/>
      <c r="M1352" s="332"/>
      <c r="N1352" s="332"/>
      <c r="O1352" s="333"/>
      <c r="P1352" s="333"/>
      <c r="Q1352" s="333"/>
      <c r="R1352" s="333"/>
      <c r="S1352" s="334"/>
    </row>
    <row r="1353" spans="1:19" ht="15" customHeight="1">
      <c r="A1353" s="561">
        <f t="shared" si="30"/>
        <v>1353</v>
      </c>
      <c r="B1353" s="58">
        <v>305</v>
      </c>
      <c r="C1353" s="328" t="s">
        <v>1417</v>
      </c>
      <c r="D1353" s="329" t="s">
        <v>1411</v>
      </c>
      <c r="E1353" s="330"/>
      <c r="F1353" s="59" t="s">
        <v>1601</v>
      </c>
      <c r="G1353" s="323"/>
      <c r="H1353" s="59" t="s">
        <v>1327</v>
      </c>
      <c r="I1353" s="331">
        <v>146</v>
      </c>
      <c r="J1353" s="332" t="s">
        <v>1602</v>
      </c>
      <c r="K1353" s="332"/>
      <c r="L1353" s="332"/>
      <c r="M1353" s="332"/>
      <c r="N1353" s="332"/>
      <c r="O1353" s="333"/>
      <c r="P1353" s="333"/>
      <c r="Q1353" s="333"/>
      <c r="R1353" s="333"/>
      <c r="S1353" s="334"/>
    </row>
    <row r="1354" spans="1:19" ht="15" customHeight="1">
      <c r="A1354" s="561">
        <f t="shared" si="30"/>
        <v>1354</v>
      </c>
      <c r="B1354" s="58">
        <v>305</v>
      </c>
      <c r="C1354" s="328" t="s">
        <v>1417</v>
      </c>
      <c r="D1354" s="329" t="s">
        <v>1411</v>
      </c>
      <c r="E1354" s="330"/>
      <c r="F1354" s="59" t="s">
        <v>1560</v>
      </c>
      <c r="G1354" s="323" t="s">
        <v>1898</v>
      </c>
      <c r="H1354" s="59" t="s">
        <v>68</v>
      </c>
      <c r="I1354" s="331">
        <v>51</v>
      </c>
      <c r="J1354" s="332" t="s">
        <v>1602</v>
      </c>
      <c r="K1354" s="332"/>
      <c r="L1354" s="332"/>
      <c r="M1354" s="332"/>
      <c r="N1354" s="332"/>
      <c r="O1354" s="333"/>
      <c r="P1354" s="333"/>
      <c r="Q1354" s="333"/>
      <c r="R1354" s="333"/>
      <c r="S1354" s="334"/>
    </row>
    <row r="1355" spans="1:19" ht="15" customHeight="1">
      <c r="A1355" s="561">
        <f t="shared" si="30"/>
        <v>1355</v>
      </c>
      <c r="B1355" s="58">
        <v>305</v>
      </c>
      <c r="C1355" s="328" t="s">
        <v>1417</v>
      </c>
      <c r="D1355" s="329" t="s">
        <v>1411</v>
      </c>
      <c r="E1355" s="330"/>
      <c r="F1355" s="59" t="s">
        <v>1560</v>
      </c>
      <c r="G1355" s="323" t="s">
        <v>1899</v>
      </c>
      <c r="H1355" s="59" t="s">
        <v>68</v>
      </c>
      <c r="I1355" s="331">
        <v>51</v>
      </c>
      <c r="J1355" s="332" t="s">
        <v>1602</v>
      </c>
      <c r="K1355" s="332"/>
      <c r="L1355" s="332"/>
      <c r="M1355" s="332"/>
      <c r="N1355" s="332"/>
      <c r="O1355" s="333"/>
      <c r="P1355" s="333"/>
      <c r="Q1355" s="333"/>
      <c r="R1355" s="333"/>
      <c r="S1355" s="334"/>
    </row>
    <row r="1356" spans="1:19" ht="15" customHeight="1">
      <c r="A1356" s="561">
        <f t="shared" si="30"/>
        <v>1356</v>
      </c>
      <c r="B1356" s="58">
        <v>305</v>
      </c>
      <c r="C1356" s="328" t="s">
        <v>1417</v>
      </c>
      <c r="D1356" s="329" t="s">
        <v>1411</v>
      </c>
      <c r="E1356" s="330"/>
      <c r="F1356" s="59" t="s">
        <v>1603</v>
      </c>
      <c r="G1356" s="323" t="s">
        <v>1900</v>
      </c>
      <c r="H1356" s="59" t="s">
        <v>72</v>
      </c>
      <c r="I1356" s="331">
        <v>1</v>
      </c>
      <c r="J1356" s="332"/>
      <c r="K1356" s="332"/>
      <c r="L1356" s="332"/>
      <c r="M1356" s="332">
        <v>22</v>
      </c>
      <c r="N1356" s="332">
        <v>17</v>
      </c>
      <c r="O1356" s="333"/>
      <c r="P1356" s="333"/>
      <c r="Q1356" s="333"/>
      <c r="R1356" s="333">
        <v>9</v>
      </c>
      <c r="S1356" s="334"/>
    </row>
    <row r="1357" spans="1:19" ht="15" customHeight="1">
      <c r="A1357" s="561">
        <f t="shared" si="30"/>
        <v>1357</v>
      </c>
      <c r="B1357" s="58">
        <v>305</v>
      </c>
      <c r="C1357" s="328" t="s">
        <v>1417</v>
      </c>
      <c r="D1357" s="329" t="s">
        <v>1411</v>
      </c>
      <c r="E1357" s="330"/>
      <c r="F1357" s="59" t="s">
        <v>1603</v>
      </c>
      <c r="G1357" s="323" t="s">
        <v>1900</v>
      </c>
      <c r="H1357" s="59" t="s">
        <v>72</v>
      </c>
      <c r="I1357" s="331">
        <v>8</v>
      </c>
      <c r="J1357" s="332"/>
      <c r="K1357" s="332"/>
      <c r="L1357" s="332"/>
      <c r="M1357" s="332">
        <v>22</v>
      </c>
      <c r="N1357" s="332">
        <v>17</v>
      </c>
      <c r="O1357" s="333"/>
      <c r="P1357" s="333"/>
      <c r="Q1357" s="333"/>
      <c r="R1357" s="333">
        <v>9</v>
      </c>
      <c r="S1357" s="334"/>
    </row>
    <row r="1358" spans="1:19" ht="15" customHeight="1">
      <c r="A1358" s="561">
        <f t="shared" si="30"/>
        <v>1358</v>
      </c>
      <c r="B1358" s="58">
        <v>305</v>
      </c>
      <c r="C1358" s="328" t="s">
        <v>1417</v>
      </c>
      <c r="D1358" s="329" t="s">
        <v>1411</v>
      </c>
      <c r="E1358" s="330"/>
      <c r="F1358" s="59" t="s">
        <v>65</v>
      </c>
      <c r="G1358" s="323" t="s">
        <v>1901</v>
      </c>
      <c r="H1358" s="59" t="s">
        <v>109</v>
      </c>
      <c r="I1358" s="331">
        <v>10</v>
      </c>
      <c r="J1358" s="332"/>
      <c r="K1358" s="332">
        <v>46</v>
      </c>
      <c r="L1358" s="332"/>
      <c r="M1358" s="332"/>
      <c r="N1358" s="332"/>
      <c r="O1358" s="333"/>
      <c r="P1358" s="333"/>
      <c r="Q1358" s="333">
        <v>10</v>
      </c>
      <c r="R1358" s="333"/>
      <c r="S1358" s="334"/>
    </row>
    <row r="1359" spans="1:19" ht="15" customHeight="1">
      <c r="A1359" s="561">
        <f t="shared" si="30"/>
        <v>1359</v>
      </c>
      <c r="B1359" s="58">
        <v>305</v>
      </c>
      <c r="C1359" s="328" t="s">
        <v>1417</v>
      </c>
      <c r="D1359" s="329" t="s">
        <v>1411</v>
      </c>
      <c r="E1359" s="330"/>
      <c r="F1359" s="59" t="s">
        <v>20</v>
      </c>
      <c r="G1359" s="323" t="s">
        <v>1902</v>
      </c>
      <c r="H1359" s="59" t="s">
        <v>109</v>
      </c>
      <c r="I1359" s="331">
        <v>6</v>
      </c>
      <c r="J1359" s="332"/>
      <c r="K1359" s="332">
        <v>34</v>
      </c>
      <c r="L1359" s="332"/>
      <c r="M1359" s="332"/>
      <c r="N1359" s="332"/>
      <c r="O1359" s="333"/>
      <c r="P1359" s="333"/>
      <c r="Q1359" s="333">
        <v>6</v>
      </c>
      <c r="R1359" s="333"/>
      <c r="S1359" s="334"/>
    </row>
    <row r="1360" spans="1:19" ht="15" customHeight="1">
      <c r="A1360" s="561">
        <f t="shared" si="30"/>
        <v>1360</v>
      </c>
      <c r="B1360" s="58">
        <v>305</v>
      </c>
      <c r="C1360" s="328" t="s">
        <v>1417</v>
      </c>
      <c r="D1360" s="329" t="s">
        <v>1411</v>
      </c>
      <c r="E1360" s="330"/>
      <c r="F1360" s="59" t="s">
        <v>69</v>
      </c>
      <c r="G1360" s="323" t="s">
        <v>1903</v>
      </c>
      <c r="H1360" s="59" t="s">
        <v>109</v>
      </c>
      <c r="I1360" s="331">
        <v>11</v>
      </c>
      <c r="J1360" s="332"/>
      <c r="K1360" s="332">
        <v>50</v>
      </c>
      <c r="L1360" s="332"/>
      <c r="M1360" s="332"/>
      <c r="N1360" s="332"/>
      <c r="O1360" s="333"/>
      <c r="P1360" s="333"/>
      <c r="Q1360" s="333">
        <v>11</v>
      </c>
      <c r="R1360" s="333"/>
      <c r="S1360" s="334"/>
    </row>
    <row r="1361" spans="1:19" ht="15" customHeight="1">
      <c r="A1361" s="561">
        <f t="shared" si="30"/>
        <v>1361</v>
      </c>
      <c r="B1361" s="58">
        <v>305</v>
      </c>
      <c r="C1361" s="328" t="s">
        <v>1417</v>
      </c>
      <c r="D1361" s="329" t="s">
        <v>1411</v>
      </c>
      <c r="E1361" s="330"/>
      <c r="F1361" s="59" t="s">
        <v>70</v>
      </c>
      <c r="G1361" s="323" t="s">
        <v>1904</v>
      </c>
      <c r="H1361" s="59" t="s">
        <v>109</v>
      </c>
      <c r="I1361" s="331">
        <v>5</v>
      </c>
      <c r="J1361" s="332">
        <v>2</v>
      </c>
      <c r="K1361" s="332">
        <v>34</v>
      </c>
      <c r="L1361" s="332"/>
      <c r="M1361" s="332"/>
      <c r="N1361" s="332"/>
      <c r="O1361" s="333"/>
      <c r="P1361" s="333"/>
      <c r="Q1361" s="333">
        <v>5</v>
      </c>
      <c r="R1361" s="333"/>
      <c r="S1361" s="334"/>
    </row>
    <row r="1362" spans="1:19" ht="15" customHeight="1">
      <c r="A1362" s="561">
        <f t="shared" si="30"/>
        <v>1362</v>
      </c>
      <c r="B1362" s="58">
        <v>305</v>
      </c>
      <c r="C1362" s="328" t="s">
        <v>1417</v>
      </c>
      <c r="D1362" s="329" t="s">
        <v>1411</v>
      </c>
      <c r="E1362" s="330"/>
      <c r="F1362" s="59" t="s">
        <v>1604</v>
      </c>
      <c r="G1362" s="323" t="s">
        <v>1905</v>
      </c>
      <c r="H1362" s="59" t="s">
        <v>109</v>
      </c>
      <c r="I1362" s="331">
        <v>2</v>
      </c>
      <c r="J1362" s="332"/>
      <c r="K1362" s="332">
        <v>16</v>
      </c>
      <c r="L1362" s="332"/>
      <c r="M1362" s="332"/>
      <c r="N1362" s="332"/>
      <c r="O1362" s="333"/>
      <c r="P1362" s="333"/>
      <c r="Q1362" s="333">
        <v>2</v>
      </c>
      <c r="R1362" s="333"/>
      <c r="S1362" s="334"/>
    </row>
    <row r="1363" spans="1:19" ht="15" customHeight="1">
      <c r="A1363" s="561">
        <f t="shared" si="30"/>
        <v>1363</v>
      </c>
      <c r="B1363" s="58">
        <v>305</v>
      </c>
      <c r="C1363" s="328" t="s">
        <v>1417</v>
      </c>
      <c r="D1363" s="329" t="s">
        <v>1411</v>
      </c>
      <c r="E1363" s="330"/>
      <c r="F1363" s="59" t="s">
        <v>1578</v>
      </c>
      <c r="G1363" s="323"/>
      <c r="H1363" s="59" t="s">
        <v>1055</v>
      </c>
      <c r="I1363" s="331">
        <v>5</v>
      </c>
      <c r="J1363" s="332"/>
      <c r="K1363" s="332"/>
      <c r="L1363" s="332"/>
      <c r="M1363" s="332"/>
      <c r="N1363" s="332"/>
      <c r="O1363" s="333"/>
      <c r="P1363" s="333"/>
      <c r="Q1363" s="333"/>
      <c r="R1363" s="333"/>
      <c r="S1363" s="334"/>
    </row>
    <row r="1364" spans="1:19" ht="15" customHeight="1">
      <c r="A1364" s="561">
        <f t="shared" si="30"/>
        <v>1364</v>
      </c>
      <c r="B1364" s="58">
        <v>305</v>
      </c>
      <c r="C1364" s="328" t="s">
        <v>1417</v>
      </c>
      <c r="D1364" s="329" t="s">
        <v>1411</v>
      </c>
      <c r="E1364" s="330"/>
      <c r="F1364" s="59" t="s">
        <v>1605</v>
      </c>
      <c r="G1364" s="323"/>
      <c r="H1364" s="59" t="s">
        <v>1324</v>
      </c>
      <c r="I1364" s="331">
        <v>33</v>
      </c>
      <c r="J1364" s="332"/>
      <c r="K1364" s="332"/>
      <c r="L1364" s="332"/>
      <c r="M1364" s="332">
        <v>18</v>
      </c>
      <c r="N1364" s="332"/>
      <c r="O1364" s="333"/>
      <c r="P1364" s="333"/>
      <c r="Q1364" s="333"/>
      <c r="R1364" s="333"/>
      <c r="S1364" s="334"/>
    </row>
    <row r="1365" spans="1:19" ht="15" customHeight="1">
      <c r="A1365" s="561">
        <f t="shared" si="30"/>
        <v>1365</v>
      </c>
      <c r="B1365" s="58">
        <v>306</v>
      </c>
      <c r="C1365" s="328" t="s">
        <v>1418</v>
      </c>
      <c r="D1365" s="329" t="s">
        <v>1411</v>
      </c>
      <c r="E1365" s="330"/>
      <c r="F1365" s="59" t="s">
        <v>67</v>
      </c>
      <c r="G1365" s="323" t="s">
        <v>1897</v>
      </c>
      <c r="H1365" s="59" t="s">
        <v>1591</v>
      </c>
      <c r="I1365" s="331">
        <v>975</v>
      </c>
      <c r="J1365" s="332"/>
      <c r="K1365" s="332"/>
      <c r="L1365" s="332"/>
      <c r="M1365" s="332"/>
      <c r="N1365" s="332"/>
      <c r="O1365" s="333"/>
      <c r="P1365" s="333"/>
      <c r="Q1365" s="333"/>
      <c r="R1365" s="333"/>
      <c r="S1365" s="334"/>
    </row>
    <row r="1366" spans="1:19" ht="15" customHeight="1">
      <c r="A1366" s="561">
        <f t="shared" si="30"/>
        <v>1366</v>
      </c>
      <c r="B1366" s="58">
        <v>306</v>
      </c>
      <c r="C1366" s="328" t="s">
        <v>1418</v>
      </c>
      <c r="D1366" s="329" t="s">
        <v>1411</v>
      </c>
      <c r="E1366" s="330"/>
      <c r="F1366" s="59" t="s">
        <v>1592</v>
      </c>
      <c r="G1366" s="323" t="s">
        <v>1897</v>
      </c>
      <c r="H1366" s="59" t="s">
        <v>1593</v>
      </c>
      <c r="I1366" s="331">
        <v>347</v>
      </c>
      <c r="J1366" s="332"/>
      <c r="K1366" s="332"/>
      <c r="L1366" s="332"/>
      <c r="M1366" s="332"/>
      <c r="N1366" s="332"/>
      <c r="O1366" s="333"/>
      <c r="P1366" s="333"/>
      <c r="Q1366" s="333"/>
      <c r="R1366" s="333"/>
      <c r="S1366" s="334"/>
    </row>
    <row r="1367" spans="1:19" ht="15" customHeight="1">
      <c r="A1367" s="561">
        <f t="shared" si="30"/>
        <v>1367</v>
      </c>
      <c r="B1367" s="58">
        <v>306</v>
      </c>
      <c r="C1367" s="328" t="s">
        <v>1418</v>
      </c>
      <c r="D1367" s="329" t="s">
        <v>1411</v>
      </c>
      <c r="E1367" s="330"/>
      <c r="F1367" s="59" t="s">
        <v>1594</v>
      </c>
      <c r="G1367" s="323" t="s">
        <v>1897</v>
      </c>
      <c r="H1367" s="59" t="s">
        <v>12</v>
      </c>
      <c r="I1367" s="331">
        <v>203</v>
      </c>
      <c r="J1367" s="332"/>
      <c r="K1367" s="332"/>
      <c r="L1367" s="332"/>
      <c r="M1367" s="332"/>
      <c r="N1367" s="332"/>
      <c r="O1367" s="333"/>
      <c r="P1367" s="333"/>
      <c r="Q1367" s="333"/>
      <c r="R1367" s="333"/>
      <c r="S1367" s="334"/>
    </row>
    <row r="1368" spans="1:19" ht="15" customHeight="1">
      <c r="A1368" s="561">
        <f t="shared" si="30"/>
        <v>1368</v>
      </c>
      <c r="B1368" s="58">
        <v>306</v>
      </c>
      <c r="C1368" s="328" t="s">
        <v>1418</v>
      </c>
      <c r="D1368" s="329" t="s">
        <v>1411</v>
      </c>
      <c r="E1368" s="330"/>
      <c r="F1368" s="59" t="s">
        <v>1578</v>
      </c>
      <c r="G1368" s="323"/>
      <c r="H1368" s="59" t="s">
        <v>1055</v>
      </c>
      <c r="I1368" s="331">
        <v>5</v>
      </c>
      <c r="J1368" s="332"/>
      <c r="K1368" s="332"/>
      <c r="L1368" s="332"/>
      <c r="M1368" s="332"/>
      <c r="N1368" s="332"/>
      <c r="O1368" s="333"/>
      <c r="P1368" s="333"/>
      <c r="Q1368" s="333"/>
      <c r="R1368" s="333"/>
      <c r="S1368" s="334"/>
    </row>
    <row r="1369" spans="1:19" ht="15" customHeight="1">
      <c r="A1369" s="561">
        <f t="shared" si="30"/>
        <v>1369</v>
      </c>
      <c r="B1369" s="58">
        <v>306</v>
      </c>
      <c r="C1369" s="328" t="s">
        <v>1418</v>
      </c>
      <c r="D1369" s="329" t="s">
        <v>1411</v>
      </c>
      <c r="E1369" s="330"/>
      <c r="F1369" s="59" t="s">
        <v>1601</v>
      </c>
      <c r="G1369" s="323"/>
      <c r="H1369" s="59" t="s">
        <v>1327</v>
      </c>
      <c r="I1369" s="331">
        <v>32</v>
      </c>
      <c r="J1369" s="332" t="s">
        <v>1602</v>
      </c>
      <c r="K1369" s="332"/>
      <c r="L1369" s="332"/>
      <c r="M1369" s="332"/>
      <c r="N1369" s="332"/>
      <c r="O1369" s="333"/>
      <c r="P1369" s="333"/>
      <c r="Q1369" s="333"/>
      <c r="R1369" s="333"/>
      <c r="S1369" s="334"/>
    </row>
    <row r="1370" spans="1:19" ht="15" customHeight="1">
      <c r="A1370" s="561">
        <f t="shared" si="30"/>
        <v>1370</v>
      </c>
      <c r="B1370" s="58">
        <v>306</v>
      </c>
      <c r="C1370" s="328" t="s">
        <v>1418</v>
      </c>
      <c r="D1370" s="329" t="s">
        <v>1411</v>
      </c>
      <c r="E1370" s="330"/>
      <c r="F1370" s="59" t="s">
        <v>1560</v>
      </c>
      <c r="G1370" s="323" t="s">
        <v>1898</v>
      </c>
      <c r="H1370" s="59" t="s">
        <v>68</v>
      </c>
      <c r="I1370" s="331">
        <v>50</v>
      </c>
      <c r="J1370" s="332" t="s">
        <v>1602</v>
      </c>
      <c r="K1370" s="332"/>
      <c r="L1370" s="332"/>
      <c r="M1370" s="332"/>
      <c r="N1370" s="332"/>
      <c r="O1370" s="333"/>
      <c r="P1370" s="333"/>
      <c r="Q1370" s="333"/>
      <c r="R1370" s="333"/>
      <c r="S1370" s="334"/>
    </row>
    <row r="1371" spans="1:19" ht="15" customHeight="1">
      <c r="A1371" s="561">
        <f t="shared" si="30"/>
        <v>1371</v>
      </c>
      <c r="B1371" s="58">
        <v>306</v>
      </c>
      <c r="C1371" s="328" t="s">
        <v>1418</v>
      </c>
      <c r="D1371" s="329" t="s">
        <v>1411</v>
      </c>
      <c r="E1371" s="330"/>
      <c r="F1371" s="59" t="s">
        <v>1603</v>
      </c>
      <c r="G1371" s="323" t="s">
        <v>1900</v>
      </c>
      <c r="H1371" s="59" t="s">
        <v>72</v>
      </c>
      <c r="I1371" s="331">
        <v>1</v>
      </c>
      <c r="J1371" s="332"/>
      <c r="K1371" s="332"/>
      <c r="L1371" s="332"/>
      <c r="M1371" s="332">
        <v>22</v>
      </c>
      <c r="N1371" s="332">
        <v>17</v>
      </c>
      <c r="O1371" s="333"/>
      <c r="P1371" s="333"/>
      <c r="Q1371" s="333"/>
      <c r="R1371" s="333">
        <v>9</v>
      </c>
      <c r="S1371" s="334"/>
    </row>
    <row r="1372" spans="1:19" ht="15" customHeight="1">
      <c r="A1372" s="561">
        <f t="shared" si="30"/>
        <v>1372</v>
      </c>
      <c r="B1372" s="58">
        <v>306</v>
      </c>
      <c r="C1372" s="328" t="s">
        <v>1418</v>
      </c>
      <c r="D1372" s="329" t="s">
        <v>1411</v>
      </c>
      <c r="E1372" s="330"/>
      <c r="F1372" s="59" t="s">
        <v>1603</v>
      </c>
      <c r="G1372" s="323" t="s">
        <v>1900</v>
      </c>
      <c r="H1372" s="59" t="s">
        <v>72</v>
      </c>
      <c r="I1372" s="331">
        <v>8</v>
      </c>
      <c r="J1372" s="332"/>
      <c r="K1372" s="332"/>
      <c r="L1372" s="332"/>
      <c r="M1372" s="332">
        <v>22</v>
      </c>
      <c r="N1372" s="332">
        <v>17</v>
      </c>
      <c r="O1372" s="333"/>
      <c r="P1372" s="333"/>
      <c r="Q1372" s="333"/>
      <c r="R1372" s="333">
        <v>9</v>
      </c>
      <c r="S1372" s="334"/>
    </row>
    <row r="1373" spans="1:19" ht="15" customHeight="1">
      <c r="A1373" s="561">
        <f t="shared" si="30"/>
        <v>1373</v>
      </c>
      <c r="B1373" s="58">
        <v>306</v>
      </c>
      <c r="C1373" s="328" t="s">
        <v>1418</v>
      </c>
      <c r="D1373" s="329" t="s">
        <v>1411</v>
      </c>
      <c r="E1373" s="330"/>
      <c r="F1373" s="59" t="s">
        <v>65</v>
      </c>
      <c r="G1373" s="323" t="s">
        <v>1901</v>
      </c>
      <c r="H1373" s="59" t="s">
        <v>109</v>
      </c>
      <c r="I1373" s="331">
        <v>15</v>
      </c>
      <c r="J1373" s="332"/>
      <c r="K1373" s="332">
        <v>40</v>
      </c>
      <c r="L1373" s="332"/>
      <c r="M1373" s="332"/>
      <c r="N1373" s="332"/>
      <c r="O1373" s="333"/>
      <c r="P1373" s="333"/>
      <c r="Q1373" s="333">
        <v>15</v>
      </c>
      <c r="R1373" s="333"/>
      <c r="S1373" s="334"/>
    </row>
    <row r="1374" spans="1:19" ht="15" customHeight="1">
      <c r="A1374" s="561">
        <f t="shared" si="30"/>
        <v>1374</v>
      </c>
      <c r="B1374" s="58">
        <v>306</v>
      </c>
      <c r="C1374" s="328" t="s">
        <v>1418</v>
      </c>
      <c r="D1374" s="329" t="s">
        <v>1411</v>
      </c>
      <c r="E1374" s="330"/>
      <c r="F1374" s="59" t="s">
        <v>20</v>
      </c>
      <c r="G1374" s="323" t="s">
        <v>1906</v>
      </c>
      <c r="H1374" s="59" t="s">
        <v>109</v>
      </c>
      <c r="I1374" s="331">
        <v>7</v>
      </c>
      <c r="J1374" s="332"/>
      <c r="K1374" s="332">
        <v>32</v>
      </c>
      <c r="L1374" s="332"/>
      <c r="M1374" s="332"/>
      <c r="N1374" s="332"/>
      <c r="O1374" s="333"/>
      <c r="P1374" s="333"/>
      <c r="Q1374" s="333">
        <v>7</v>
      </c>
      <c r="R1374" s="333"/>
      <c r="S1374" s="334"/>
    </row>
    <row r="1375" spans="1:19" ht="15" customHeight="1">
      <c r="A1375" s="561">
        <f t="shared" si="30"/>
        <v>1375</v>
      </c>
      <c r="B1375" s="58">
        <v>306</v>
      </c>
      <c r="C1375" s="328" t="s">
        <v>1418</v>
      </c>
      <c r="D1375" s="329" t="s">
        <v>1411</v>
      </c>
      <c r="E1375" s="330"/>
      <c r="F1375" s="59" t="s">
        <v>69</v>
      </c>
      <c r="G1375" s="323" t="s">
        <v>1903</v>
      </c>
      <c r="H1375" s="59" t="s">
        <v>109</v>
      </c>
      <c r="I1375" s="331">
        <v>12</v>
      </c>
      <c r="J1375" s="332"/>
      <c r="K1375" s="332">
        <v>42</v>
      </c>
      <c r="L1375" s="332"/>
      <c r="M1375" s="332"/>
      <c r="N1375" s="332"/>
      <c r="O1375" s="333"/>
      <c r="P1375" s="333"/>
      <c r="Q1375" s="333">
        <v>12</v>
      </c>
      <c r="R1375" s="333"/>
      <c r="S1375" s="334"/>
    </row>
    <row r="1376" spans="1:19" ht="15" customHeight="1">
      <c r="A1376" s="561">
        <f t="shared" si="30"/>
        <v>1376</v>
      </c>
      <c r="B1376" s="58">
        <v>306</v>
      </c>
      <c r="C1376" s="328" t="s">
        <v>1418</v>
      </c>
      <c r="D1376" s="329" t="s">
        <v>1411</v>
      </c>
      <c r="E1376" s="330"/>
      <c r="F1376" s="59" t="s">
        <v>70</v>
      </c>
      <c r="G1376" s="323" t="s">
        <v>1904</v>
      </c>
      <c r="H1376" s="59" t="s">
        <v>109</v>
      </c>
      <c r="I1376" s="331">
        <v>6</v>
      </c>
      <c r="J1376" s="332">
        <v>2</v>
      </c>
      <c r="K1376" s="332">
        <v>26</v>
      </c>
      <c r="L1376" s="332"/>
      <c r="M1376" s="332"/>
      <c r="N1376" s="332"/>
      <c r="O1376" s="333"/>
      <c r="P1376" s="333"/>
      <c r="Q1376" s="333">
        <v>6</v>
      </c>
      <c r="R1376" s="333"/>
      <c r="S1376" s="334"/>
    </row>
    <row r="1377" spans="1:19" ht="15" customHeight="1">
      <c r="A1377" s="561">
        <f t="shared" si="30"/>
        <v>1377</v>
      </c>
      <c r="B1377" s="58">
        <v>306</v>
      </c>
      <c r="C1377" s="328" t="s">
        <v>1418</v>
      </c>
      <c r="D1377" s="329" t="s">
        <v>1411</v>
      </c>
      <c r="E1377" s="330"/>
      <c r="F1377" s="59" t="s">
        <v>1604</v>
      </c>
      <c r="G1377" s="323" t="s">
        <v>1905</v>
      </c>
      <c r="H1377" s="59" t="s">
        <v>109</v>
      </c>
      <c r="I1377" s="331">
        <v>2</v>
      </c>
      <c r="J1377" s="332"/>
      <c r="K1377" s="332">
        <v>18</v>
      </c>
      <c r="L1377" s="332"/>
      <c r="M1377" s="332"/>
      <c r="N1377" s="332"/>
      <c r="O1377" s="333"/>
      <c r="P1377" s="333"/>
      <c r="Q1377" s="333">
        <v>2</v>
      </c>
      <c r="R1377" s="333"/>
      <c r="S1377" s="334"/>
    </row>
    <row r="1378" spans="1:19" ht="15" customHeight="1">
      <c r="A1378" s="561">
        <f t="shared" si="30"/>
        <v>1378</v>
      </c>
      <c r="B1378" s="58">
        <v>306</v>
      </c>
      <c r="C1378" s="328" t="s">
        <v>1418</v>
      </c>
      <c r="D1378" s="329" t="s">
        <v>1411</v>
      </c>
      <c r="E1378" s="330"/>
      <c r="F1378" s="59" t="s">
        <v>1606</v>
      </c>
      <c r="G1378" s="323" t="s">
        <v>1907</v>
      </c>
      <c r="H1378" s="59" t="s">
        <v>109</v>
      </c>
      <c r="I1378" s="331">
        <v>13</v>
      </c>
      <c r="J1378" s="332"/>
      <c r="K1378" s="332">
        <v>44</v>
      </c>
      <c r="L1378" s="332"/>
      <c r="M1378" s="332"/>
      <c r="N1378" s="332"/>
      <c r="O1378" s="333"/>
      <c r="P1378" s="333"/>
      <c r="Q1378" s="333">
        <v>13</v>
      </c>
      <c r="R1378" s="333"/>
      <c r="S1378" s="334"/>
    </row>
    <row r="1379" spans="1:19" ht="15" customHeight="1">
      <c r="A1379" s="561">
        <f t="shared" si="30"/>
        <v>1379</v>
      </c>
      <c r="B1379" s="58">
        <v>413</v>
      </c>
      <c r="C1379" s="328" t="s">
        <v>1418</v>
      </c>
      <c r="D1379" s="329" t="s">
        <v>1557</v>
      </c>
      <c r="E1379" s="330"/>
      <c r="F1379" s="59" t="s">
        <v>1607</v>
      </c>
      <c r="G1379" s="323" t="s">
        <v>1908</v>
      </c>
      <c r="H1379" s="59" t="s">
        <v>12</v>
      </c>
      <c r="I1379" s="331">
        <v>11</v>
      </c>
      <c r="J1379" s="332"/>
      <c r="K1379" s="332">
        <v>35</v>
      </c>
      <c r="L1379" s="332"/>
      <c r="M1379" s="332"/>
      <c r="N1379" s="332"/>
      <c r="O1379" s="333"/>
      <c r="P1379" s="333"/>
      <c r="Q1379" s="333">
        <v>11</v>
      </c>
      <c r="R1379" s="333"/>
      <c r="S1379" s="334"/>
    </row>
    <row r="1380" spans="1:19" ht="15" customHeight="1">
      <c r="A1380" s="561">
        <f t="shared" si="30"/>
        <v>1380</v>
      </c>
      <c r="B1380" s="58">
        <v>413</v>
      </c>
      <c r="C1380" s="328" t="s">
        <v>1418</v>
      </c>
      <c r="D1380" s="329" t="s">
        <v>1557</v>
      </c>
      <c r="E1380" s="330"/>
      <c r="F1380" s="59" t="s">
        <v>1608</v>
      </c>
      <c r="G1380" s="323" t="s">
        <v>1909</v>
      </c>
      <c r="H1380" s="59" t="s">
        <v>12</v>
      </c>
      <c r="I1380" s="331">
        <v>31</v>
      </c>
      <c r="J1380" s="332"/>
      <c r="K1380" s="332">
        <v>57</v>
      </c>
      <c r="L1380" s="332"/>
      <c r="M1380" s="332"/>
      <c r="N1380" s="332"/>
      <c r="O1380" s="333"/>
      <c r="P1380" s="333"/>
      <c r="Q1380" s="333">
        <v>31</v>
      </c>
      <c r="R1380" s="333"/>
      <c r="S1380" s="334"/>
    </row>
    <row r="1381" spans="1:19" ht="15" customHeight="1">
      <c r="A1381" s="561">
        <f t="shared" si="30"/>
        <v>1381</v>
      </c>
      <c r="B1381" s="58">
        <v>306</v>
      </c>
      <c r="C1381" s="328" t="s">
        <v>1418</v>
      </c>
      <c r="D1381" s="329" t="s">
        <v>1411</v>
      </c>
      <c r="E1381" s="330"/>
      <c r="F1381" s="59" t="s">
        <v>18</v>
      </c>
      <c r="G1381" s="323"/>
      <c r="H1381" s="59" t="s">
        <v>1324</v>
      </c>
      <c r="I1381" s="331">
        <v>33</v>
      </c>
      <c r="J1381" s="332"/>
      <c r="K1381" s="332"/>
      <c r="L1381" s="332"/>
      <c r="M1381" s="332">
        <v>18</v>
      </c>
      <c r="N1381" s="332"/>
      <c r="O1381" s="333"/>
      <c r="P1381" s="333"/>
      <c r="Q1381" s="333"/>
      <c r="R1381" s="333"/>
      <c r="S1381" s="334"/>
    </row>
    <row r="1382" spans="1:19" ht="15" customHeight="1">
      <c r="A1382" s="561">
        <f t="shared" si="30"/>
        <v>1382</v>
      </c>
      <c r="B1382" s="58">
        <v>307</v>
      </c>
      <c r="C1382" s="328" t="s">
        <v>1412</v>
      </c>
      <c r="D1382" s="329" t="s">
        <v>1411</v>
      </c>
      <c r="E1382" s="330"/>
      <c r="F1382" s="59" t="s">
        <v>1609</v>
      </c>
      <c r="G1382" s="323"/>
      <c r="H1382" s="59" t="s">
        <v>1327</v>
      </c>
      <c r="I1382" s="331">
        <v>366</v>
      </c>
      <c r="J1382" s="332">
        <v>60</v>
      </c>
      <c r="K1382" s="332"/>
      <c r="L1382" s="332"/>
      <c r="M1382" s="332"/>
      <c r="N1382" s="332"/>
      <c r="O1382" s="333"/>
      <c r="P1382" s="333"/>
      <c r="Q1382" s="333"/>
      <c r="R1382" s="333"/>
      <c r="S1382" s="334"/>
    </row>
    <row r="1383" spans="1:19" ht="15" customHeight="1">
      <c r="A1383" s="561">
        <f t="shared" si="30"/>
        <v>1383</v>
      </c>
      <c r="B1383" s="58">
        <v>307</v>
      </c>
      <c r="C1383" s="328" t="s">
        <v>1412</v>
      </c>
      <c r="D1383" s="329" t="s">
        <v>1411</v>
      </c>
      <c r="E1383" s="330"/>
      <c r="F1383" s="59" t="s">
        <v>67</v>
      </c>
      <c r="G1383" s="323" t="s">
        <v>1910</v>
      </c>
      <c r="H1383" s="59" t="s">
        <v>142</v>
      </c>
      <c r="I1383" s="331">
        <v>472</v>
      </c>
      <c r="J1383" s="332"/>
      <c r="K1383" s="332"/>
      <c r="L1383" s="332"/>
      <c r="M1383" s="332"/>
      <c r="N1383" s="332"/>
      <c r="O1383" s="333"/>
      <c r="P1383" s="333"/>
      <c r="Q1383" s="333">
        <v>50</v>
      </c>
      <c r="R1383" s="333"/>
      <c r="S1383" s="334"/>
    </row>
    <row r="1384" spans="1:19" ht="15" customHeight="1">
      <c r="A1384" s="561">
        <f t="shared" si="30"/>
        <v>1384</v>
      </c>
      <c r="B1384" s="58">
        <v>307</v>
      </c>
      <c r="C1384" s="328" t="s">
        <v>1412</v>
      </c>
      <c r="D1384" s="329" t="s">
        <v>1411</v>
      </c>
      <c r="E1384" s="330"/>
      <c r="F1384" s="59" t="s">
        <v>67</v>
      </c>
      <c r="G1384" s="323" t="s">
        <v>15</v>
      </c>
      <c r="H1384" s="59" t="s">
        <v>1591</v>
      </c>
      <c r="I1384" s="331">
        <v>966</v>
      </c>
      <c r="J1384" s="332"/>
      <c r="K1384" s="332"/>
      <c r="L1384" s="332"/>
      <c r="M1384" s="332"/>
      <c r="N1384" s="332"/>
      <c r="O1384" s="333"/>
      <c r="P1384" s="333"/>
      <c r="Q1384" s="333">
        <v>966</v>
      </c>
      <c r="R1384" s="333"/>
      <c r="S1384" s="334"/>
    </row>
    <row r="1385" spans="1:19" ht="15" customHeight="1">
      <c r="A1385" s="561">
        <f t="shared" si="30"/>
        <v>1385</v>
      </c>
      <c r="B1385" s="58">
        <v>307</v>
      </c>
      <c r="C1385" s="328" t="s">
        <v>1412</v>
      </c>
      <c r="D1385" s="329" t="s">
        <v>1411</v>
      </c>
      <c r="E1385" s="330"/>
      <c r="F1385" s="59" t="s">
        <v>67</v>
      </c>
      <c r="G1385" s="323" t="s">
        <v>15</v>
      </c>
      <c r="H1385" s="59" t="s">
        <v>1327</v>
      </c>
      <c r="I1385" s="331">
        <v>188</v>
      </c>
      <c r="J1385" s="332"/>
      <c r="K1385" s="332"/>
      <c r="L1385" s="332"/>
      <c r="M1385" s="332"/>
      <c r="N1385" s="332"/>
      <c r="O1385" s="333"/>
      <c r="P1385" s="333"/>
      <c r="Q1385" s="333">
        <v>188</v>
      </c>
      <c r="R1385" s="333"/>
      <c r="S1385" s="334"/>
    </row>
    <row r="1386" spans="1:19" ht="15" customHeight="1">
      <c r="A1386" s="561">
        <f t="shared" si="30"/>
        <v>1386</v>
      </c>
      <c r="B1386" s="58">
        <v>307</v>
      </c>
      <c r="C1386" s="328" t="s">
        <v>1412</v>
      </c>
      <c r="D1386" s="329" t="s">
        <v>1411</v>
      </c>
      <c r="E1386" s="330"/>
      <c r="F1386" s="59" t="s">
        <v>1438</v>
      </c>
      <c r="G1386" s="323" t="s">
        <v>1911</v>
      </c>
      <c r="H1386" s="59" t="s">
        <v>176</v>
      </c>
      <c r="I1386" s="331">
        <v>53.8</v>
      </c>
      <c r="J1386" s="332">
        <v>10</v>
      </c>
      <c r="K1386" s="332">
        <v>84</v>
      </c>
      <c r="L1386" s="332"/>
      <c r="M1386" s="332"/>
      <c r="N1386" s="332"/>
      <c r="O1386" s="333"/>
      <c r="P1386" s="333"/>
      <c r="Q1386" s="333"/>
      <c r="R1386" s="333"/>
      <c r="S1386" s="334"/>
    </row>
    <row r="1387" spans="1:19" ht="15" customHeight="1">
      <c r="A1387" s="561">
        <f t="shared" si="30"/>
        <v>1387</v>
      </c>
      <c r="B1387" s="58">
        <v>307</v>
      </c>
      <c r="C1387" s="328" t="s">
        <v>1412</v>
      </c>
      <c r="D1387" s="329" t="s">
        <v>1411</v>
      </c>
      <c r="E1387" s="330"/>
      <c r="F1387" s="59" t="s">
        <v>71</v>
      </c>
      <c r="G1387" s="323" t="s">
        <v>63</v>
      </c>
      <c r="H1387" s="59" t="s">
        <v>1327</v>
      </c>
      <c r="I1387" s="331">
        <v>135</v>
      </c>
      <c r="J1387" s="332">
        <v>130</v>
      </c>
      <c r="K1387" s="332"/>
      <c r="L1387" s="332"/>
      <c r="M1387" s="332"/>
      <c r="N1387" s="332"/>
      <c r="O1387" s="333"/>
      <c r="P1387" s="333"/>
      <c r="Q1387" s="333"/>
      <c r="R1387" s="333">
        <v>43</v>
      </c>
      <c r="S1387" s="334"/>
    </row>
    <row r="1388" spans="1:19" ht="15" customHeight="1">
      <c r="A1388" s="561">
        <f t="shared" si="30"/>
        <v>1388</v>
      </c>
      <c r="B1388" s="58">
        <v>307</v>
      </c>
      <c r="C1388" s="328" t="s">
        <v>1412</v>
      </c>
      <c r="D1388" s="329" t="s">
        <v>1411</v>
      </c>
      <c r="E1388" s="330"/>
      <c r="F1388" s="59" t="s">
        <v>1610</v>
      </c>
      <c r="G1388" s="323" t="s">
        <v>14</v>
      </c>
      <c r="H1388" s="59" t="s">
        <v>109</v>
      </c>
      <c r="I1388" s="331">
        <v>31</v>
      </c>
      <c r="J1388" s="332"/>
      <c r="K1388" s="332">
        <v>27</v>
      </c>
      <c r="L1388" s="332"/>
      <c r="M1388" s="332"/>
      <c r="N1388" s="332"/>
      <c r="O1388" s="333"/>
      <c r="P1388" s="333"/>
      <c r="Q1388" s="333">
        <v>31</v>
      </c>
      <c r="R1388" s="333"/>
      <c r="S1388" s="334"/>
    </row>
    <row r="1389" spans="1:19" ht="15" customHeight="1">
      <c r="A1389" s="561">
        <f t="shared" si="30"/>
        <v>1389</v>
      </c>
      <c r="B1389" s="58">
        <v>307</v>
      </c>
      <c r="C1389" s="328" t="s">
        <v>1412</v>
      </c>
      <c r="D1389" s="329" t="s">
        <v>1411</v>
      </c>
      <c r="E1389" s="330"/>
      <c r="F1389" s="59" t="s">
        <v>1610</v>
      </c>
      <c r="G1389" s="323" t="s">
        <v>66</v>
      </c>
      <c r="H1389" s="59" t="s">
        <v>109</v>
      </c>
      <c r="I1389" s="331">
        <v>5</v>
      </c>
      <c r="J1389" s="332"/>
      <c r="K1389" s="332">
        <v>38</v>
      </c>
      <c r="L1389" s="332"/>
      <c r="M1389" s="332"/>
      <c r="N1389" s="332"/>
      <c r="O1389" s="333"/>
      <c r="P1389" s="333"/>
      <c r="Q1389" s="333">
        <v>5</v>
      </c>
      <c r="R1389" s="333"/>
      <c r="S1389" s="334"/>
    </row>
    <row r="1390" spans="1:19" ht="15" customHeight="1">
      <c r="A1390" s="561">
        <f t="shared" si="30"/>
        <v>1390</v>
      </c>
      <c r="B1390" s="58">
        <v>307</v>
      </c>
      <c r="C1390" s="328" t="s">
        <v>1412</v>
      </c>
      <c r="D1390" s="329" t="s">
        <v>1411</v>
      </c>
      <c r="E1390" s="330"/>
      <c r="F1390" s="59" t="s">
        <v>1610</v>
      </c>
      <c r="G1390" s="323" t="s">
        <v>1823</v>
      </c>
      <c r="H1390" s="59" t="s">
        <v>109</v>
      </c>
      <c r="I1390" s="331">
        <v>36</v>
      </c>
      <c r="J1390" s="332"/>
      <c r="K1390" s="332">
        <v>38</v>
      </c>
      <c r="L1390" s="332"/>
      <c r="M1390" s="332"/>
      <c r="N1390" s="332"/>
      <c r="O1390" s="333"/>
      <c r="P1390" s="333"/>
      <c r="Q1390" s="333">
        <v>36</v>
      </c>
      <c r="R1390" s="333"/>
      <c r="S1390" s="334"/>
    </row>
    <row r="1391" spans="1:19" ht="15" customHeight="1">
      <c r="A1391" s="561">
        <f t="shared" si="30"/>
        <v>1391</v>
      </c>
      <c r="B1391" s="58">
        <v>307</v>
      </c>
      <c r="C1391" s="328" t="s">
        <v>1412</v>
      </c>
      <c r="D1391" s="329" t="s">
        <v>1411</v>
      </c>
      <c r="E1391" s="330"/>
      <c r="F1391" s="59" t="s">
        <v>1610</v>
      </c>
      <c r="G1391" s="323" t="s">
        <v>191</v>
      </c>
      <c r="H1391" s="59" t="s">
        <v>109</v>
      </c>
      <c r="I1391" s="331">
        <v>11</v>
      </c>
      <c r="J1391" s="332"/>
      <c r="K1391" s="332">
        <v>38</v>
      </c>
      <c r="L1391" s="332"/>
      <c r="M1391" s="332"/>
      <c r="N1391" s="332"/>
      <c r="O1391" s="333"/>
      <c r="P1391" s="333"/>
      <c r="Q1391" s="333">
        <v>11</v>
      </c>
      <c r="R1391" s="333"/>
      <c r="S1391" s="334"/>
    </row>
    <row r="1392" spans="1:19" ht="15" customHeight="1">
      <c r="A1392" s="561">
        <f t="shared" si="30"/>
        <v>1392</v>
      </c>
      <c r="B1392" s="58">
        <v>307</v>
      </c>
      <c r="C1392" s="328" t="s">
        <v>1412</v>
      </c>
      <c r="D1392" s="329" t="s">
        <v>1411</v>
      </c>
      <c r="E1392" s="330"/>
      <c r="F1392" s="59" t="s">
        <v>292</v>
      </c>
      <c r="G1392" s="323" t="s">
        <v>182</v>
      </c>
      <c r="H1392" s="59" t="s">
        <v>109</v>
      </c>
      <c r="I1392" s="331">
        <v>3</v>
      </c>
      <c r="J1392" s="332"/>
      <c r="K1392" s="332">
        <v>4</v>
      </c>
      <c r="L1392" s="332"/>
      <c r="M1392" s="332"/>
      <c r="N1392" s="332"/>
      <c r="O1392" s="333"/>
      <c r="P1392" s="333"/>
      <c r="Q1392" s="333"/>
      <c r="R1392" s="333">
        <v>3</v>
      </c>
      <c r="S1392" s="334"/>
    </row>
    <row r="1393" spans="1:19" ht="15" customHeight="1">
      <c r="A1393" s="561">
        <f t="shared" si="30"/>
        <v>1393</v>
      </c>
      <c r="B1393" s="58">
        <v>307</v>
      </c>
      <c r="C1393" s="328" t="s">
        <v>1412</v>
      </c>
      <c r="D1393" s="329" t="s">
        <v>1411</v>
      </c>
      <c r="E1393" s="330"/>
      <c r="F1393" s="59" t="s">
        <v>1611</v>
      </c>
      <c r="G1393" s="323" t="s">
        <v>1768</v>
      </c>
      <c r="H1393" s="59" t="s">
        <v>109</v>
      </c>
      <c r="I1393" s="331">
        <v>2</v>
      </c>
      <c r="J1393" s="332">
        <v>14</v>
      </c>
      <c r="K1393" s="332"/>
      <c r="L1393" s="332"/>
      <c r="M1393" s="332"/>
      <c r="N1393" s="332"/>
      <c r="O1393" s="333"/>
      <c r="P1393" s="333"/>
      <c r="Q1393" s="333"/>
      <c r="R1393" s="333">
        <v>2</v>
      </c>
      <c r="S1393" s="334"/>
    </row>
    <row r="1394" spans="1:19" ht="15" customHeight="1">
      <c r="A1394" s="561">
        <f t="shared" si="30"/>
        <v>1394</v>
      </c>
      <c r="B1394" s="58">
        <v>307</v>
      </c>
      <c r="C1394" s="328" t="s">
        <v>1412</v>
      </c>
      <c r="D1394" s="329" t="s">
        <v>1411</v>
      </c>
      <c r="E1394" s="330"/>
      <c r="F1394" s="59" t="s">
        <v>1611</v>
      </c>
      <c r="G1394" s="323" t="s">
        <v>1822</v>
      </c>
      <c r="H1394" s="59" t="s">
        <v>109</v>
      </c>
      <c r="I1394" s="331">
        <v>2.4</v>
      </c>
      <c r="J1394" s="332">
        <v>14</v>
      </c>
      <c r="K1394" s="332"/>
      <c r="L1394" s="332"/>
      <c r="M1394" s="332"/>
      <c r="N1394" s="332"/>
      <c r="O1394" s="333"/>
      <c r="P1394" s="333"/>
      <c r="Q1394" s="333"/>
      <c r="R1394" s="333">
        <v>2</v>
      </c>
      <c r="S1394" s="334"/>
    </row>
    <row r="1395" spans="1:19" ht="15" customHeight="1">
      <c r="A1395" s="561">
        <f t="shared" si="30"/>
        <v>1395</v>
      </c>
      <c r="B1395" s="58">
        <v>307</v>
      </c>
      <c r="C1395" s="328" t="s">
        <v>1412</v>
      </c>
      <c r="D1395" s="329" t="s">
        <v>1411</v>
      </c>
      <c r="E1395" s="330"/>
      <c r="F1395" s="59" t="s">
        <v>1612</v>
      </c>
      <c r="G1395" s="323" t="s">
        <v>1821</v>
      </c>
      <c r="H1395" s="59" t="s">
        <v>109</v>
      </c>
      <c r="I1395" s="331">
        <v>3</v>
      </c>
      <c r="J1395" s="332">
        <v>17</v>
      </c>
      <c r="K1395" s="332"/>
      <c r="L1395" s="332"/>
      <c r="M1395" s="332"/>
      <c r="N1395" s="332"/>
      <c r="O1395" s="333"/>
      <c r="P1395" s="333"/>
      <c r="Q1395" s="333"/>
      <c r="R1395" s="333">
        <v>3</v>
      </c>
      <c r="S1395" s="334"/>
    </row>
    <row r="1396" spans="1:19" ht="15" customHeight="1">
      <c r="A1396" s="561">
        <f t="shared" si="30"/>
        <v>1396</v>
      </c>
      <c r="B1396" s="58">
        <v>307</v>
      </c>
      <c r="C1396" s="328" t="s">
        <v>1412</v>
      </c>
      <c r="D1396" s="329" t="s">
        <v>1411</v>
      </c>
      <c r="E1396" s="330"/>
      <c r="F1396" s="59" t="s">
        <v>1613</v>
      </c>
      <c r="G1396" s="323" t="s">
        <v>1912</v>
      </c>
      <c r="H1396" s="59" t="s">
        <v>109</v>
      </c>
      <c r="I1396" s="331">
        <v>9</v>
      </c>
      <c r="J1396" s="332">
        <v>16</v>
      </c>
      <c r="K1396" s="332">
        <v>16</v>
      </c>
      <c r="L1396" s="332"/>
      <c r="M1396" s="332"/>
      <c r="N1396" s="332"/>
      <c r="O1396" s="333"/>
      <c r="P1396" s="333"/>
      <c r="Q1396" s="333"/>
      <c r="R1396" s="333">
        <v>9</v>
      </c>
      <c r="S1396" s="334"/>
    </row>
    <row r="1397" spans="1:19" ht="15" customHeight="1">
      <c r="A1397" s="561">
        <f t="shared" si="30"/>
        <v>1397</v>
      </c>
      <c r="B1397" s="58">
        <v>307</v>
      </c>
      <c r="C1397" s="328" t="s">
        <v>1412</v>
      </c>
      <c r="D1397" s="329" t="s">
        <v>1411</v>
      </c>
      <c r="E1397" s="330"/>
      <c r="F1397" s="59" t="s">
        <v>293</v>
      </c>
      <c r="G1397" s="323" t="s">
        <v>1714</v>
      </c>
      <c r="H1397" s="59" t="s">
        <v>109</v>
      </c>
      <c r="I1397" s="331">
        <v>13</v>
      </c>
      <c r="J1397" s="332"/>
      <c r="K1397" s="332">
        <v>35</v>
      </c>
      <c r="L1397" s="332"/>
      <c r="M1397" s="332"/>
      <c r="N1397" s="332"/>
      <c r="O1397" s="333"/>
      <c r="P1397" s="333"/>
      <c r="Q1397" s="333"/>
      <c r="R1397" s="333">
        <v>13</v>
      </c>
      <c r="S1397" s="334"/>
    </row>
    <row r="1398" spans="1:19" ht="15" customHeight="1">
      <c r="A1398" s="561">
        <f t="shared" si="30"/>
        <v>1398</v>
      </c>
      <c r="B1398" s="58">
        <v>307</v>
      </c>
      <c r="C1398" s="328" t="s">
        <v>1412</v>
      </c>
      <c r="D1398" s="329" t="s">
        <v>1411</v>
      </c>
      <c r="E1398" s="330"/>
      <c r="F1398" s="59" t="s">
        <v>1614</v>
      </c>
      <c r="G1398" s="323" t="s">
        <v>1767</v>
      </c>
      <c r="H1398" s="59" t="s">
        <v>109</v>
      </c>
      <c r="I1398" s="331">
        <v>6</v>
      </c>
      <c r="J1398" s="332"/>
      <c r="K1398" s="332">
        <v>21</v>
      </c>
      <c r="L1398" s="332"/>
      <c r="M1398" s="332"/>
      <c r="N1398" s="332"/>
      <c r="O1398" s="333"/>
      <c r="P1398" s="333"/>
      <c r="Q1398" s="333"/>
      <c r="R1398" s="333">
        <v>6</v>
      </c>
      <c r="S1398" s="334"/>
    </row>
    <row r="1399" spans="1:19" ht="15" customHeight="1">
      <c r="A1399" s="561">
        <f t="shared" si="30"/>
        <v>1399</v>
      </c>
      <c r="B1399" s="58">
        <v>307</v>
      </c>
      <c r="C1399" s="328" t="s">
        <v>1412</v>
      </c>
      <c r="D1399" s="329" t="s">
        <v>1411</v>
      </c>
      <c r="E1399" s="330"/>
      <c r="F1399" s="59" t="s">
        <v>1615</v>
      </c>
      <c r="G1399" s="323" t="s">
        <v>1913</v>
      </c>
      <c r="H1399" s="59" t="s">
        <v>1324</v>
      </c>
      <c r="I1399" s="331">
        <v>99</v>
      </c>
      <c r="J1399" s="332"/>
      <c r="K1399" s="332"/>
      <c r="L1399" s="332"/>
      <c r="M1399" s="332">
        <v>78</v>
      </c>
      <c r="N1399" s="332"/>
      <c r="O1399" s="333"/>
      <c r="P1399" s="333"/>
      <c r="Q1399" s="333"/>
      <c r="R1399" s="333"/>
      <c r="S1399" s="334"/>
    </row>
    <row r="1400" spans="1:19" ht="15" customHeight="1">
      <c r="A1400" s="561">
        <f t="shared" si="30"/>
        <v>1400</v>
      </c>
      <c r="B1400" s="58">
        <v>307</v>
      </c>
      <c r="C1400" s="328" t="s">
        <v>1412</v>
      </c>
      <c r="D1400" s="329" t="s">
        <v>1411</v>
      </c>
      <c r="E1400" s="330"/>
      <c r="F1400" s="59" t="s">
        <v>1560</v>
      </c>
      <c r="G1400" s="323" t="s">
        <v>1914</v>
      </c>
      <c r="H1400" s="59" t="s">
        <v>68</v>
      </c>
      <c r="I1400" s="331">
        <v>147</v>
      </c>
      <c r="J1400" s="332">
        <v>180</v>
      </c>
      <c r="K1400" s="332"/>
      <c r="L1400" s="332"/>
      <c r="M1400" s="332"/>
      <c r="N1400" s="332"/>
      <c r="O1400" s="333"/>
      <c r="P1400" s="333"/>
      <c r="Q1400" s="333"/>
      <c r="R1400" s="333"/>
      <c r="S1400" s="334"/>
    </row>
    <row r="1401" spans="1:19" ht="15" customHeight="1">
      <c r="A1401" s="561">
        <f t="shared" si="30"/>
        <v>1401</v>
      </c>
      <c r="B1401" s="58">
        <v>307</v>
      </c>
      <c r="C1401" s="328" t="s">
        <v>1412</v>
      </c>
      <c r="D1401" s="329" t="s">
        <v>1411</v>
      </c>
      <c r="E1401" s="330"/>
      <c r="F1401" s="59" t="s">
        <v>71</v>
      </c>
      <c r="G1401" s="323" t="s">
        <v>63</v>
      </c>
      <c r="H1401" s="59" t="s">
        <v>1327</v>
      </c>
      <c r="I1401" s="331">
        <v>391</v>
      </c>
      <c r="J1401" s="332"/>
      <c r="K1401" s="332"/>
      <c r="L1401" s="332"/>
      <c r="M1401" s="332"/>
      <c r="N1401" s="332"/>
      <c r="O1401" s="333"/>
      <c r="P1401" s="333"/>
      <c r="Q1401" s="333"/>
      <c r="R1401" s="333"/>
      <c r="S1401" s="334"/>
    </row>
    <row r="1402" spans="1:19" ht="15" customHeight="1">
      <c r="A1402" s="561">
        <f t="shared" si="30"/>
        <v>1402</v>
      </c>
      <c r="B1402" s="58">
        <v>307</v>
      </c>
      <c r="C1402" s="328" t="s">
        <v>1412</v>
      </c>
      <c r="D1402" s="329" t="s">
        <v>1411</v>
      </c>
      <c r="E1402" s="330"/>
      <c r="F1402" s="59" t="s">
        <v>1</v>
      </c>
      <c r="G1402" s="323"/>
      <c r="H1402" s="59" t="s">
        <v>1055</v>
      </c>
      <c r="I1402" s="331">
        <v>5</v>
      </c>
      <c r="J1402" s="332"/>
      <c r="K1402" s="332"/>
      <c r="L1402" s="332"/>
      <c r="M1402" s="332"/>
      <c r="N1402" s="332"/>
      <c r="O1402" s="333"/>
      <c r="P1402" s="333"/>
      <c r="Q1402" s="333"/>
      <c r="R1402" s="333"/>
      <c r="S1402" s="334"/>
    </row>
    <row r="1403" spans="1:19" ht="15" customHeight="1">
      <c r="A1403" s="561">
        <f t="shared" si="30"/>
        <v>1403</v>
      </c>
      <c r="B1403" s="58">
        <v>307</v>
      </c>
      <c r="C1403" s="328" t="s">
        <v>1412</v>
      </c>
      <c r="D1403" s="329" t="s">
        <v>1411</v>
      </c>
      <c r="E1403" s="330"/>
      <c r="F1403" s="59" t="s">
        <v>1</v>
      </c>
      <c r="G1403" s="323"/>
      <c r="H1403" s="59" t="s">
        <v>1055</v>
      </c>
      <c r="I1403" s="331">
        <v>5</v>
      </c>
      <c r="J1403" s="332"/>
      <c r="K1403" s="332"/>
      <c r="L1403" s="332"/>
      <c r="M1403" s="332"/>
      <c r="N1403" s="332"/>
      <c r="O1403" s="333"/>
      <c r="P1403" s="333"/>
      <c r="Q1403" s="333"/>
      <c r="R1403" s="333"/>
      <c r="S1403" s="334"/>
    </row>
    <row r="1404" spans="1:19" ht="15" customHeight="1">
      <c r="A1404" s="561">
        <f t="shared" si="30"/>
        <v>1404</v>
      </c>
      <c r="B1404" s="58">
        <v>308</v>
      </c>
      <c r="C1404" s="328" t="s">
        <v>1419</v>
      </c>
      <c r="D1404" s="329" t="s">
        <v>1411</v>
      </c>
      <c r="E1404" s="330"/>
      <c r="F1404" s="59" t="s">
        <v>1563</v>
      </c>
      <c r="G1404" s="323" t="s">
        <v>15</v>
      </c>
      <c r="H1404" s="59" t="s">
        <v>68</v>
      </c>
      <c r="I1404" s="331">
        <v>42</v>
      </c>
      <c r="J1404" s="332" t="s">
        <v>1602</v>
      </c>
      <c r="K1404" s="332"/>
      <c r="L1404" s="332"/>
      <c r="M1404" s="332"/>
      <c r="N1404" s="332"/>
      <c r="O1404" s="333"/>
      <c r="P1404" s="333"/>
      <c r="Q1404" s="333"/>
      <c r="R1404" s="333"/>
      <c r="S1404" s="334"/>
    </row>
    <row r="1405" spans="1:19" ht="15" customHeight="1">
      <c r="A1405" s="561">
        <f t="shared" si="30"/>
        <v>1405</v>
      </c>
      <c r="B1405" s="58">
        <v>308</v>
      </c>
      <c r="C1405" s="328" t="s">
        <v>1419</v>
      </c>
      <c r="D1405" s="329" t="s">
        <v>1411</v>
      </c>
      <c r="E1405" s="330"/>
      <c r="F1405" s="59" t="s">
        <v>1564</v>
      </c>
      <c r="G1405" s="323" t="s">
        <v>1885</v>
      </c>
      <c r="H1405" s="59" t="s">
        <v>1591</v>
      </c>
      <c r="I1405" s="331">
        <v>623</v>
      </c>
      <c r="J1405" s="332"/>
      <c r="K1405" s="332"/>
      <c r="L1405" s="332"/>
      <c r="M1405" s="332"/>
      <c r="N1405" s="332"/>
      <c r="O1405" s="333"/>
      <c r="P1405" s="333"/>
      <c r="Q1405" s="333"/>
      <c r="R1405" s="333"/>
      <c r="S1405" s="334"/>
    </row>
    <row r="1406" spans="1:19" ht="15" customHeight="1">
      <c r="A1406" s="561">
        <f t="shared" si="30"/>
        <v>1406</v>
      </c>
      <c r="B1406" s="58">
        <v>308</v>
      </c>
      <c r="C1406" s="328" t="s">
        <v>1419</v>
      </c>
      <c r="D1406" s="329" t="s">
        <v>1411</v>
      </c>
      <c r="E1406" s="330"/>
      <c r="F1406" s="59" t="s">
        <v>1592</v>
      </c>
      <c r="G1406" s="323" t="s">
        <v>1885</v>
      </c>
      <c r="H1406" s="59" t="s">
        <v>1593</v>
      </c>
      <c r="I1406" s="331">
        <v>421</v>
      </c>
      <c r="J1406" s="332"/>
      <c r="K1406" s="332"/>
      <c r="L1406" s="332"/>
      <c r="M1406" s="332"/>
      <c r="N1406" s="332"/>
      <c r="O1406" s="333"/>
      <c r="P1406" s="333"/>
      <c r="Q1406" s="333"/>
      <c r="R1406" s="333"/>
      <c r="S1406" s="334"/>
    </row>
    <row r="1407" spans="1:19" ht="15" customHeight="1">
      <c r="A1407" s="561">
        <f t="shared" si="30"/>
        <v>1407</v>
      </c>
      <c r="B1407" s="58">
        <v>308</v>
      </c>
      <c r="C1407" s="328" t="s">
        <v>1419</v>
      </c>
      <c r="D1407" s="329" t="s">
        <v>1411</v>
      </c>
      <c r="E1407" s="330"/>
      <c r="F1407" s="59" t="s">
        <v>1594</v>
      </c>
      <c r="G1407" s="323" t="s">
        <v>1885</v>
      </c>
      <c r="H1407" s="59" t="s">
        <v>12</v>
      </c>
      <c r="I1407" s="331">
        <v>199</v>
      </c>
      <c r="J1407" s="332"/>
      <c r="K1407" s="332"/>
      <c r="L1407" s="332"/>
      <c r="M1407" s="332"/>
      <c r="N1407" s="332"/>
      <c r="O1407" s="333"/>
      <c r="P1407" s="333"/>
      <c r="Q1407" s="333"/>
      <c r="R1407" s="333"/>
      <c r="S1407" s="334"/>
    </row>
    <row r="1408" spans="1:19" ht="15" customHeight="1">
      <c r="A1408" s="561">
        <f t="shared" si="30"/>
        <v>1408</v>
      </c>
      <c r="B1408" s="58">
        <v>308</v>
      </c>
      <c r="C1408" s="328" t="s">
        <v>1419</v>
      </c>
      <c r="D1408" s="329" t="s">
        <v>1411</v>
      </c>
      <c r="E1408" s="330"/>
      <c r="F1408" s="59" t="s">
        <v>1595</v>
      </c>
      <c r="G1408" s="323" t="s">
        <v>1896</v>
      </c>
      <c r="H1408" s="59" t="s">
        <v>176</v>
      </c>
      <c r="I1408" s="331">
        <v>1</v>
      </c>
      <c r="J1408" s="332"/>
      <c r="K1408" s="332"/>
      <c r="L1408" s="332"/>
      <c r="M1408" s="332">
        <v>22</v>
      </c>
      <c r="N1408" s="332">
        <v>17</v>
      </c>
      <c r="O1408" s="333"/>
      <c r="P1408" s="333"/>
      <c r="Q1408" s="333"/>
      <c r="R1408" s="333">
        <v>9</v>
      </c>
      <c r="S1408" s="334"/>
    </row>
    <row r="1409" spans="1:19" ht="15" customHeight="1">
      <c r="A1409" s="561">
        <f t="shared" si="30"/>
        <v>1409</v>
      </c>
      <c r="B1409" s="58">
        <v>308</v>
      </c>
      <c r="C1409" s="328" t="s">
        <v>1419</v>
      </c>
      <c r="D1409" s="329" t="s">
        <v>1411</v>
      </c>
      <c r="E1409" s="330"/>
      <c r="F1409" s="59" t="s">
        <v>1595</v>
      </c>
      <c r="G1409" s="323" t="s">
        <v>1896</v>
      </c>
      <c r="H1409" s="59" t="s">
        <v>176</v>
      </c>
      <c r="I1409" s="331">
        <v>8</v>
      </c>
      <c r="J1409" s="332"/>
      <c r="K1409" s="332"/>
      <c r="L1409" s="332"/>
      <c r="M1409" s="332">
        <v>22</v>
      </c>
      <c r="N1409" s="332">
        <v>17</v>
      </c>
      <c r="O1409" s="333"/>
      <c r="P1409" s="333"/>
      <c r="Q1409" s="333"/>
      <c r="R1409" s="333">
        <v>9</v>
      </c>
      <c r="S1409" s="334"/>
    </row>
    <row r="1410" spans="1:19" ht="15" customHeight="1">
      <c r="A1410" s="561">
        <f t="shared" si="30"/>
        <v>1410</v>
      </c>
      <c r="B1410" s="58">
        <v>308</v>
      </c>
      <c r="C1410" s="328" t="s">
        <v>1419</v>
      </c>
      <c r="D1410" s="329" t="s">
        <v>1411</v>
      </c>
      <c r="E1410" s="330"/>
      <c r="F1410" s="59" t="s">
        <v>18</v>
      </c>
      <c r="G1410" s="323" t="s">
        <v>1888</v>
      </c>
      <c r="H1410" s="59" t="s">
        <v>1324</v>
      </c>
      <c r="I1410" s="331">
        <v>33</v>
      </c>
      <c r="J1410" s="332"/>
      <c r="K1410" s="332"/>
      <c r="L1410" s="332"/>
      <c r="M1410" s="332">
        <v>18</v>
      </c>
      <c r="N1410" s="332"/>
      <c r="O1410" s="333"/>
      <c r="P1410" s="333"/>
      <c r="Q1410" s="333"/>
      <c r="R1410" s="333"/>
      <c r="S1410" s="334"/>
    </row>
    <row r="1411" spans="1:19" ht="15" customHeight="1">
      <c r="A1411" s="561">
        <f t="shared" ref="A1411:A1474" si="31">1+A1410</f>
        <v>1411</v>
      </c>
      <c r="B1411" s="58">
        <v>308</v>
      </c>
      <c r="C1411" s="328" t="s">
        <v>1419</v>
      </c>
      <c r="D1411" s="329" t="s">
        <v>1411</v>
      </c>
      <c r="E1411" s="330"/>
      <c r="F1411" s="59" t="s">
        <v>1573</v>
      </c>
      <c r="G1411" s="323" t="s">
        <v>16</v>
      </c>
      <c r="H1411" s="59" t="s">
        <v>1327</v>
      </c>
      <c r="I1411" s="331">
        <v>6.41</v>
      </c>
      <c r="J1411" s="332"/>
      <c r="K1411" s="332">
        <v>34</v>
      </c>
      <c r="L1411" s="332"/>
      <c r="M1411" s="332"/>
      <c r="N1411" s="332"/>
      <c r="O1411" s="333"/>
      <c r="P1411" s="333"/>
      <c r="Q1411" s="333">
        <v>6</v>
      </c>
      <c r="R1411" s="333"/>
      <c r="S1411" s="334"/>
    </row>
    <row r="1412" spans="1:19" ht="15" customHeight="1">
      <c r="A1412" s="561">
        <f t="shared" si="31"/>
        <v>1412</v>
      </c>
      <c r="B1412" s="58">
        <v>308</v>
      </c>
      <c r="C1412" s="328" t="s">
        <v>1419</v>
      </c>
      <c r="D1412" s="329" t="s">
        <v>1411</v>
      </c>
      <c r="E1412" s="330"/>
      <c r="F1412" s="59" t="s">
        <v>1565</v>
      </c>
      <c r="G1412" s="323" t="s">
        <v>1714</v>
      </c>
      <c r="H1412" s="59" t="s">
        <v>109</v>
      </c>
      <c r="I1412" s="331">
        <v>11</v>
      </c>
      <c r="J1412" s="332"/>
      <c r="K1412" s="332">
        <v>50</v>
      </c>
      <c r="L1412" s="332"/>
      <c r="M1412" s="332"/>
      <c r="N1412" s="332"/>
      <c r="O1412" s="333"/>
      <c r="P1412" s="333"/>
      <c r="Q1412" s="333">
        <v>11</v>
      </c>
      <c r="R1412" s="333"/>
      <c r="S1412" s="334"/>
    </row>
    <row r="1413" spans="1:19" ht="15" customHeight="1">
      <c r="A1413" s="561">
        <f t="shared" si="31"/>
        <v>1413</v>
      </c>
      <c r="B1413" s="58">
        <v>308</v>
      </c>
      <c r="C1413" s="328" t="s">
        <v>1419</v>
      </c>
      <c r="D1413" s="329" t="s">
        <v>1411</v>
      </c>
      <c r="E1413" s="330"/>
      <c r="F1413" s="59" t="s">
        <v>1566</v>
      </c>
      <c r="G1413" s="323" t="s">
        <v>1767</v>
      </c>
      <c r="H1413" s="59" t="s">
        <v>109</v>
      </c>
      <c r="I1413" s="331">
        <v>2</v>
      </c>
      <c r="J1413" s="332"/>
      <c r="K1413" s="332">
        <v>16</v>
      </c>
      <c r="L1413" s="332"/>
      <c r="M1413" s="332"/>
      <c r="N1413" s="332"/>
      <c r="O1413" s="333"/>
      <c r="P1413" s="333"/>
      <c r="Q1413" s="333">
        <v>2</v>
      </c>
      <c r="R1413" s="333"/>
      <c r="S1413" s="334"/>
    </row>
    <row r="1414" spans="1:19" ht="15" customHeight="1">
      <c r="A1414" s="561">
        <f t="shared" si="31"/>
        <v>1414</v>
      </c>
      <c r="B1414" s="58">
        <v>414</v>
      </c>
      <c r="C1414" s="328" t="s">
        <v>1419</v>
      </c>
      <c r="D1414" s="329" t="s">
        <v>1557</v>
      </c>
      <c r="E1414" s="330"/>
      <c r="F1414" s="59" t="s">
        <v>1616</v>
      </c>
      <c r="G1414" s="323" t="s">
        <v>1820</v>
      </c>
      <c r="H1414" s="59" t="s">
        <v>12</v>
      </c>
      <c r="I1414" s="331">
        <v>11</v>
      </c>
      <c r="J1414" s="332"/>
      <c r="K1414" s="332">
        <v>35</v>
      </c>
      <c r="L1414" s="332"/>
      <c r="M1414" s="332"/>
      <c r="N1414" s="332"/>
      <c r="O1414" s="333"/>
      <c r="P1414" s="333"/>
      <c r="Q1414" s="333">
        <v>11</v>
      </c>
      <c r="R1414" s="333"/>
      <c r="S1414" s="334"/>
    </row>
    <row r="1415" spans="1:19" ht="15" customHeight="1">
      <c r="A1415" s="561">
        <f t="shared" si="31"/>
        <v>1415</v>
      </c>
      <c r="B1415" s="58">
        <v>414</v>
      </c>
      <c r="C1415" s="328" t="s">
        <v>1419</v>
      </c>
      <c r="D1415" s="329" t="s">
        <v>1557</v>
      </c>
      <c r="E1415" s="330"/>
      <c r="F1415" s="59" t="s">
        <v>1617</v>
      </c>
      <c r="G1415" s="323" t="s">
        <v>1909</v>
      </c>
      <c r="H1415" s="59" t="s">
        <v>12</v>
      </c>
      <c r="I1415" s="331">
        <v>30</v>
      </c>
      <c r="J1415" s="332"/>
      <c r="K1415" s="332">
        <v>69</v>
      </c>
      <c r="L1415" s="332"/>
      <c r="M1415" s="332"/>
      <c r="N1415" s="332"/>
      <c r="O1415" s="333"/>
      <c r="P1415" s="333"/>
      <c r="Q1415" s="333">
        <v>30</v>
      </c>
      <c r="R1415" s="333"/>
      <c r="S1415" s="334"/>
    </row>
    <row r="1416" spans="1:19" ht="15" customHeight="1">
      <c r="A1416" s="561">
        <f t="shared" si="31"/>
        <v>1416</v>
      </c>
      <c r="B1416" s="58">
        <v>308</v>
      </c>
      <c r="C1416" s="328" t="s">
        <v>1419</v>
      </c>
      <c r="D1416" s="329" t="s">
        <v>1411</v>
      </c>
      <c r="E1416" s="330"/>
      <c r="F1416" s="59" t="s">
        <v>70</v>
      </c>
      <c r="G1416" s="323" t="s">
        <v>1821</v>
      </c>
      <c r="H1416" s="59" t="s">
        <v>109</v>
      </c>
      <c r="I1416" s="331">
        <v>6</v>
      </c>
      <c r="J1416" s="332">
        <v>2</v>
      </c>
      <c r="K1416" s="332">
        <v>38</v>
      </c>
      <c r="L1416" s="332"/>
      <c r="M1416" s="332"/>
      <c r="N1416" s="332"/>
      <c r="O1416" s="333"/>
      <c r="P1416" s="333"/>
      <c r="Q1416" s="333">
        <v>6</v>
      </c>
      <c r="R1416" s="333"/>
      <c r="S1416" s="334"/>
    </row>
    <row r="1417" spans="1:19" ht="15" customHeight="1">
      <c r="A1417" s="561">
        <f t="shared" si="31"/>
        <v>1417</v>
      </c>
      <c r="B1417" s="58">
        <v>308</v>
      </c>
      <c r="C1417" s="328" t="s">
        <v>1419</v>
      </c>
      <c r="D1417" s="329" t="s">
        <v>1411</v>
      </c>
      <c r="E1417" s="330"/>
      <c r="F1417" s="59" t="s">
        <v>1586</v>
      </c>
      <c r="G1417" s="323" t="s">
        <v>14</v>
      </c>
      <c r="H1417" s="59" t="s">
        <v>109</v>
      </c>
      <c r="I1417" s="331">
        <v>11</v>
      </c>
      <c r="J1417" s="332"/>
      <c r="K1417" s="332">
        <v>46</v>
      </c>
      <c r="L1417" s="332"/>
      <c r="M1417" s="332"/>
      <c r="N1417" s="332"/>
      <c r="O1417" s="333"/>
      <c r="P1417" s="333"/>
      <c r="Q1417" s="333">
        <v>11</v>
      </c>
      <c r="R1417" s="333"/>
      <c r="S1417" s="334"/>
    </row>
    <row r="1418" spans="1:19" ht="15" customHeight="1">
      <c r="A1418" s="561">
        <f t="shared" si="31"/>
        <v>1418</v>
      </c>
      <c r="B1418" s="58">
        <v>308</v>
      </c>
      <c r="C1418" s="328" t="s">
        <v>1419</v>
      </c>
      <c r="D1418" s="329" t="s">
        <v>1411</v>
      </c>
      <c r="E1418" s="330"/>
      <c r="F1418" s="59" t="s">
        <v>1598</v>
      </c>
      <c r="G1418" s="323"/>
      <c r="H1418" s="59" t="s">
        <v>1327</v>
      </c>
      <c r="I1418" s="331">
        <v>32</v>
      </c>
      <c r="J1418" s="332"/>
      <c r="K1418" s="332"/>
      <c r="L1418" s="332"/>
      <c r="M1418" s="332"/>
      <c r="N1418" s="332"/>
      <c r="O1418" s="333"/>
      <c r="P1418" s="333"/>
      <c r="Q1418" s="333"/>
      <c r="R1418" s="333"/>
      <c r="S1418" s="334"/>
    </row>
    <row r="1419" spans="1:19" ht="15" customHeight="1">
      <c r="A1419" s="561">
        <f t="shared" si="31"/>
        <v>1419</v>
      </c>
      <c r="B1419" s="58">
        <v>308</v>
      </c>
      <c r="C1419" s="328" t="s">
        <v>1419</v>
      </c>
      <c r="D1419" s="329" t="s">
        <v>1411</v>
      </c>
      <c r="E1419" s="330"/>
      <c r="F1419" s="59" t="s">
        <v>1578</v>
      </c>
      <c r="G1419" s="323" t="s">
        <v>1823</v>
      </c>
      <c r="H1419" s="59" t="s">
        <v>1055</v>
      </c>
      <c r="I1419" s="331">
        <v>5</v>
      </c>
      <c r="J1419" s="332"/>
      <c r="K1419" s="332"/>
      <c r="L1419" s="332"/>
      <c r="M1419" s="332"/>
      <c r="N1419" s="332"/>
      <c r="O1419" s="333"/>
      <c r="P1419" s="333"/>
      <c r="Q1419" s="333"/>
      <c r="R1419" s="333"/>
      <c r="S1419" s="334"/>
    </row>
    <row r="1420" spans="1:19" ht="15" customHeight="1">
      <c r="A1420" s="561">
        <f t="shared" si="31"/>
        <v>1420</v>
      </c>
      <c r="B1420" s="58">
        <v>309</v>
      </c>
      <c r="C1420" s="328" t="s">
        <v>1415</v>
      </c>
      <c r="D1420" s="329" t="s">
        <v>1411</v>
      </c>
      <c r="E1420" s="330"/>
      <c r="F1420" s="59" t="s">
        <v>1563</v>
      </c>
      <c r="G1420" s="323" t="s">
        <v>15</v>
      </c>
      <c r="H1420" s="59" t="s">
        <v>68</v>
      </c>
      <c r="I1420" s="331">
        <v>41</v>
      </c>
      <c r="J1420" s="332" t="s">
        <v>1602</v>
      </c>
      <c r="K1420" s="332"/>
      <c r="L1420" s="332"/>
      <c r="M1420" s="332"/>
      <c r="N1420" s="332"/>
      <c r="O1420" s="333"/>
      <c r="P1420" s="333"/>
      <c r="Q1420" s="333"/>
      <c r="R1420" s="333"/>
      <c r="S1420" s="334"/>
    </row>
    <row r="1421" spans="1:19" ht="15" customHeight="1">
      <c r="A1421" s="561">
        <f t="shared" si="31"/>
        <v>1421</v>
      </c>
      <c r="B1421" s="58">
        <v>309</v>
      </c>
      <c r="C1421" s="328" t="s">
        <v>1415</v>
      </c>
      <c r="D1421" s="329" t="s">
        <v>1411</v>
      </c>
      <c r="E1421" s="330"/>
      <c r="F1421" s="59" t="s">
        <v>1564</v>
      </c>
      <c r="G1421" s="323" t="s">
        <v>1885</v>
      </c>
      <c r="H1421" s="59" t="s">
        <v>1591</v>
      </c>
      <c r="I1421" s="331">
        <v>496</v>
      </c>
      <c r="J1421" s="332"/>
      <c r="K1421" s="332"/>
      <c r="L1421" s="332"/>
      <c r="M1421" s="332"/>
      <c r="N1421" s="332"/>
      <c r="O1421" s="333"/>
      <c r="P1421" s="333"/>
      <c r="Q1421" s="333"/>
      <c r="R1421" s="333"/>
      <c r="S1421" s="334"/>
    </row>
    <row r="1422" spans="1:19" ht="15" customHeight="1">
      <c r="A1422" s="561">
        <f t="shared" si="31"/>
        <v>1422</v>
      </c>
      <c r="B1422" s="58">
        <v>309</v>
      </c>
      <c r="C1422" s="328" t="s">
        <v>1415</v>
      </c>
      <c r="D1422" s="329" t="s">
        <v>1411</v>
      </c>
      <c r="E1422" s="330"/>
      <c r="F1422" s="59" t="s">
        <v>1592</v>
      </c>
      <c r="G1422" s="323" t="s">
        <v>1885</v>
      </c>
      <c r="H1422" s="59" t="s">
        <v>1593</v>
      </c>
      <c r="I1422" s="331">
        <v>531</v>
      </c>
      <c r="J1422" s="332"/>
      <c r="K1422" s="332"/>
      <c r="L1422" s="332"/>
      <c r="M1422" s="332"/>
      <c r="N1422" s="332"/>
      <c r="O1422" s="333"/>
      <c r="P1422" s="333"/>
      <c r="Q1422" s="333"/>
      <c r="R1422" s="333"/>
      <c r="S1422" s="334"/>
    </row>
    <row r="1423" spans="1:19" ht="15" customHeight="1">
      <c r="A1423" s="561">
        <f t="shared" si="31"/>
        <v>1423</v>
      </c>
      <c r="B1423" s="58">
        <v>309</v>
      </c>
      <c r="C1423" s="328" t="s">
        <v>1415</v>
      </c>
      <c r="D1423" s="329" t="s">
        <v>1411</v>
      </c>
      <c r="E1423" s="330"/>
      <c r="F1423" s="59" t="s">
        <v>1618</v>
      </c>
      <c r="G1423" s="323" t="s">
        <v>1885</v>
      </c>
      <c r="H1423" s="59" t="s">
        <v>12</v>
      </c>
      <c r="I1423" s="331">
        <v>199</v>
      </c>
      <c r="J1423" s="332"/>
      <c r="K1423" s="332"/>
      <c r="L1423" s="332"/>
      <c r="M1423" s="332"/>
      <c r="N1423" s="332"/>
      <c r="O1423" s="333"/>
      <c r="P1423" s="333"/>
      <c r="Q1423" s="333"/>
      <c r="R1423" s="333"/>
      <c r="S1423" s="334"/>
    </row>
    <row r="1424" spans="1:19" ht="15" customHeight="1">
      <c r="A1424" s="561">
        <f t="shared" si="31"/>
        <v>1424</v>
      </c>
      <c r="B1424" s="58">
        <v>309</v>
      </c>
      <c r="C1424" s="328" t="s">
        <v>1415</v>
      </c>
      <c r="D1424" s="329" t="s">
        <v>1411</v>
      </c>
      <c r="E1424" s="330"/>
      <c r="F1424" s="59" t="s">
        <v>1595</v>
      </c>
      <c r="G1424" s="323" t="s">
        <v>1896</v>
      </c>
      <c r="H1424" s="59" t="s">
        <v>176</v>
      </c>
      <c r="I1424" s="331">
        <v>1</v>
      </c>
      <c r="J1424" s="332"/>
      <c r="K1424" s="332"/>
      <c r="L1424" s="332"/>
      <c r="M1424" s="332">
        <v>22</v>
      </c>
      <c r="N1424" s="332">
        <v>17</v>
      </c>
      <c r="O1424" s="333"/>
      <c r="P1424" s="333"/>
      <c r="Q1424" s="333"/>
      <c r="R1424" s="333">
        <v>9</v>
      </c>
      <c r="S1424" s="334"/>
    </row>
    <row r="1425" spans="1:19" ht="15" customHeight="1">
      <c r="A1425" s="561">
        <f t="shared" si="31"/>
        <v>1425</v>
      </c>
      <c r="B1425" s="58">
        <v>309</v>
      </c>
      <c r="C1425" s="328" t="s">
        <v>1415</v>
      </c>
      <c r="D1425" s="329" t="s">
        <v>1411</v>
      </c>
      <c r="E1425" s="330"/>
      <c r="F1425" s="59" t="s">
        <v>1595</v>
      </c>
      <c r="G1425" s="323" t="s">
        <v>1896</v>
      </c>
      <c r="H1425" s="59" t="s">
        <v>176</v>
      </c>
      <c r="I1425" s="331">
        <v>8</v>
      </c>
      <c r="J1425" s="332"/>
      <c r="K1425" s="332"/>
      <c r="L1425" s="332"/>
      <c r="M1425" s="332">
        <v>22</v>
      </c>
      <c r="N1425" s="332">
        <v>17</v>
      </c>
      <c r="O1425" s="333"/>
      <c r="P1425" s="333"/>
      <c r="Q1425" s="333"/>
      <c r="R1425" s="333">
        <v>9</v>
      </c>
      <c r="S1425" s="334"/>
    </row>
    <row r="1426" spans="1:19" ht="15" customHeight="1">
      <c r="A1426" s="561">
        <f t="shared" si="31"/>
        <v>1426</v>
      </c>
      <c r="B1426" s="58">
        <v>309</v>
      </c>
      <c r="C1426" s="328" t="s">
        <v>1415</v>
      </c>
      <c r="D1426" s="329" t="s">
        <v>1411</v>
      </c>
      <c r="E1426" s="330"/>
      <c r="F1426" s="59" t="s">
        <v>18</v>
      </c>
      <c r="G1426" s="323" t="s">
        <v>1888</v>
      </c>
      <c r="H1426" s="59" t="s">
        <v>1324</v>
      </c>
      <c r="I1426" s="331">
        <v>33</v>
      </c>
      <c r="J1426" s="332"/>
      <c r="K1426" s="332"/>
      <c r="L1426" s="332"/>
      <c r="M1426" s="332">
        <v>18</v>
      </c>
      <c r="N1426" s="332"/>
      <c r="O1426" s="333"/>
      <c r="P1426" s="333"/>
      <c r="Q1426" s="333"/>
      <c r="R1426" s="333"/>
      <c r="S1426" s="334"/>
    </row>
    <row r="1427" spans="1:19" ht="15" customHeight="1">
      <c r="A1427" s="561">
        <f t="shared" si="31"/>
        <v>1427</v>
      </c>
      <c r="B1427" s="58">
        <v>309</v>
      </c>
      <c r="C1427" s="328" t="s">
        <v>1415</v>
      </c>
      <c r="D1427" s="329" t="s">
        <v>1411</v>
      </c>
      <c r="E1427" s="330"/>
      <c r="F1427" s="59" t="s">
        <v>1619</v>
      </c>
      <c r="G1427" s="323" t="s">
        <v>16</v>
      </c>
      <c r="H1427" s="59" t="s">
        <v>1327</v>
      </c>
      <c r="I1427" s="331">
        <v>6.41</v>
      </c>
      <c r="J1427" s="332"/>
      <c r="K1427" s="332">
        <v>44</v>
      </c>
      <c r="L1427" s="332"/>
      <c r="M1427" s="332"/>
      <c r="N1427" s="332"/>
      <c r="O1427" s="333"/>
      <c r="P1427" s="333"/>
      <c r="Q1427" s="333">
        <v>6</v>
      </c>
      <c r="R1427" s="333"/>
      <c r="S1427" s="334"/>
    </row>
    <row r="1428" spans="1:19" ht="15" customHeight="1">
      <c r="A1428" s="561">
        <f t="shared" si="31"/>
        <v>1428</v>
      </c>
      <c r="B1428" s="58">
        <v>309</v>
      </c>
      <c r="C1428" s="328" t="s">
        <v>1415</v>
      </c>
      <c r="D1428" s="329" t="s">
        <v>1411</v>
      </c>
      <c r="E1428" s="330"/>
      <c r="F1428" s="59" t="s">
        <v>1565</v>
      </c>
      <c r="G1428" s="323" t="s">
        <v>1714</v>
      </c>
      <c r="H1428" s="59" t="s">
        <v>109</v>
      </c>
      <c r="I1428" s="331">
        <v>11</v>
      </c>
      <c r="J1428" s="332"/>
      <c r="K1428" s="332">
        <v>68</v>
      </c>
      <c r="L1428" s="332"/>
      <c r="M1428" s="332"/>
      <c r="N1428" s="332"/>
      <c r="O1428" s="333"/>
      <c r="P1428" s="333"/>
      <c r="Q1428" s="333">
        <v>11</v>
      </c>
      <c r="R1428" s="333"/>
      <c r="S1428" s="334"/>
    </row>
    <row r="1429" spans="1:19" ht="15" customHeight="1">
      <c r="A1429" s="561">
        <f t="shared" si="31"/>
        <v>1429</v>
      </c>
      <c r="B1429" s="58">
        <v>309</v>
      </c>
      <c r="C1429" s="328" t="s">
        <v>1415</v>
      </c>
      <c r="D1429" s="329" t="s">
        <v>1411</v>
      </c>
      <c r="E1429" s="330"/>
      <c r="F1429" s="59" t="s">
        <v>1566</v>
      </c>
      <c r="G1429" s="323" t="s">
        <v>1767</v>
      </c>
      <c r="H1429" s="59" t="s">
        <v>109</v>
      </c>
      <c r="I1429" s="331">
        <v>3</v>
      </c>
      <c r="J1429" s="332"/>
      <c r="K1429" s="332">
        <v>16</v>
      </c>
      <c r="L1429" s="332"/>
      <c r="M1429" s="332"/>
      <c r="N1429" s="332"/>
      <c r="O1429" s="333"/>
      <c r="P1429" s="333"/>
      <c r="Q1429" s="333">
        <v>3</v>
      </c>
      <c r="R1429" s="333"/>
      <c r="S1429" s="334"/>
    </row>
    <row r="1430" spans="1:19" ht="15" customHeight="1">
      <c r="A1430" s="561">
        <f t="shared" si="31"/>
        <v>1430</v>
      </c>
      <c r="B1430" s="58">
        <v>309</v>
      </c>
      <c r="C1430" s="328" t="s">
        <v>1415</v>
      </c>
      <c r="D1430" s="329" t="s">
        <v>1411</v>
      </c>
      <c r="E1430" s="330"/>
      <c r="F1430" s="59" t="s">
        <v>70</v>
      </c>
      <c r="G1430" s="323" t="s">
        <v>1821</v>
      </c>
      <c r="H1430" s="59" t="s">
        <v>109</v>
      </c>
      <c r="I1430" s="331">
        <v>6</v>
      </c>
      <c r="J1430" s="332"/>
      <c r="K1430" s="332">
        <v>52</v>
      </c>
      <c r="L1430" s="332"/>
      <c r="M1430" s="332"/>
      <c r="N1430" s="332"/>
      <c r="O1430" s="333"/>
      <c r="P1430" s="333"/>
      <c r="Q1430" s="333">
        <v>6</v>
      </c>
      <c r="R1430" s="333"/>
      <c r="S1430" s="334"/>
    </row>
    <row r="1431" spans="1:19" ht="15" customHeight="1">
      <c r="A1431" s="561">
        <f t="shared" si="31"/>
        <v>1431</v>
      </c>
      <c r="B1431" s="58">
        <v>309</v>
      </c>
      <c r="C1431" s="328" t="s">
        <v>1415</v>
      </c>
      <c r="D1431" s="329" t="s">
        <v>1411</v>
      </c>
      <c r="E1431" s="330"/>
      <c r="F1431" s="59" t="s">
        <v>1586</v>
      </c>
      <c r="G1431" s="323" t="s">
        <v>14</v>
      </c>
      <c r="H1431" s="59" t="s">
        <v>109</v>
      </c>
      <c r="I1431" s="331">
        <v>10</v>
      </c>
      <c r="J1431" s="332"/>
      <c r="K1431" s="332">
        <v>54</v>
      </c>
      <c r="L1431" s="332"/>
      <c r="M1431" s="332"/>
      <c r="N1431" s="332"/>
      <c r="O1431" s="333"/>
      <c r="P1431" s="333"/>
      <c r="Q1431" s="333">
        <v>10</v>
      </c>
      <c r="R1431" s="333"/>
      <c r="S1431" s="334"/>
    </row>
    <row r="1432" spans="1:19" ht="15" customHeight="1">
      <c r="A1432" s="561">
        <f t="shared" si="31"/>
        <v>1432</v>
      </c>
      <c r="B1432" s="58">
        <v>309</v>
      </c>
      <c r="C1432" s="328" t="s">
        <v>1415</v>
      </c>
      <c r="D1432" s="329" t="s">
        <v>1411</v>
      </c>
      <c r="E1432" s="330"/>
      <c r="F1432" s="59" t="s">
        <v>1598</v>
      </c>
      <c r="G1432" s="323"/>
      <c r="H1432" s="59" t="s">
        <v>1327</v>
      </c>
      <c r="I1432" s="331">
        <v>32</v>
      </c>
      <c r="J1432" s="332"/>
      <c r="K1432" s="332"/>
      <c r="L1432" s="332"/>
      <c r="M1432" s="332"/>
      <c r="N1432" s="332"/>
      <c r="O1432" s="333"/>
      <c r="P1432" s="333"/>
      <c r="Q1432" s="333"/>
      <c r="R1432" s="333"/>
      <c r="S1432" s="334" t="s">
        <v>1600</v>
      </c>
    </row>
    <row r="1433" spans="1:19" ht="15" customHeight="1">
      <c r="A1433" s="561">
        <f t="shared" si="31"/>
        <v>1433</v>
      </c>
      <c r="B1433" s="58">
        <v>309</v>
      </c>
      <c r="C1433" s="328" t="s">
        <v>1415</v>
      </c>
      <c r="D1433" s="329" t="s">
        <v>1411</v>
      </c>
      <c r="E1433" s="330"/>
      <c r="F1433" s="59" t="s">
        <v>1578</v>
      </c>
      <c r="G1433" s="323" t="s">
        <v>1915</v>
      </c>
      <c r="H1433" s="59" t="s">
        <v>1055</v>
      </c>
      <c r="I1433" s="331">
        <v>5</v>
      </c>
      <c r="J1433" s="332"/>
      <c r="K1433" s="332"/>
      <c r="L1433" s="332"/>
      <c r="M1433" s="332"/>
      <c r="N1433" s="332"/>
      <c r="O1433" s="333"/>
      <c r="P1433" s="333"/>
      <c r="Q1433" s="333"/>
      <c r="R1433" s="333"/>
      <c r="S1433" s="334"/>
    </row>
    <row r="1434" spans="1:19" ht="15" customHeight="1">
      <c r="A1434" s="561">
        <f t="shared" si="31"/>
        <v>1434</v>
      </c>
      <c r="B1434" s="58">
        <v>310</v>
      </c>
      <c r="C1434" s="328" t="s">
        <v>1416</v>
      </c>
      <c r="D1434" s="329" t="s">
        <v>1411</v>
      </c>
      <c r="E1434" s="330"/>
      <c r="F1434" s="59" t="s">
        <v>1563</v>
      </c>
      <c r="G1434" s="323" t="s">
        <v>15</v>
      </c>
      <c r="H1434" s="59" t="s">
        <v>68</v>
      </c>
      <c r="I1434" s="331">
        <v>50</v>
      </c>
      <c r="J1434" s="332" t="s">
        <v>1602</v>
      </c>
      <c r="K1434" s="332"/>
      <c r="L1434" s="332"/>
      <c r="M1434" s="332"/>
      <c r="N1434" s="332"/>
      <c r="O1434" s="333"/>
      <c r="P1434" s="333"/>
      <c r="Q1434" s="333"/>
      <c r="R1434" s="333"/>
      <c r="S1434" s="334"/>
    </row>
    <row r="1435" spans="1:19" ht="15" customHeight="1">
      <c r="A1435" s="561">
        <f t="shared" si="31"/>
        <v>1435</v>
      </c>
      <c r="B1435" s="58">
        <v>310</v>
      </c>
      <c r="C1435" s="328" t="s">
        <v>1416</v>
      </c>
      <c r="D1435" s="329" t="s">
        <v>1411</v>
      </c>
      <c r="E1435" s="330"/>
      <c r="F1435" s="59" t="s">
        <v>1564</v>
      </c>
      <c r="G1435" s="323" t="s">
        <v>1885</v>
      </c>
      <c r="H1435" s="59" t="s">
        <v>1591</v>
      </c>
      <c r="I1435" s="331">
        <v>790</v>
      </c>
      <c r="J1435" s="332"/>
      <c r="K1435" s="332"/>
      <c r="L1435" s="332"/>
      <c r="M1435" s="332"/>
      <c r="N1435" s="332"/>
      <c r="O1435" s="333"/>
      <c r="P1435" s="333"/>
      <c r="Q1435" s="333"/>
      <c r="R1435" s="333"/>
      <c r="S1435" s="334"/>
    </row>
    <row r="1436" spans="1:19" ht="15" customHeight="1">
      <c r="A1436" s="561">
        <f t="shared" si="31"/>
        <v>1436</v>
      </c>
      <c r="B1436" s="58">
        <v>310</v>
      </c>
      <c r="C1436" s="328" t="s">
        <v>1416</v>
      </c>
      <c r="D1436" s="329" t="s">
        <v>1411</v>
      </c>
      <c r="E1436" s="330"/>
      <c r="F1436" s="59" t="s">
        <v>1620</v>
      </c>
      <c r="G1436" s="323" t="s">
        <v>1885</v>
      </c>
      <c r="H1436" s="59" t="s">
        <v>1593</v>
      </c>
      <c r="I1436" s="331">
        <v>345</v>
      </c>
      <c r="J1436" s="332"/>
      <c r="K1436" s="332"/>
      <c r="L1436" s="332"/>
      <c r="M1436" s="332"/>
      <c r="N1436" s="332"/>
      <c r="O1436" s="333"/>
      <c r="P1436" s="333"/>
      <c r="Q1436" s="333"/>
      <c r="R1436" s="333"/>
      <c r="S1436" s="334"/>
    </row>
    <row r="1437" spans="1:19" ht="15" customHeight="1">
      <c r="A1437" s="561">
        <f t="shared" si="31"/>
        <v>1437</v>
      </c>
      <c r="B1437" s="58">
        <v>310</v>
      </c>
      <c r="C1437" s="328" t="s">
        <v>1416</v>
      </c>
      <c r="D1437" s="329" t="s">
        <v>1411</v>
      </c>
      <c r="E1437" s="330"/>
      <c r="F1437" s="59" t="s">
        <v>1594</v>
      </c>
      <c r="G1437" s="323" t="s">
        <v>1885</v>
      </c>
      <c r="H1437" s="59" t="s">
        <v>12</v>
      </c>
      <c r="I1437" s="331">
        <v>201</v>
      </c>
      <c r="J1437" s="332"/>
      <c r="K1437" s="332"/>
      <c r="L1437" s="332"/>
      <c r="M1437" s="332"/>
      <c r="N1437" s="332"/>
      <c r="O1437" s="333"/>
      <c r="P1437" s="333"/>
      <c r="Q1437" s="333"/>
      <c r="R1437" s="333"/>
      <c r="S1437" s="334"/>
    </row>
    <row r="1438" spans="1:19" ht="15" customHeight="1">
      <c r="A1438" s="561">
        <f t="shared" si="31"/>
        <v>1438</v>
      </c>
      <c r="B1438" s="58">
        <v>310</v>
      </c>
      <c r="C1438" s="328" t="s">
        <v>1416</v>
      </c>
      <c r="D1438" s="329" t="s">
        <v>1411</v>
      </c>
      <c r="E1438" s="330"/>
      <c r="F1438" s="59" t="s">
        <v>1595</v>
      </c>
      <c r="G1438" s="323" t="s">
        <v>1896</v>
      </c>
      <c r="H1438" s="59" t="s">
        <v>176</v>
      </c>
      <c r="I1438" s="331">
        <v>1</v>
      </c>
      <c r="J1438" s="332"/>
      <c r="K1438" s="332"/>
      <c r="L1438" s="332"/>
      <c r="M1438" s="332">
        <v>22</v>
      </c>
      <c r="N1438" s="332">
        <v>17</v>
      </c>
      <c r="O1438" s="333"/>
      <c r="P1438" s="333"/>
      <c r="Q1438" s="333"/>
      <c r="R1438" s="333">
        <v>9</v>
      </c>
      <c r="S1438" s="334"/>
    </row>
    <row r="1439" spans="1:19" ht="15" customHeight="1">
      <c r="A1439" s="561">
        <f t="shared" si="31"/>
        <v>1439</v>
      </c>
      <c r="B1439" s="58">
        <v>310</v>
      </c>
      <c r="C1439" s="328" t="s">
        <v>1416</v>
      </c>
      <c r="D1439" s="329" t="s">
        <v>1411</v>
      </c>
      <c r="E1439" s="330"/>
      <c r="F1439" s="59" t="s">
        <v>1595</v>
      </c>
      <c r="G1439" s="323" t="s">
        <v>1896</v>
      </c>
      <c r="H1439" s="59" t="s">
        <v>176</v>
      </c>
      <c r="I1439" s="331">
        <v>8</v>
      </c>
      <c r="J1439" s="332"/>
      <c r="K1439" s="332"/>
      <c r="L1439" s="332"/>
      <c r="M1439" s="332">
        <v>22</v>
      </c>
      <c r="N1439" s="332">
        <v>17</v>
      </c>
      <c r="O1439" s="333"/>
      <c r="P1439" s="333"/>
      <c r="Q1439" s="333"/>
      <c r="R1439" s="333">
        <v>9</v>
      </c>
      <c r="S1439" s="334"/>
    </row>
    <row r="1440" spans="1:19" ht="15" customHeight="1">
      <c r="A1440" s="561">
        <f t="shared" si="31"/>
        <v>1440</v>
      </c>
      <c r="B1440" s="58">
        <v>310</v>
      </c>
      <c r="C1440" s="328" t="s">
        <v>1416</v>
      </c>
      <c r="D1440" s="329" t="s">
        <v>1411</v>
      </c>
      <c r="E1440" s="330"/>
      <c r="F1440" s="59" t="s">
        <v>18</v>
      </c>
      <c r="G1440" s="323" t="s">
        <v>1888</v>
      </c>
      <c r="H1440" s="59" t="s">
        <v>1324</v>
      </c>
      <c r="I1440" s="331">
        <v>33</v>
      </c>
      <c r="J1440" s="332"/>
      <c r="K1440" s="332"/>
      <c r="L1440" s="332"/>
      <c r="M1440" s="332">
        <v>18</v>
      </c>
      <c r="N1440" s="332"/>
      <c r="O1440" s="333"/>
      <c r="P1440" s="333"/>
      <c r="Q1440" s="333"/>
      <c r="R1440" s="333"/>
      <c r="S1440" s="334"/>
    </row>
    <row r="1441" spans="1:19" ht="15" customHeight="1">
      <c r="A1441" s="561">
        <f t="shared" si="31"/>
        <v>1441</v>
      </c>
      <c r="B1441" s="58">
        <v>310</v>
      </c>
      <c r="C1441" s="328" t="s">
        <v>1416</v>
      </c>
      <c r="D1441" s="329" t="s">
        <v>1411</v>
      </c>
      <c r="E1441" s="330"/>
      <c r="F1441" s="59" t="s">
        <v>20</v>
      </c>
      <c r="G1441" s="323" t="s">
        <v>16</v>
      </c>
      <c r="H1441" s="59" t="s">
        <v>109</v>
      </c>
      <c r="I1441" s="331">
        <v>6.41</v>
      </c>
      <c r="J1441" s="332"/>
      <c r="K1441" s="332">
        <v>34</v>
      </c>
      <c r="L1441" s="332"/>
      <c r="M1441" s="332"/>
      <c r="N1441" s="332"/>
      <c r="O1441" s="333"/>
      <c r="P1441" s="333"/>
      <c r="Q1441" s="333">
        <v>6</v>
      </c>
      <c r="R1441" s="333"/>
      <c r="S1441" s="334"/>
    </row>
    <row r="1442" spans="1:19" ht="15" customHeight="1">
      <c r="A1442" s="561">
        <f t="shared" si="31"/>
        <v>1442</v>
      </c>
      <c r="B1442" s="58">
        <v>310</v>
      </c>
      <c r="C1442" s="328" t="s">
        <v>1416</v>
      </c>
      <c r="D1442" s="329" t="s">
        <v>1411</v>
      </c>
      <c r="E1442" s="330"/>
      <c r="F1442" s="59" t="s">
        <v>1621</v>
      </c>
      <c r="G1442" s="323" t="s">
        <v>1715</v>
      </c>
      <c r="H1442" s="59" t="s">
        <v>109</v>
      </c>
      <c r="I1442" s="331">
        <v>13</v>
      </c>
      <c r="J1442" s="332"/>
      <c r="K1442" s="332">
        <v>63</v>
      </c>
      <c r="L1442" s="332"/>
      <c r="M1442" s="332"/>
      <c r="N1442" s="332"/>
      <c r="O1442" s="333"/>
      <c r="P1442" s="333"/>
      <c r="Q1442" s="333">
        <v>13</v>
      </c>
      <c r="R1442" s="333"/>
      <c r="S1442" s="334"/>
    </row>
    <row r="1443" spans="1:19" ht="15" customHeight="1">
      <c r="A1443" s="561">
        <f t="shared" si="31"/>
        <v>1443</v>
      </c>
      <c r="B1443" s="58">
        <v>310</v>
      </c>
      <c r="C1443" s="328" t="s">
        <v>1416</v>
      </c>
      <c r="D1443" s="329" t="s">
        <v>1411</v>
      </c>
      <c r="E1443" s="330"/>
      <c r="F1443" s="59" t="s">
        <v>1565</v>
      </c>
      <c r="G1443" s="323" t="s">
        <v>1714</v>
      </c>
      <c r="H1443" s="59" t="s">
        <v>109</v>
      </c>
      <c r="I1443" s="331">
        <v>11</v>
      </c>
      <c r="J1443" s="332"/>
      <c r="K1443" s="332">
        <v>64</v>
      </c>
      <c r="L1443" s="332"/>
      <c r="M1443" s="332"/>
      <c r="N1443" s="332"/>
      <c r="O1443" s="333"/>
      <c r="P1443" s="333"/>
      <c r="Q1443" s="333">
        <v>11</v>
      </c>
      <c r="R1443" s="333"/>
      <c r="S1443" s="334"/>
    </row>
    <row r="1444" spans="1:19" ht="15" customHeight="1">
      <c r="A1444" s="561">
        <f t="shared" si="31"/>
        <v>1444</v>
      </c>
      <c r="B1444" s="58">
        <v>310</v>
      </c>
      <c r="C1444" s="328" t="s">
        <v>1416</v>
      </c>
      <c r="D1444" s="329" t="s">
        <v>1411</v>
      </c>
      <c r="E1444" s="330"/>
      <c r="F1444" s="59" t="s">
        <v>1566</v>
      </c>
      <c r="G1444" s="323" t="s">
        <v>1767</v>
      </c>
      <c r="H1444" s="59" t="s">
        <v>109</v>
      </c>
      <c r="I1444" s="331">
        <v>2</v>
      </c>
      <c r="J1444" s="332"/>
      <c r="K1444" s="332">
        <v>16</v>
      </c>
      <c r="L1444" s="332"/>
      <c r="M1444" s="332"/>
      <c r="N1444" s="332"/>
      <c r="O1444" s="333"/>
      <c r="P1444" s="333"/>
      <c r="Q1444" s="333">
        <v>2</v>
      </c>
      <c r="R1444" s="333"/>
      <c r="S1444" s="334"/>
    </row>
    <row r="1445" spans="1:19" ht="15" customHeight="1">
      <c r="A1445" s="561">
        <f t="shared" si="31"/>
        <v>1445</v>
      </c>
      <c r="B1445" s="58">
        <v>310</v>
      </c>
      <c r="C1445" s="328" t="s">
        <v>1416</v>
      </c>
      <c r="D1445" s="329" t="s">
        <v>1411</v>
      </c>
      <c r="E1445" s="330"/>
      <c r="F1445" s="59" t="s">
        <v>70</v>
      </c>
      <c r="G1445" s="323" t="s">
        <v>1821</v>
      </c>
      <c r="H1445" s="59" t="s">
        <v>109</v>
      </c>
      <c r="I1445" s="331">
        <v>6</v>
      </c>
      <c r="J1445" s="332">
        <v>3</v>
      </c>
      <c r="K1445" s="332">
        <v>42</v>
      </c>
      <c r="L1445" s="332"/>
      <c r="M1445" s="332"/>
      <c r="N1445" s="332"/>
      <c r="O1445" s="333"/>
      <c r="P1445" s="333"/>
      <c r="Q1445" s="333">
        <v>6</v>
      </c>
      <c r="R1445" s="333"/>
      <c r="S1445" s="334"/>
    </row>
    <row r="1446" spans="1:19" ht="15" customHeight="1">
      <c r="A1446" s="561">
        <f t="shared" si="31"/>
        <v>1446</v>
      </c>
      <c r="B1446" s="58">
        <v>310</v>
      </c>
      <c r="C1446" s="328" t="s">
        <v>1416</v>
      </c>
      <c r="D1446" s="329" t="s">
        <v>1411</v>
      </c>
      <c r="E1446" s="330"/>
      <c r="F1446" s="59" t="s">
        <v>1586</v>
      </c>
      <c r="G1446" s="323" t="s">
        <v>14</v>
      </c>
      <c r="H1446" s="59" t="s">
        <v>109</v>
      </c>
      <c r="I1446" s="331">
        <v>11</v>
      </c>
      <c r="J1446" s="332"/>
      <c r="K1446" s="332">
        <v>52</v>
      </c>
      <c r="L1446" s="332"/>
      <c r="M1446" s="332"/>
      <c r="N1446" s="332"/>
      <c r="O1446" s="333"/>
      <c r="P1446" s="333"/>
      <c r="Q1446" s="333">
        <v>11</v>
      </c>
      <c r="R1446" s="333"/>
      <c r="S1446" s="334"/>
    </row>
    <row r="1447" spans="1:19" ht="15" customHeight="1">
      <c r="A1447" s="561">
        <f t="shared" si="31"/>
        <v>1447</v>
      </c>
      <c r="B1447" s="58">
        <v>310</v>
      </c>
      <c r="C1447" s="328" t="s">
        <v>1416</v>
      </c>
      <c r="D1447" s="329" t="s">
        <v>1411</v>
      </c>
      <c r="E1447" s="330"/>
      <c r="F1447" s="59" t="s">
        <v>1598</v>
      </c>
      <c r="G1447" s="323"/>
      <c r="H1447" s="59" t="s">
        <v>1327</v>
      </c>
      <c r="I1447" s="331">
        <v>32</v>
      </c>
      <c r="J1447" s="332"/>
      <c r="K1447" s="332"/>
      <c r="L1447" s="332"/>
      <c r="M1447" s="332"/>
      <c r="N1447" s="332"/>
      <c r="O1447" s="333"/>
      <c r="P1447" s="333"/>
      <c r="Q1447" s="333"/>
      <c r="R1447" s="333"/>
      <c r="S1447" s="334"/>
    </row>
    <row r="1448" spans="1:19" ht="15" customHeight="1">
      <c r="A1448" s="561">
        <f t="shared" si="31"/>
        <v>1448</v>
      </c>
      <c r="B1448" s="58">
        <v>310</v>
      </c>
      <c r="C1448" s="328" t="s">
        <v>1416</v>
      </c>
      <c r="D1448" s="329" t="s">
        <v>1411</v>
      </c>
      <c r="E1448" s="330"/>
      <c r="F1448" s="59" t="s">
        <v>1578</v>
      </c>
      <c r="G1448" s="323"/>
      <c r="H1448" s="59" t="s">
        <v>1055</v>
      </c>
      <c r="I1448" s="331">
        <v>5</v>
      </c>
      <c r="J1448" s="332"/>
      <c r="K1448" s="332"/>
      <c r="L1448" s="332"/>
      <c r="M1448" s="332"/>
      <c r="N1448" s="332"/>
      <c r="O1448" s="333"/>
      <c r="P1448" s="333"/>
      <c r="Q1448" s="333"/>
      <c r="R1448" s="333"/>
      <c r="S1448" s="334"/>
    </row>
    <row r="1449" spans="1:19" ht="15" customHeight="1">
      <c r="A1449" s="561">
        <f t="shared" si="31"/>
        <v>1449</v>
      </c>
      <c r="B1449" s="58">
        <v>311</v>
      </c>
      <c r="C1449" s="328" t="s">
        <v>1413</v>
      </c>
      <c r="D1449" s="329" t="s">
        <v>1411</v>
      </c>
      <c r="E1449" s="330"/>
      <c r="F1449" s="59" t="s">
        <v>1563</v>
      </c>
      <c r="G1449" s="323" t="s">
        <v>1916</v>
      </c>
      <c r="H1449" s="59" t="s">
        <v>1622</v>
      </c>
      <c r="I1449" s="331">
        <v>88</v>
      </c>
      <c r="J1449" s="332"/>
      <c r="K1449" s="332"/>
      <c r="L1449" s="332"/>
      <c r="M1449" s="332"/>
      <c r="N1449" s="332"/>
      <c r="O1449" s="333"/>
      <c r="P1449" s="333"/>
      <c r="Q1449" s="333"/>
      <c r="R1449" s="333"/>
      <c r="S1449" s="334"/>
    </row>
    <row r="1450" spans="1:19" ht="15" customHeight="1">
      <c r="A1450" s="561">
        <f t="shared" si="31"/>
        <v>1450</v>
      </c>
      <c r="B1450" s="58">
        <v>311</v>
      </c>
      <c r="C1450" s="328" t="s">
        <v>1413</v>
      </c>
      <c r="D1450" s="329" t="s">
        <v>1411</v>
      </c>
      <c r="E1450" s="330"/>
      <c r="F1450" s="59" t="s">
        <v>1623</v>
      </c>
      <c r="G1450" s="323" t="s">
        <v>237</v>
      </c>
      <c r="H1450" s="59" t="s">
        <v>12</v>
      </c>
      <c r="I1450" s="331">
        <v>1257</v>
      </c>
      <c r="J1450" s="332"/>
      <c r="K1450" s="332"/>
      <c r="L1450" s="332"/>
      <c r="M1450" s="332"/>
      <c r="N1450" s="332"/>
      <c r="O1450" s="333"/>
      <c r="P1450" s="333"/>
      <c r="Q1450" s="333"/>
      <c r="R1450" s="333"/>
      <c r="S1450" s="334"/>
    </row>
    <row r="1451" spans="1:19" ht="15" customHeight="1">
      <c r="A1451" s="561">
        <f t="shared" si="31"/>
        <v>1451</v>
      </c>
      <c r="B1451" s="58">
        <v>311</v>
      </c>
      <c r="C1451" s="328" t="s">
        <v>1413</v>
      </c>
      <c r="D1451" s="329" t="s">
        <v>1411</v>
      </c>
      <c r="E1451" s="330"/>
      <c r="F1451" s="59" t="s">
        <v>1624</v>
      </c>
      <c r="G1451" s="323" t="s">
        <v>237</v>
      </c>
      <c r="H1451" s="59" t="s">
        <v>12</v>
      </c>
      <c r="I1451" s="331">
        <v>305</v>
      </c>
      <c r="J1451" s="332"/>
      <c r="K1451" s="332"/>
      <c r="L1451" s="332"/>
      <c r="M1451" s="332"/>
      <c r="N1451" s="332"/>
      <c r="O1451" s="333"/>
      <c r="P1451" s="333"/>
      <c r="Q1451" s="333"/>
      <c r="R1451" s="333"/>
      <c r="S1451" s="334"/>
    </row>
    <row r="1452" spans="1:19" ht="15" customHeight="1">
      <c r="A1452" s="561">
        <f t="shared" si="31"/>
        <v>1452</v>
      </c>
      <c r="B1452" s="58">
        <v>311</v>
      </c>
      <c r="C1452" s="328" t="s">
        <v>1413</v>
      </c>
      <c r="D1452" s="329" t="s">
        <v>1411</v>
      </c>
      <c r="E1452" s="330"/>
      <c r="F1452" s="59" t="s">
        <v>18</v>
      </c>
      <c r="G1452" s="323" t="s">
        <v>1917</v>
      </c>
      <c r="H1452" s="59" t="s">
        <v>1324</v>
      </c>
      <c r="I1452" s="331">
        <v>48</v>
      </c>
      <c r="J1452" s="332"/>
      <c r="K1452" s="332"/>
      <c r="L1452" s="332"/>
      <c r="M1452" s="332"/>
      <c r="N1452" s="332"/>
      <c r="O1452" s="333"/>
      <c r="P1452" s="333"/>
      <c r="Q1452" s="333"/>
      <c r="R1452" s="333"/>
      <c r="S1452" s="334"/>
    </row>
    <row r="1453" spans="1:19" ht="15" customHeight="1">
      <c r="A1453" s="561">
        <f t="shared" si="31"/>
        <v>1453</v>
      </c>
      <c r="B1453" s="58">
        <v>311</v>
      </c>
      <c r="C1453" s="328" t="s">
        <v>1413</v>
      </c>
      <c r="D1453" s="329" t="s">
        <v>1411</v>
      </c>
      <c r="E1453" s="330"/>
      <c r="F1453" s="59" t="s">
        <v>1573</v>
      </c>
      <c r="G1453" s="323"/>
      <c r="H1453" s="59" t="s">
        <v>109</v>
      </c>
      <c r="I1453" s="331">
        <v>427</v>
      </c>
      <c r="J1453" s="332"/>
      <c r="K1453" s="332"/>
      <c r="L1453" s="332"/>
      <c r="M1453" s="332"/>
      <c r="N1453" s="332"/>
      <c r="O1453" s="333"/>
      <c r="P1453" s="333"/>
      <c r="Q1453" s="333"/>
      <c r="R1453" s="333"/>
      <c r="S1453" s="334"/>
    </row>
    <row r="1454" spans="1:19" ht="15" customHeight="1">
      <c r="A1454" s="561">
        <f t="shared" si="31"/>
        <v>1454</v>
      </c>
      <c r="B1454" s="58">
        <v>311</v>
      </c>
      <c r="C1454" s="328" t="s">
        <v>1413</v>
      </c>
      <c r="D1454" s="329" t="s">
        <v>1411</v>
      </c>
      <c r="E1454" s="330"/>
      <c r="F1454" s="59" t="s">
        <v>1573</v>
      </c>
      <c r="G1454" s="323" t="s">
        <v>1918</v>
      </c>
      <c r="H1454" s="59" t="s">
        <v>176</v>
      </c>
      <c r="I1454" s="331">
        <v>7</v>
      </c>
      <c r="J1454" s="332"/>
      <c r="K1454" s="332">
        <v>15</v>
      </c>
      <c r="L1454" s="332"/>
      <c r="M1454" s="332"/>
      <c r="N1454" s="332"/>
      <c r="O1454" s="333"/>
      <c r="P1454" s="333"/>
      <c r="Q1454" s="333"/>
      <c r="R1454" s="333"/>
      <c r="S1454" s="334"/>
    </row>
    <row r="1455" spans="1:19" ht="15" customHeight="1">
      <c r="A1455" s="561">
        <f t="shared" si="31"/>
        <v>1455</v>
      </c>
      <c r="B1455" s="58">
        <v>311</v>
      </c>
      <c r="C1455" s="328" t="s">
        <v>1413</v>
      </c>
      <c r="D1455" s="329" t="s">
        <v>1411</v>
      </c>
      <c r="E1455" s="330"/>
      <c r="F1455" s="59" t="s">
        <v>1563</v>
      </c>
      <c r="G1455" s="323" t="s">
        <v>1843</v>
      </c>
      <c r="H1455" s="59" t="s">
        <v>176</v>
      </c>
      <c r="I1455" s="331">
        <v>5</v>
      </c>
      <c r="J1455" s="332"/>
      <c r="K1455" s="332"/>
      <c r="L1455" s="332"/>
      <c r="M1455" s="332"/>
      <c r="N1455" s="332"/>
      <c r="O1455" s="333"/>
      <c r="P1455" s="333"/>
      <c r="Q1455" s="333"/>
      <c r="R1455" s="333"/>
      <c r="S1455" s="334"/>
    </row>
    <row r="1456" spans="1:19" ht="15" customHeight="1">
      <c r="A1456" s="561">
        <f t="shared" si="31"/>
        <v>1456</v>
      </c>
      <c r="B1456" s="58">
        <v>311</v>
      </c>
      <c r="C1456" s="328" t="s">
        <v>1413</v>
      </c>
      <c r="D1456" s="329" t="s">
        <v>1411</v>
      </c>
      <c r="E1456" s="330"/>
      <c r="F1456" s="59" t="s">
        <v>70</v>
      </c>
      <c r="G1456" s="323" t="s">
        <v>1919</v>
      </c>
      <c r="H1456" s="59" t="s">
        <v>176</v>
      </c>
      <c r="I1456" s="331">
        <v>12</v>
      </c>
      <c r="J1456" s="332">
        <v>35</v>
      </c>
      <c r="K1456" s="332">
        <v>35</v>
      </c>
      <c r="L1456" s="332"/>
      <c r="M1456" s="332"/>
      <c r="N1456" s="332"/>
      <c r="O1456" s="333"/>
      <c r="P1456" s="333"/>
      <c r="Q1456" s="333">
        <v>12</v>
      </c>
      <c r="R1456" s="333"/>
      <c r="S1456" s="334"/>
    </row>
    <row r="1457" spans="1:19" ht="15" customHeight="1">
      <c r="A1457" s="561">
        <f t="shared" si="31"/>
        <v>1457</v>
      </c>
      <c r="B1457" s="58">
        <v>311</v>
      </c>
      <c r="C1457" s="328" t="s">
        <v>1413</v>
      </c>
      <c r="D1457" s="329" t="s">
        <v>1411</v>
      </c>
      <c r="E1457" s="330"/>
      <c r="F1457" s="59" t="s">
        <v>1611</v>
      </c>
      <c r="G1457" s="323" t="s">
        <v>1920</v>
      </c>
      <c r="H1457" s="59" t="s">
        <v>109</v>
      </c>
      <c r="I1457" s="331">
        <v>2</v>
      </c>
      <c r="J1457" s="332">
        <v>12</v>
      </c>
      <c r="K1457" s="332"/>
      <c r="L1457" s="332"/>
      <c r="M1457" s="332"/>
      <c r="N1457" s="332"/>
      <c r="O1457" s="333"/>
      <c r="P1457" s="333"/>
      <c r="Q1457" s="333">
        <v>2</v>
      </c>
      <c r="R1457" s="333"/>
      <c r="S1457" s="334"/>
    </row>
    <row r="1458" spans="1:19" ht="15" customHeight="1">
      <c r="A1458" s="561">
        <f t="shared" si="31"/>
        <v>1458</v>
      </c>
      <c r="B1458" s="58">
        <v>311</v>
      </c>
      <c r="C1458" s="328" t="s">
        <v>1413</v>
      </c>
      <c r="D1458" s="329" t="s">
        <v>1411</v>
      </c>
      <c r="E1458" s="330"/>
      <c r="F1458" s="59" t="s">
        <v>58</v>
      </c>
      <c r="G1458" s="323" t="s">
        <v>200</v>
      </c>
      <c r="H1458" s="59" t="s">
        <v>1625</v>
      </c>
      <c r="I1458" s="331">
        <v>14</v>
      </c>
      <c r="J1458" s="332"/>
      <c r="K1458" s="332">
        <v>30</v>
      </c>
      <c r="L1458" s="332"/>
      <c r="M1458" s="332"/>
      <c r="N1458" s="332"/>
      <c r="O1458" s="333"/>
      <c r="P1458" s="333"/>
      <c r="Q1458" s="333">
        <v>14</v>
      </c>
      <c r="R1458" s="333"/>
      <c r="S1458" s="334"/>
    </row>
    <row r="1459" spans="1:19" ht="15" customHeight="1">
      <c r="A1459" s="561">
        <f t="shared" si="31"/>
        <v>1459</v>
      </c>
      <c r="B1459" s="58">
        <v>311</v>
      </c>
      <c r="C1459" s="328" t="s">
        <v>1413</v>
      </c>
      <c r="D1459" s="329" t="s">
        <v>1411</v>
      </c>
      <c r="E1459" s="330"/>
      <c r="F1459" s="59" t="s">
        <v>293</v>
      </c>
      <c r="G1459" s="323" t="s">
        <v>216</v>
      </c>
      <c r="H1459" s="59" t="s">
        <v>1625</v>
      </c>
      <c r="I1459" s="331">
        <v>14</v>
      </c>
      <c r="J1459" s="332"/>
      <c r="K1459" s="332">
        <v>30</v>
      </c>
      <c r="L1459" s="332"/>
      <c r="M1459" s="332"/>
      <c r="N1459" s="332"/>
      <c r="O1459" s="333"/>
      <c r="P1459" s="333"/>
      <c r="Q1459" s="333">
        <v>14</v>
      </c>
      <c r="R1459" s="333"/>
      <c r="S1459" s="334"/>
    </row>
    <row r="1460" spans="1:19" ht="15" customHeight="1">
      <c r="A1460" s="561">
        <f t="shared" si="31"/>
        <v>1460</v>
      </c>
      <c r="B1460" s="58">
        <v>311</v>
      </c>
      <c r="C1460" s="328" t="s">
        <v>1413</v>
      </c>
      <c r="D1460" s="329" t="s">
        <v>1411</v>
      </c>
      <c r="E1460" s="330"/>
      <c r="F1460" s="59" t="s">
        <v>1614</v>
      </c>
      <c r="G1460" s="323" t="s">
        <v>1921</v>
      </c>
      <c r="H1460" s="59" t="s">
        <v>319</v>
      </c>
      <c r="I1460" s="331">
        <v>2</v>
      </c>
      <c r="J1460" s="332"/>
      <c r="K1460" s="332">
        <v>9</v>
      </c>
      <c r="L1460" s="332"/>
      <c r="M1460" s="332"/>
      <c r="N1460" s="332"/>
      <c r="O1460" s="333"/>
      <c r="P1460" s="333"/>
      <c r="Q1460" s="333">
        <v>2</v>
      </c>
      <c r="R1460" s="333"/>
      <c r="S1460" s="334"/>
    </row>
    <row r="1461" spans="1:19" ht="15" customHeight="1">
      <c r="A1461" s="561">
        <f t="shared" si="31"/>
        <v>1461</v>
      </c>
      <c r="B1461" s="58">
        <v>311</v>
      </c>
      <c r="C1461" s="328" t="s">
        <v>1413</v>
      </c>
      <c r="D1461" s="329" t="s">
        <v>1411</v>
      </c>
      <c r="E1461" s="330"/>
      <c r="F1461" s="59" t="s">
        <v>1</v>
      </c>
      <c r="G1461" s="323" t="s">
        <v>1823</v>
      </c>
      <c r="H1461" s="59" t="s">
        <v>1055</v>
      </c>
      <c r="I1461" s="331">
        <v>5</v>
      </c>
      <c r="J1461" s="332"/>
      <c r="K1461" s="332"/>
      <c r="L1461" s="332"/>
      <c r="M1461" s="332"/>
      <c r="N1461" s="332"/>
      <c r="O1461" s="333"/>
      <c r="P1461" s="333"/>
      <c r="Q1461" s="333"/>
      <c r="R1461" s="333"/>
      <c r="S1461" s="334"/>
    </row>
    <row r="1462" spans="1:19" ht="15" customHeight="1">
      <c r="A1462" s="561">
        <f t="shared" si="31"/>
        <v>1462</v>
      </c>
      <c r="B1462" s="58">
        <v>312</v>
      </c>
      <c r="C1462" s="328" t="s">
        <v>1429</v>
      </c>
      <c r="D1462" s="329" t="s">
        <v>1411</v>
      </c>
      <c r="E1462" s="330"/>
      <c r="F1462" s="59" t="s">
        <v>1563</v>
      </c>
      <c r="G1462" s="323" t="s">
        <v>15</v>
      </c>
      <c r="H1462" s="59" t="s">
        <v>68</v>
      </c>
      <c r="I1462" s="331">
        <v>86</v>
      </c>
      <c r="J1462" s="332"/>
      <c r="K1462" s="332"/>
      <c r="L1462" s="332"/>
      <c r="M1462" s="332"/>
      <c r="N1462" s="332"/>
      <c r="O1462" s="333"/>
      <c r="P1462" s="333"/>
      <c r="Q1462" s="333"/>
      <c r="R1462" s="333"/>
      <c r="S1462" s="334"/>
    </row>
    <row r="1463" spans="1:19" ht="15" customHeight="1">
      <c r="A1463" s="561">
        <f t="shared" si="31"/>
        <v>1463</v>
      </c>
      <c r="B1463" s="58">
        <v>312</v>
      </c>
      <c r="C1463" s="328" t="s">
        <v>1429</v>
      </c>
      <c r="D1463" s="329" t="s">
        <v>1411</v>
      </c>
      <c r="E1463" s="330"/>
      <c r="F1463" s="59" t="s">
        <v>1564</v>
      </c>
      <c r="G1463" s="323" t="s">
        <v>1885</v>
      </c>
      <c r="H1463" s="59" t="s">
        <v>1591</v>
      </c>
      <c r="I1463" s="331">
        <v>1090</v>
      </c>
      <c r="J1463" s="332"/>
      <c r="K1463" s="332"/>
      <c r="L1463" s="332"/>
      <c r="M1463" s="332"/>
      <c r="N1463" s="332"/>
      <c r="O1463" s="333"/>
      <c r="P1463" s="333"/>
      <c r="Q1463" s="333"/>
      <c r="R1463" s="333"/>
      <c r="S1463" s="334"/>
    </row>
    <row r="1464" spans="1:19" ht="15" customHeight="1">
      <c r="A1464" s="561">
        <f t="shared" si="31"/>
        <v>1464</v>
      </c>
      <c r="B1464" s="58">
        <v>312</v>
      </c>
      <c r="C1464" s="328" t="s">
        <v>1429</v>
      </c>
      <c r="D1464" s="329" t="s">
        <v>1411</v>
      </c>
      <c r="E1464" s="330"/>
      <c r="F1464" s="59" t="s">
        <v>1592</v>
      </c>
      <c r="G1464" s="323" t="s">
        <v>1885</v>
      </c>
      <c r="H1464" s="59" t="s">
        <v>1593</v>
      </c>
      <c r="I1464" s="331">
        <v>50</v>
      </c>
      <c r="J1464" s="332"/>
      <c r="K1464" s="332"/>
      <c r="L1464" s="332"/>
      <c r="M1464" s="332"/>
      <c r="N1464" s="332"/>
      <c r="O1464" s="333"/>
      <c r="P1464" s="333"/>
      <c r="Q1464" s="333"/>
      <c r="R1464" s="333"/>
      <c r="S1464" s="334"/>
    </row>
    <row r="1465" spans="1:19" ht="15" customHeight="1">
      <c r="A1465" s="561">
        <f t="shared" si="31"/>
        <v>1465</v>
      </c>
      <c r="B1465" s="58">
        <v>312</v>
      </c>
      <c r="C1465" s="328" t="s">
        <v>1429</v>
      </c>
      <c r="D1465" s="329" t="s">
        <v>1411</v>
      </c>
      <c r="E1465" s="330"/>
      <c r="F1465" s="59" t="s">
        <v>1594</v>
      </c>
      <c r="G1465" s="323" t="s">
        <v>1885</v>
      </c>
      <c r="H1465" s="59" t="s">
        <v>12</v>
      </c>
      <c r="I1465" s="331">
        <v>54</v>
      </c>
      <c r="J1465" s="332"/>
      <c r="K1465" s="332"/>
      <c r="L1465" s="332"/>
      <c r="M1465" s="332"/>
      <c r="N1465" s="332"/>
      <c r="O1465" s="333"/>
      <c r="P1465" s="333"/>
      <c r="Q1465" s="333"/>
      <c r="R1465" s="333"/>
      <c r="S1465" s="334"/>
    </row>
    <row r="1466" spans="1:19" ht="15" customHeight="1">
      <c r="A1466" s="561">
        <f t="shared" si="31"/>
        <v>1466</v>
      </c>
      <c r="B1466" s="58">
        <v>312</v>
      </c>
      <c r="C1466" s="328" t="s">
        <v>1429</v>
      </c>
      <c r="D1466" s="329" t="s">
        <v>1411</v>
      </c>
      <c r="E1466" s="330"/>
      <c r="F1466" s="59" t="s">
        <v>1626</v>
      </c>
      <c r="G1466" s="323">
        <v>10101</v>
      </c>
      <c r="H1466" s="59" t="s">
        <v>1327</v>
      </c>
      <c r="I1466" s="331">
        <v>140</v>
      </c>
      <c r="J1466" s="332"/>
      <c r="K1466" s="332"/>
      <c r="L1466" s="332"/>
      <c r="M1466" s="332"/>
      <c r="N1466" s="332"/>
      <c r="O1466" s="333"/>
      <c r="P1466" s="333"/>
      <c r="Q1466" s="333"/>
      <c r="R1466" s="333"/>
      <c r="S1466" s="334"/>
    </row>
    <row r="1467" spans="1:19" ht="15" customHeight="1">
      <c r="A1467" s="561">
        <f t="shared" si="31"/>
        <v>1467</v>
      </c>
      <c r="B1467" s="58">
        <v>312</v>
      </c>
      <c r="C1467" s="328" t="s">
        <v>1429</v>
      </c>
      <c r="D1467" s="329" t="s">
        <v>1411</v>
      </c>
      <c r="E1467" s="330"/>
      <c r="F1467" s="59" t="s">
        <v>71</v>
      </c>
      <c r="G1467" s="323" t="s">
        <v>16</v>
      </c>
      <c r="H1467" s="59" t="s">
        <v>1327</v>
      </c>
      <c r="I1467" s="331">
        <v>6.41</v>
      </c>
      <c r="J1467" s="332"/>
      <c r="K1467" s="332">
        <v>46</v>
      </c>
      <c r="L1467" s="332"/>
      <c r="M1467" s="332"/>
      <c r="N1467" s="332"/>
      <c r="O1467" s="333"/>
      <c r="P1467" s="333"/>
      <c r="Q1467" s="333">
        <v>6</v>
      </c>
      <c r="R1467" s="333"/>
      <c r="S1467" s="334"/>
    </row>
    <row r="1468" spans="1:19" ht="15" customHeight="1">
      <c r="A1468" s="561">
        <f t="shared" si="31"/>
        <v>1468</v>
      </c>
      <c r="B1468" s="58">
        <v>312</v>
      </c>
      <c r="C1468" s="328" t="s">
        <v>1429</v>
      </c>
      <c r="D1468" s="329" t="s">
        <v>1411</v>
      </c>
      <c r="E1468" s="330"/>
      <c r="F1468" s="59" t="s">
        <v>1621</v>
      </c>
      <c r="G1468" s="323" t="s">
        <v>1715</v>
      </c>
      <c r="H1468" s="59" t="s">
        <v>109</v>
      </c>
      <c r="I1468" s="331">
        <v>14</v>
      </c>
      <c r="J1468" s="332"/>
      <c r="K1468" s="332">
        <v>62</v>
      </c>
      <c r="L1468" s="332"/>
      <c r="M1468" s="332"/>
      <c r="N1468" s="332"/>
      <c r="O1468" s="333"/>
      <c r="P1468" s="333"/>
      <c r="Q1468" s="333">
        <v>14</v>
      </c>
      <c r="R1468" s="333"/>
      <c r="S1468" s="334"/>
    </row>
    <row r="1469" spans="1:19" ht="15" customHeight="1">
      <c r="A1469" s="561">
        <f t="shared" si="31"/>
        <v>1469</v>
      </c>
      <c r="B1469" s="58">
        <v>312</v>
      </c>
      <c r="C1469" s="328" t="s">
        <v>1429</v>
      </c>
      <c r="D1469" s="329" t="s">
        <v>1411</v>
      </c>
      <c r="E1469" s="330"/>
      <c r="F1469" s="59" t="s">
        <v>1565</v>
      </c>
      <c r="G1469" s="323" t="s">
        <v>1714</v>
      </c>
      <c r="H1469" s="59" t="s">
        <v>109</v>
      </c>
      <c r="I1469" s="331">
        <v>12</v>
      </c>
      <c r="J1469" s="332"/>
      <c r="K1469" s="332">
        <v>60</v>
      </c>
      <c r="L1469" s="332"/>
      <c r="M1469" s="332"/>
      <c r="N1469" s="332"/>
      <c r="O1469" s="333"/>
      <c r="P1469" s="333"/>
      <c r="Q1469" s="333">
        <v>12</v>
      </c>
      <c r="R1469" s="333"/>
      <c r="S1469" s="334"/>
    </row>
    <row r="1470" spans="1:19" ht="15" customHeight="1">
      <c r="A1470" s="561">
        <f t="shared" si="31"/>
        <v>1470</v>
      </c>
      <c r="B1470" s="58">
        <v>312</v>
      </c>
      <c r="C1470" s="328" t="s">
        <v>1429</v>
      </c>
      <c r="D1470" s="329" t="s">
        <v>1411</v>
      </c>
      <c r="E1470" s="330"/>
      <c r="F1470" s="59" t="s">
        <v>1566</v>
      </c>
      <c r="G1470" s="323" t="s">
        <v>1767</v>
      </c>
      <c r="H1470" s="59" t="s">
        <v>109</v>
      </c>
      <c r="I1470" s="331">
        <v>2</v>
      </c>
      <c r="J1470" s="332"/>
      <c r="K1470" s="332">
        <v>28</v>
      </c>
      <c r="L1470" s="332"/>
      <c r="M1470" s="332"/>
      <c r="N1470" s="332"/>
      <c r="O1470" s="333"/>
      <c r="P1470" s="333"/>
      <c r="Q1470" s="333">
        <v>2</v>
      </c>
      <c r="R1470" s="333"/>
      <c r="S1470" s="334"/>
    </row>
    <row r="1471" spans="1:19" ht="15" customHeight="1">
      <c r="A1471" s="561">
        <f t="shared" si="31"/>
        <v>1471</v>
      </c>
      <c r="B1471" s="58">
        <v>415</v>
      </c>
      <c r="C1471" s="328" t="s">
        <v>1429</v>
      </c>
      <c r="D1471" s="329" t="s">
        <v>1557</v>
      </c>
      <c r="E1471" s="330"/>
      <c r="F1471" s="59" t="s">
        <v>1607</v>
      </c>
      <c r="G1471" s="323" t="s">
        <v>1820</v>
      </c>
      <c r="H1471" s="59" t="s">
        <v>12</v>
      </c>
      <c r="I1471" s="331">
        <v>10</v>
      </c>
      <c r="J1471" s="332"/>
      <c r="K1471" s="332">
        <v>52</v>
      </c>
      <c r="L1471" s="332"/>
      <c r="M1471" s="332"/>
      <c r="N1471" s="332"/>
      <c r="O1471" s="333"/>
      <c r="P1471" s="333"/>
      <c r="Q1471" s="333">
        <v>10</v>
      </c>
      <c r="R1471" s="333"/>
      <c r="S1471" s="334"/>
    </row>
    <row r="1472" spans="1:19" ht="15" customHeight="1">
      <c r="A1472" s="561">
        <f t="shared" si="31"/>
        <v>1472</v>
      </c>
      <c r="B1472" s="58">
        <v>415</v>
      </c>
      <c r="C1472" s="328" t="s">
        <v>1429</v>
      </c>
      <c r="D1472" s="329" t="s">
        <v>1557</v>
      </c>
      <c r="E1472" s="330"/>
      <c r="F1472" s="59" t="s">
        <v>1627</v>
      </c>
      <c r="G1472" s="323" t="s">
        <v>1909</v>
      </c>
      <c r="H1472" s="59" t="s">
        <v>12</v>
      </c>
      <c r="I1472" s="331">
        <v>32</v>
      </c>
      <c r="J1472" s="332"/>
      <c r="K1472" s="332">
        <v>94</v>
      </c>
      <c r="L1472" s="332"/>
      <c r="M1472" s="332"/>
      <c r="N1472" s="332"/>
      <c r="O1472" s="333"/>
      <c r="P1472" s="333"/>
      <c r="Q1472" s="333">
        <v>32</v>
      </c>
      <c r="R1472" s="333"/>
      <c r="S1472" s="334"/>
    </row>
    <row r="1473" spans="1:19" ht="15" customHeight="1">
      <c r="A1473" s="561">
        <f t="shared" si="31"/>
        <v>1473</v>
      </c>
      <c r="B1473" s="58">
        <v>312</v>
      </c>
      <c r="C1473" s="328" t="s">
        <v>1429</v>
      </c>
      <c r="D1473" s="329" t="s">
        <v>1411</v>
      </c>
      <c r="E1473" s="330"/>
      <c r="F1473" s="59" t="s">
        <v>70</v>
      </c>
      <c r="G1473" s="323" t="s">
        <v>1821</v>
      </c>
      <c r="H1473" s="59" t="s">
        <v>109</v>
      </c>
      <c r="I1473" s="331">
        <v>6</v>
      </c>
      <c r="J1473" s="332">
        <v>7</v>
      </c>
      <c r="K1473" s="332">
        <v>25</v>
      </c>
      <c r="L1473" s="332"/>
      <c r="M1473" s="332"/>
      <c r="N1473" s="332"/>
      <c r="O1473" s="333"/>
      <c r="P1473" s="333"/>
      <c r="Q1473" s="333">
        <v>6</v>
      </c>
      <c r="R1473" s="333"/>
      <c r="S1473" s="334"/>
    </row>
    <row r="1474" spans="1:19" ht="15" customHeight="1">
      <c r="A1474" s="561">
        <f t="shared" si="31"/>
        <v>1474</v>
      </c>
      <c r="B1474" s="58">
        <v>312</v>
      </c>
      <c r="C1474" s="328" t="s">
        <v>1429</v>
      </c>
      <c r="D1474" s="329" t="s">
        <v>1411</v>
      </c>
      <c r="E1474" s="330"/>
      <c r="F1474" s="59" t="s">
        <v>1628</v>
      </c>
      <c r="G1474" s="323" t="s">
        <v>14</v>
      </c>
      <c r="H1474" s="59" t="s">
        <v>109</v>
      </c>
      <c r="I1474" s="331">
        <v>14</v>
      </c>
      <c r="J1474" s="332"/>
      <c r="K1474" s="332">
        <v>62</v>
      </c>
      <c r="L1474" s="332"/>
      <c r="M1474" s="332"/>
      <c r="N1474" s="332"/>
      <c r="O1474" s="333"/>
      <c r="P1474" s="333"/>
      <c r="Q1474" s="333">
        <v>14</v>
      </c>
      <c r="R1474" s="333"/>
      <c r="S1474" s="334"/>
    </row>
    <row r="1475" spans="1:19" ht="15" customHeight="1">
      <c r="A1475" s="561">
        <f t="shared" ref="A1475:A1538" si="32">1+A1474</f>
        <v>1475</v>
      </c>
      <c r="B1475" s="58">
        <v>312</v>
      </c>
      <c r="C1475" s="328" t="s">
        <v>1429</v>
      </c>
      <c r="D1475" s="329" t="s">
        <v>1411</v>
      </c>
      <c r="E1475" s="330"/>
      <c r="F1475" s="59" t="s">
        <v>1598</v>
      </c>
      <c r="G1475" s="323"/>
      <c r="H1475" s="59" t="s">
        <v>1327</v>
      </c>
      <c r="I1475" s="331">
        <v>32</v>
      </c>
      <c r="J1475" s="332"/>
      <c r="K1475" s="332"/>
      <c r="L1475" s="332"/>
      <c r="M1475" s="332"/>
      <c r="N1475" s="332"/>
      <c r="O1475" s="333"/>
      <c r="P1475" s="333"/>
      <c r="Q1475" s="333"/>
      <c r="R1475" s="333"/>
      <c r="S1475" s="334"/>
    </row>
    <row r="1476" spans="1:19" ht="15" customHeight="1">
      <c r="A1476" s="561">
        <f t="shared" si="32"/>
        <v>1476</v>
      </c>
      <c r="B1476" s="58">
        <v>312</v>
      </c>
      <c r="C1476" s="328" t="s">
        <v>1429</v>
      </c>
      <c r="D1476" s="329" t="s">
        <v>1411</v>
      </c>
      <c r="E1476" s="330"/>
      <c r="F1476" s="59" t="s">
        <v>1578</v>
      </c>
      <c r="G1476" s="323"/>
      <c r="H1476" s="59" t="s">
        <v>1055</v>
      </c>
      <c r="I1476" s="331">
        <v>5</v>
      </c>
      <c r="J1476" s="332"/>
      <c r="K1476" s="332" t="s">
        <v>1562</v>
      </c>
      <c r="L1476" s="332"/>
      <c r="M1476" s="332"/>
      <c r="N1476" s="332"/>
      <c r="O1476" s="333"/>
      <c r="P1476" s="333"/>
      <c r="Q1476" s="333"/>
      <c r="R1476" s="333"/>
      <c r="S1476" s="334"/>
    </row>
    <row r="1477" spans="1:19" ht="15" customHeight="1">
      <c r="A1477" s="561">
        <f t="shared" si="32"/>
        <v>1477</v>
      </c>
      <c r="B1477" s="58">
        <v>401</v>
      </c>
      <c r="C1477" s="328" t="s">
        <v>1556</v>
      </c>
      <c r="D1477" s="329" t="s">
        <v>1557</v>
      </c>
      <c r="E1477" s="330"/>
      <c r="F1477" s="59" t="s">
        <v>1629</v>
      </c>
      <c r="G1477" s="323" t="s">
        <v>1822</v>
      </c>
      <c r="H1477" s="59" t="s">
        <v>176</v>
      </c>
      <c r="I1477" s="331">
        <v>12</v>
      </c>
      <c r="J1477" s="332">
        <v>2</v>
      </c>
      <c r="K1477" s="332"/>
      <c r="L1477" s="332">
        <v>39</v>
      </c>
      <c r="M1477" s="332"/>
      <c r="N1477" s="332"/>
      <c r="O1477" s="333"/>
      <c r="P1477" s="333"/>
      <c r="Q1477" s="333">
        <v>12</v>
      </c>
      <c r="R1477" s="333"/>
      <c r="S1477" s="334"/>
    </row>
    <row r="1478" spans="1:19" ht="15" customHeight="1">
      <c r="A1478" s="561">
        <f t="shared" si="32"/>
        <v>1478</v>
      </c>
      <c r="B1478" s="58">
        <v>401</v>
      </c>
      <c r="C1478" s="328" t="s">
        <v>1556</v>
      </c>
      <c r="D1478" s="329" t="s">
        <v>1557</v>
      </c>
      <c r="E1478" s="330"/>
      <c r="F1478" s="59" t="s">
        <v>1611</v>
      </c>
      <c r="G1478" s="323" t="s">
        <v>1768</v>
      </c>
      <c r="H1478" s="59" t="s">
        <v>176</v>
      </c>
      <c r="I1478" s="331">
        <v>3</v>
      </c>
      <c r="J1478" s="332">
        <v>17</v>
      </c>
      <c r="K1478" s="332"/>
      <c r="L1478" s="332"/>
      <c r="M1478" s="332"/>
      <c r="N1478" s="332"/>
      <c r="O1478" s="333"/>
      <c r="P1478" s="333"/>
      <c r="Q1478" s="333"/>
      <c r="R1478" s="333">
        <v>3</v>
      </c>
      <c r="S1478" s="334"/>
    </row>
    <row r="1479" spans="1:19" ht="15" customHeight="1">
      <c r="A1479" s="561">
        <f t="shared" si="32"/>
        <v>1479</v>
      </c>
      <c r="B1479" s="58">
        <v>401</v>
      </c>
      <c r="C1479" s="328" t="s">
        <v>1556</v>
      </c>
      <c r="D1479" s="329" t="s">
        <v>1557</v>
      </c>
      <c r="E1479" s="330"/>
      <c r="F1479" s="59" t="s">
        <v>292</v>
      </c>
      <c r="G1479" s="323" t="s">
        <v>16</v>
      </c>
      <c r="H1479" s="59" t="s">
        <v>176</v>
      </c>
      <c r="I1479" s="331">
        <v>16</v>
      </c>
      <c r="J1479" s="332"/>
      <c r="K1479" s="332"/>
      <c r="L1479" s="332">
        <v>55</v>
      </c>
      <c r="M1479" s="332"/>
      <c r="N1479" s="332"/>
      <c r="O1479" s="333"/>
      <c r="P1479" s="333"/>
      <c r="Q1479" s="333"/>
      <c r="R1479" s="333">
        <v>16</v>
      </c>
      <c r="S1479" s="334"/>
    </row>
    <row r="1480" spans="1:19" ht="15" customHeight="1">
      <c r="A1480" s="561">
        <f t="shared" si="32"/>
        <v>1480</v>
      </c>
      <c r="B1480" s="58">
        <v>401</v>
      </c>
      <c r="C1480" s="328" t="s">
        <v>1556</v>
      </c>
      <c r="D1480" s="329" t="s">
        <v>1557</v>
      </c>
      <c r="E1480" s="330"/>
      <c r="F1480" s="59" t="s">
        <v>1630</v>
      </c>
      <c r="G1480" s="323" t="s">
        <v>1922</v>
      </c>
      <c r="H1480" s="59" t="s">
        <v>176</v>
      </c>
      <c r="I1480" s="331">
        <v>12</v>
      </c>
      <c r="J1480" s="332"/>
      <c r="K1480" s="332"/>
      <c r="L1480" s="332">
        <v>17</v>
      </c>
      <c r="M1480" s="332"/>
      <c r="N1480" s="332"/>
      <c r="O1480" s="333"/>
      <c r="P1480" s="333"/>
      <c r="Q1480" s="333">
        <v>12</v>
      </c>
      <c r="R1480" s="333"/>
      <c r="S1480" s="334"/>
    </row>
    <row r="1481" spans="1:19" ht="15" customHeight="1">
      <c r="A1481" s="561">
        <f t="shared" si="32"/>
        <v>1481</v>
      </c>
      <c r="B1481" s="58">
        <v>401</v>
      </c>
      <c r="C1481" s="328" t="s">
        <v>1556</v>
      </c>
      <c r="D1481" s="329" t="s">
        <v>1557</v>
      </c>
      <c r="E1481" s="330"/>
      <c r="F1481" s="59" t="s">
        <v>1631</v>
      </c>
      <c r="G1481" s="323" t="s">
        <v>1923</v>
      </c>
      <c r="H1481" s="59" t="s">
        <v>176</v>
      </c>
      <c r="I1481" s="331">
        <v>5</v>
      </c>
      <c r="J1481" s="332"/>
      <c r="K1481" s="332">
        <v>30</v>
      </c>
      <c r="L1481" s="332"/>
      <c r="M1481" s="332"/>
      <c r="N1481" s="332"/>
      <c r="O1481" s="333"/>
      <c r="P1481" s="333"/>
      <c r="Q1481" s="333">
        <v>5</v>
      </c>
      <c r="R1481" s="333"/>
      <c r="S1481" s="334"/>
    </row>
    <row r="1482" spans="1:19" ht="15" customHeight="1">
      <c r="A1482" s="561">
        <f t="shared" si="32"/>
        <v>1482</v>
      </c>
      <c r="B1482" s="58">
        <v>401</v>
      </c>
      <c r="C1482" s="328" t="s">
        <v>1556</v>
      </c>
      <c r="D1482" s="329" t="s">
        <v>1557</v>
      </c>
      <c r="E1482" s="330"/>
      <c r="F1482" s="59" t="s">
        <v>1585</v>
      </c>
      <c r="G1482" s="323" t="s">
        <v>1854</v>
      </c>
      <c r="H1482" s="59" t="s">
        <v>176</v>
      </c>
      <c r="I1482" s="331">
        <v>6</v>
      </c>
      <c r="J1482" s="332"/>
      <c r="K1482" s="332">
        <v>30</v>
      </c>
      <c r="L1482" s="332"/>
      <c r="M1482" s="332"/>
      <c r="N1482" s="332"/>
      <c r="O1482" s="333"/>
      <c r="P1482" s="333"/>
      <c r="Q1482" s="333">
        <v>6</v>
      </c>
      <c r="R1482" s="333"/>
      <c r="S1482" s="334"/>
    </row>
    <row r="1483" spans="1:19" ht="15" customHeight="1">
      <c r="A1483" s="561">
        <f t="shared" si="32"/>
        <v>1483</v>
      </c>
      <c r="B1483" s="58">
        <v>401</v>
      </c>
      <c r="C1483" s="328" t="s">
        <v>1556</v>
      </c>
      <c r="D1483" s="329" t="s">
        <v>1557</v>
      </c>
      <c r="E1483" s="330"/>
      <c r="F1483" s="59" t="s">
        <v>1632</v>
      </c>
      <c r="G1483" s="323" t="s">
        <v>1924</v>
      </c>
      <c r="H1483" s="59" t="s">
        <v>176</v>
      </c>
      <c r="I1483" s="331">
        <v>7</v>
      </c>
      <c r="J1483" s="332"/>
      <c r="K1483" s="332"/>
      <c r="L1483" s="332">
        <v>32</v>
      </c>
      <c r="M1483" s="332"/>
      <c r="N1483" s="332"/>
      <c r="O1483" s="333"/>
      <c r="P1483" s="333"/>
      <c r="Q1483" s="333">
        <v>7</v>
      </c>
      <c r="R1483" s="333"/>
      <c r="S1483" s="334"/>
    </row>
    <row r="1484" spans="1:19" ht="15" customHeight="1">
      <c r="A1484" s="561">
        <f t="shared" si="32"/>
        <v>1484</v>
      </c>
      <c r="B1484" s="58">
        <v>401</v>
      </c>
      <c r="C1484" s="328" t="s">
        <v>1556</v>
      </c>
      <c r="D1484" s="329" t="s">
        <v>1557</v>
      </c>
      <c r="E1484" s="330"/>
      <c r="F1484" s="59" t="s">
        <v>1632</v>
      </c>
      <c r="G1484" s="323" t="s">
        <v>1925</v>
      </c>
      <c r="H1484" s="59" t="s">
        <v>176</v>
      </c>
      <c r="I1484" s="331">
        <v>16</v>
      </c>
      <c r="J1484" s="332"/>
      <c r="K1484" s="332"/>
      <c r="L1484" s="332">
        <v>50</v>
      </c>
      <c r="M1484" s="332"/>
      <c r="N1484" s="332"/>
      <c r="O1484" s="333"/>
      <c r="P1484" s="333"/>
      <c r="Q1484" s="333">
        <v>16</v>
      </c>
      <c r="R1484" s="333"/>
      <c r="S1484" s="334"/>
    </row>
    <row r="1485" spans="1:19" ht="15" customHeight="1">
      <c r="A1485" s="561">
        <f t="shared" si="32"/>
        <v>1485</v>
      </c>
      <c r="B1485" s="58">
        <v>401</v>
      </c>
      <c r="C1485" s="328" t="s">
        <v>1556</v>
      </c>
      <c r="D1485" s="329" t="s">
        <v>1557</v>
      </c>
      <c r="E1485" s="330"/>
      <c r="F1485" s="59"/>
      <c r="G1485" s="323" t="s">
        <v>1926</v>
      </c>
      <c r="H1485" s="59" t="s">
        <v>176</v>
      </c>
      <c r="I1485" s="331">
        <v>85</v>
      </c>
      <c r="J1485" s="332"/>
      <c r="K1485" s="332"/>
      <c r="L1485" s="332">
        <v>144</v>
      </c>
      <c r="M1485" s="332"/>
      <c r="N1485" s="332"/>
      <c r="O1485" s="333"/>
      <c r="P1485" s="333"/>
      <c r="Q1485" s="333">
        <v>85</v>
      </c>
      <c r="R1485" s="333"/>
      <c r="S1485" s="334"/>
    </row>
    <row r="1486" spans="1:19" ht="15" customHeight="1">
      <c r="A1486" s="561">
        <f t="shared" si="32"/>
        <v>1486</v>
      </c>
      <c r="B1486" s="58">
        <v>401</v>
      </c>
      <c r="C1486" s="328" t="s">
        <v>1556</v>
      </c>
      <c r="D1486" s="329" t="s">
        <v>1557</v>
      </c>
      <c r="E1486" s="330"/>
      <c r="F1486" s="59" t="s">
        <v>292</v>
      </c>
      <c r="G1486" s="323" t="s">
        <v>182</v>
      </c>
      <c r="H1486" s="59" t="s">
        <v>176</v>
      </c>
      <c r="I1486" s="331">
        <v>6</v>
      </c>
      <c r="J1486" s="332">
        <v>20</v>
      </c>
      <c r="K1486" s="332"/>
      <c r="L1486" s="332"/>
      <c r="M1486" s="332"/>
      <c r="N1486" s="332"/>
      <c r="O1486" s="333"/>
      <c r="P1486" s="333"/>
      <c r="Q1486" s="333"/>
      <c r="R1486" s="333">
        <v>6</v>
      </c>
      <c r="S1486" s="334"/>
    </row>
    <row r="1487" spans="1:19" ht="15" customHeight="1">
      <c r="A1487" s="561">
        <f t="shared" si="32"/>
        <v>1487</v>
      </c>
      <c r="B1487" s="58">
        <v>401</v>
      </c>
      <c r="C1487" s="328" t="s">
        <v>1556</v>
      </c>
      <c r="D1487" s="329" t="s">
        <v>1557</v>
      </c>
      <c r="E1487" s="330"/>
      <c r="F1487" s="59" t="s">
        <v>1633</v>
      </c>
      <c r="G1487" s="323" t="s">
        <v>1927</v>
      </c>
      <c r="H1487" s="59" t="s">
        <v>176</v>
      </c>
      <c r="I1487" s="331">
        <v>2</v>
      </c>
      <c r="J1487" s="332"/>
      <c r="K1487" s="332"/>
      <c r="L1487" s="332"/>
      <c r="M1487" s="332"/>
      <c r="N1487" s="332"/>
      <c r="O1487" s="333"/>
      <c r="P1487" s="333"/>
      <c r="Q1487" s="333"/>
      <c r="R1487" s="333">
        <v>2</v>
      </c>
      <c r="S1487" s="334"/>
    </row>
    <row r="1488" spans="1:19" ht="15" customHeight="1">
      <c r="A1488" s="561">
        <f t="shared" si="32"/>
        <v>1488</v>
      </c>
      <c r="B1488" s="58">
        <v>401</v>
      </c>
      <c r="C1488" s="328" t="s">
        <v>1556</v>
      </c>
      <c r="D1488" s="329" t="s">
        <v>1557</v>
      </c>
      <c r="E1488" s="330"/>
      <c r="F1488" s="59" t="s">
        <v>1634</v>
      </c>
      <c r="G1488" s="323" t="s">
        <v>183</v>
      </c>
      <c r="H1488" s="59" t="s">
        <v>12</v>
      </c>
      <c r="I1488" s="331">
        <v>4</v>
      </c>
      <c r="J1488" s="332"/>
      <c r="K1488" s="332"/>
      <c r="L1488" s="332"/>
      <c r="M1488" s="332"/>
      <c r="N1488" s="332"/>
      <c r="O1488" s="333"/>
      <c r="P1488" s="333">
        <v>4</v>
      </c>
      <c r="Q1488" s="333"/>
      <c r="R1488" s="333"/>
      <c r="S1488" s="334"/>
    </row>
    <row r="1489" spans="1:19" ht="15" customHeight="1">
      <c r="A1489" s="561">
        <f t="shared" si="32"/>
        <v>1489</v>
      </c>
      <c r="B1489" s="58">
        <v>401</v>
      </c>
      <c r="C1489" s="328" t="s">
        <v>1556</v>
      </c>
      <c r="D1489" s="329" t="s">
        <v>1557</v>
      </c>
      <c r="E1489" s="330"/>
      <c r="F1489" s="59" t="s">
        <v>1632</v>
      </c>
      <c r="G1489" s="323" t="s">
        <v>1928</v>
      </c>
      <c r="H1489" s="59" t="s">
        <v>12</v>
      </c>
      <c r="I1489" s="331">
        <v>27</v>
      </c>
      <c r="J1489" s="332"/>
      <c r="K1489" s="332"/>
      <c r="L1489" s="332"/>
      <c r="M1489" s="332"/>
      <c r="N1489" s="332"/>
      <c r="O1489" s="333"/>
      <c r="P1489" s="333">
        <v>27</v>
      </c>
      <c r="Q1489" s="333"/>
      <c r="R1489" s="333"/>
      <c r="S1489" s="334"/>
    </row>
    <row r="1490" spans="1:19" ht="15" customHeight="1">
      <c r="A1490" s="561">
        <f t="shared" si="32"/>
        <v>1490</v>
      </c>
      <c r="B1490" s="58">
        <v>401</v>
      </c>
      <c r="C1490" s="328" t="s">
        <v>1556</v>
      </c>
      <c r="D1490" s="329" t="s">
        <v>1557</v>
      </c>
      <c r="E1490" s="330"/>
      <c r="F1490" s="59" t="s">
        <v>1632</v>
      </c>
      <c r="G1490" s="323" t="s">
        <v>1929</v>
      </c>
      <c r="H1490" s="59" t="s">
        <v>12</v>
      </c>
      <c r="I1490" s="331">
        <v>12</v>
      </c>
      <c r="J1490" s="332"/>
      <c r="K1490" s="332"/>
      <c r="L1490" s="332"/>
      <c r="M1490" s="332"/>
      <c r="N1490" s="332"/>
      <c r="O1490" s="333"/>
      <c r="P1490" s="333">
        <v>12</v>
      </c>
      <c r="Q1490" s="333"/>
      <c r="R1490" s="333"/>
      <c r="S1490" s="334"/>
    </row>
    <row r="1491" spans="1:19" ht="15" customHeight="1">
      <c r="A1491" s="561">
        <f t="shared" si="32"/>
        <v>1491</v>
      </c>
      <c r="B1491" s="58">
        <v>401</v>
      </c>
      <c r="C1491" s="328" t="s">
        <v>1556</v>
      </c>
      <c r="D1491" s="329" t="s">
        <v>1557</v>
      </c>
      <c r="E1491" s="330"/>
      <c r="F1491" s="59" t="s">
        <v>1632</v>
      </c>
      <c r="G1491" s="323" t="s">
        <v>1930</v>
      </c>
      <c r="H1491" s="59" t="s">
        <v>12</v>
      </c>
      <c r="I1491" s="331">
        <v>12</v>
      </c>
      <c r="J1491" s="332"/>
      <c r="K1491" s="332"/>
      <c r="L1491" s="332"/>
      <c r="M1491" s="332"/>
      <c r="N1491" s="332"/>
      <c r="O1491" s="333"/>
      <c r="P1491" s="333">
        <v>12</v>
      </c>
      <c r="Q1491" s="333"/>
      <c r="R1491" s="333"/>
      <c r="S1491" s="334"/>
    </row>
    <row r="1492" spans="1:19" ht="15" customHeight="1">
      <c r="A1492" s="561">
        <f t="shared" si="32"/>
        <v>1492</v>
      </c>
      <c r="B1492" s="58">
        <v>401</v>
      </c>
      <c r="C1492" s="328" t="s">
        <v>1556</v>
      </c>
      <c r="D1492" s="329" t="s">
        <v>1557</v>
      </c>
      <c r="E1492" s="330"/>
      <c r="F1492" s="59" t="s">
        <v>320</v>
      </c>
      <c r="G1492" s="323" t="s">
        <v>1931</v>
      </c>
      <c r="H1492" s="59" t="s">
        <v>12</v>
      </c>
      <c r="I1492" s="331">
        <v>12</v>
      </c>
      <c r="J1492" s="332"/>
      <c r="K1492" s="332"/>
      <c r="L1492" s="332"/>
      <c r="M1492" s="332"/>
      <c r="N1492" s="332"/>
      <c r="O1492" s="333"/>
      <c r="P1492" s="333">
        <v>12</v>
      </c>
      <c r="Q1492" s="333"/>
      <c r="R1492" s="333"/>
      <c r="S1492" s="334"/>
    </row>
    <row r="1493" spans="1:19" ht="15" customHeight="1">
      <c r="A1493" s="561">
        <f t="shared" si="32"/>
        <v>1493</v>
      </c>
      <c r="B1493" s="58">
        <v>402</v>
      </c>
      <c r="C1493" s="328" t="s">
        <v>289</v>
      </c>
      <c r="D1493" s="329" t="s">
        <v>1557</v>
      </c>
      <c r="E1493" s="330"/>
      <c r="F1493" s="59" t="s">
        <v>111</v>
      </c>
      <c r="G1493" s="323" t="s">
        <v>1500</v>
      </c>
      <c r="H1493" s="59" t="s">
        <v>160</v>
      </c>
      <c r="I1493" s="331">
        <v>19</v>
      </c>
      <c r="J1493" s="332"/>
      <c r="K1493" s="332"/>
      <c r="L1493" s="332">
        <v>55</v>
      </c>
      <c r="M1493" s="332"/>
      <c r="N1493" s="332"/>
      <c r="O1493" s="333"/>
      <c r="P1493" s="333"/>
      <c r="Q1493" s="333">
        <v>19</v>
      </c>
      <c r="R1493" s="333"/>
      <c r="S1493" s="334"/>
    </row>
    <row r="1494" spans="1:19" ht="15" customHeight="1">
      <c r="A1494" s="561">
        <f t="shared" si="32"/>
        <v>1494</v>
      </c>
      <c r="B1494" s="58">
        <v>402</v>
      </c>
      <c r="C1494" s="328" t="s">
        <v>289</v>
      </c>
      <c r="D1494" s="329" t="s">
        <v>1557</v>
      </c>
      <c r="E1494" s="330"/>
      <c r="F1494" s="59" t="s">
        <v>1635</v>
      </c>
      <c r="G1494" s="323" t="s">
        <v>1504</v>
      </c>
      <c r="H1494" s="59" t="s">
        <v>160</v>
      </c>
      <c r="I1494" s="331">
        <v>12</v>
      </c>
      <c r="J1494" s="332">
        <v>2</v>
      </c>
      <c r="K1494" s="332"/>
      <c r="L1494" s="332">
        <v>39</v>
      </c>
      <c r="M1494" s="332"/>
      <c r="N1494" s="332"/>
      <c r="O1494" s="333"/>
      <c r="P1494" s="333"/>
      <c r="Q1494" s="333">
        <v>12</v>
      </c>
      <c r="R1494" s="333"/>
      <c r="S1494" s="334"/>
    </row>
    <row r="1495" spans="1:19" ht="15" customHeight="1">
      <c r="A1495" s="561">
        <f t="shared" si="32"/>
        <v>1495</v>
      </c>
      <c r="B1495" s="58">
        <v>402</v>
      </c>
      <c r="C1495" s="328" t="s">
        <v>289</v>
      </c>
      <c r="D1495" s="329" t="s">
        <v>1557</v>
      </c>
      <c r="E1495" s="330"/>
      <c r="F1495" s="59" t="s">
        <v>309</v>
      </c>
      <c r="G1495" s="323" t="s">
        <v>1636</v>
      </c>
      <c r="H1495" s="59" t="s">
        <v>160</v>
      </c>
      <c r="I1495" s="331">
        <v>1</v>
      </c>
      <c r="J1495" s="332">
        <v>9</v>
      </c>
      <c r="K1495" s="332"/>
      <c r="L1495" s="332"/>
      <c r="M1495" s="332"/>
      <c r="N1495" s="332"/>
      <c r="O1495" s="333"/>
      <c r="P1495" s="333"/>
      <c r="Q1495" s="333"/>
      <c r="R1495" s="333">
        <v>1</v>
      </c>
      <c r="S1495" s="334"/>
    </row>
    <row r="1496" spans="1:19" ht="15" customHeight="1">
      <c r="A1496" s="561">
        <f t="shared" si="32"/>
        <v>1496</v>
      </c>
      <c r="B1496" s="58">
        <v>402</v>
      </c>
      <c r="C1496" s="328" t="s">
        <v>289</v>
      </c>
      <c r="D1496" s="329" t="s">
        <v>1557</v>
      </c>
      <c r="E1496" s="330"/>
      <c r="F1496" s="59" t="s">
        <v>309</v>
      </c>
      <c r="G1496" s="323" t="s">
        <v>1637</v>
      </c>
      <c r="H1496" s="59" t="s">
        <v>160</v>
      </c>
      <c r="I1496" s="331">
        <v>1</v>
      </c>
      <c r="J1496" s="332">
        <v>9</v>
      </c>
      <c r="K1496" s="332"/>
      <c r="L1496" s="332"/>
      <c r="M1496" s="332"/>
      <c r="N1496" s="332"/>
      <c r="O1496" s="333"/>
      <c r="P1496" s="333"/>
      <c r="Q1496" s="333"/>
      <c r="R1496" s="333">
        <v>1</v>
      </c>
      <c r="S1496" s="334"/>
    </row>
    <row r="1497" spans="1:19" ht="15" customHeight="1">
      <c r="A1497" s="561">
        <f t="shared" si="32"/>
        <v>1497</v>
      </c>
      <c r="B1497" s="58">
        <v>402</v>
      </c>
      <c r="C1497" s="328" t="s">
        <v>289</v>
      </c>
      <c r="D1497" s="329" t="s">
        <v>1557</v>
      </c>
      <c r="E1497" s="330"/>
      <c r="F1497" s="59" t="s">
        <v>1638</v>
      </c>
      <c r="G1497" s="323" t="s">
        <v>1502</v>
      </c>
      <c r="H1497" s="59" t="s">
        <v>160</v>
      </c>
      <c r="I1497" s="331">
        <v>12</v>
      </c>
      <c r="J1497" s="332"/>
      <c r="K1497" s="332"/>
      <c r="L1497" s="332">
        <v>17</v>
      </c>
      <c r="M1497" s="332"/>
      <c r="N1497" s="332"/>
      <c r="O1497" s="333"/>
      <c r="P1497" s="333"/>
      <c r="Q1497" s="333">
        <v>12</v>
      </c>
      <c r="R1497" s="333"/>
      <c r="S1497" s="334"/>
    </row>
    <row r="1498" spans="1:19" ht="15" customHeight="1">
      <c r="A1498" s="561">
        <f t="shared" si="32"/>
        <v>1498</v>
      </c>
      <c r="B1498" s="58">
        <v>402</v>
      </c>
      <c r="C1498" s="328" t="s">
        <v>289</v>
      </c>
      <c r="D1498" s="329" t="s">
        <v>1557</v>
      </c>
      <c r="E1498" s="330"/>
      <c r="F1498" s="59" t="s">
        <v>1639</v>
      </c>
      <c r="G1498" s="323" t="s">
        <v>1640</v>
      </c>
      <c r="H1498" s="59" t="s">
        <v>160</v>
      </c>
      <c r="I1498" s="331">
        <v>6</v>
      </c>
      <c r="J1498" s="332"/>
      <c r="K1498" s="332"/>
      <c r="L1498" s="332"/>
      <c r="M1498" s="332"/>
      <c r="N1498" s="332">
        <v>30</v>
      </c>
      <c r="O1498" s="333"/>
      <c r="P1498" s="333"/>
      <c r="Q1498" s="333">
        <v>6</v>
      </c>
      <c r="R1498" s="333"/>
      <c r="S1498" s="334"/>
    </row>
    <row r="1499" spans="1:19" ht="15" customHeight="1">
      <c r="A1499" s="561">
        <f t="shared" si="32"/>
        <v>1499</v>
      </c>
      <c r="B1499" s="58">
        <v>402</v>
      </c>
      <c r="C1499" s="328" t="s">
        <v>289</v>
      </c>
      <c r="D1499" s="329" t="s">
        <v>1557</v>
      </c>
      <c r="E1499" s="330"/>
      <c r="F1499" s="59" t="s">
        <v>1641</v>
      </c>
      <c r="G1499" s="323" t="s">
        <v>1642</v>
      </c>
      <c r="H1499" s="59" t="s">
        <v>160</v>
      </c>
      <c r="I1499" s="331">
        <v>7</v>
      </c>
      <c r="J1499" s="332"/>
      <c r="K1499" s="332"/>
      <c r="L1499" s="332">
        <v>32</v>
      </c>
      <c r="M1499" s="332"/>
      <c r="N1499" s="332"/>
      <c r="O1499" s="333"/>
      <c r="P1499" s="333"/>
      <c r="Q1499" s="333">
        <v>7</v>
      </c>
      <c r="R1499" s="333"/>
      <c r="S1499" s="334"/>
    </row>
    <row r="1500" spans="1:19" ht="15" customHeight="1">
      <c r="A1500" s="561">
        <f t="shared" si="32"/>
        <v>1500</v>
      </c>
      <c r="B1500" s="58">
        <v>402</v>
      </c>
      <c r="C1500" s="328" t="s">
        <v>289</v>
      </c>
      <c r="D1500" s="329" t="s">
        <v>1557</v>
      </c>
      <c r="E1500" s="330"/>
      <c r="F1500" s="59" t="s">
        <v>1643</v>
      </c>
      <c r="G1500" s="323" t="s">
        <v>1644</v>
      </c>
      <c r="H1500" s="59" t="s">
        <v>160</v>
      </c>
      <c r="I1500" s="331">
        <v>22</v>
      </c>
      <c r="J1500" s="332"/>
      <c r="K1500" s="332"/>
      <c r="L1500" s="332">
        <v>62</v>
      </c>
      <c r="M1500" s="332"/>
      <c r="N1500" s="332"/>
      <c r="O1500" s="333"/>
      <c r="P1500" s="333"/>
      <c r="Q1500" s="333">
        <v>22</v>
      </c>
      <c r="R1500" s="333"/>
      <c r="S1500" s="334"/>
    </row>
    <row r="1501" spans="1:19" ht="15" customHeight="1">
      <c r="A1501" s="561">
        <f t="shared" si="32"/>
        <v>1501</v>
      </c>
      <c r="B1501" s="58">
        <v>402</v>
      </c>
      <c r="C1501" s="328" t="s">
        <v>289</v>
      </c>
      <c r="D1501" s="329" t="s">
        <v>1557</v>
      </c>
      <c r="E1501" s="330"/>
      <c r="F1501" s="59" t="s">
        <v>1645</v>
      </c>
      <c r="G1501" s="323" t="s">
        <v>1646</v>
      </c>
      <c r="H1501" s="59" t="s">
        <v>160</v>
      </c>
      <c r="I1501" s="331">
        <v>101</v>
      </c>
      <c r="J1501" s="332"/>
      <c r="K1501" s="332"/>
      <c r="L1501" s="332">
        <v>173</v>
      </c>
      <c r="M1501" s="332"/>
      <c r="N1501" s="332"/>
      <c r="O1501" s="333"/>
      <c r="P1501" s="333"/>
      <c r="Q1501" s="333">
        <v>101</v>
      </c>
      <c r="R1501" s="333"/>
      <c r="S1501" s="334"/>
    </row>
    <row r="1502" spans="1:19" ht="15" customHeight="1">
      <c r="A1502" s="561">
        <f t="shared" si="32"/>
        <v>1502</v>
      </c>
      <c r="B1502" s="58">
        <v>402</v>
      </c>
      <c r="C1502" s="328" t="s">
        <v>289</v>
      </c>
      <c r="D1502" s="329" t="s">
        <v>1557</v>
      </c>
      <c r="E1502" s="330"/>
      <c r="F1502" s="59" t="s">
        <v>1647</v>
      </c>
      <c r="G1502" s="323" t="s">
        <v>1648</v>
      </c>
      <c r="H1502" s="59" t="s">
        <v>1055</v>
      </c>
      <c r="I1502" s="331">
        <v>12</v>
      </c>
      <c r="J1502" s="332"/>
      <c r="K1502" s="332"/>
      <c r="L1502" s="332">
        <v>43</v>
      </c>
      <c r="M1502" s="332"/>
      <c r="N1502" s="332"/>
      <c r="O1502" s="333"/>
      <c r="P1502" s="333">
        <v>12</v>
      </c>
      <c r="Q1502" s="333"/>
      <c r="R1502" s="333"/>
      <c r="S1502" s="334"/>
    </row>
    <row r="1503" spans="1:19" ht="15" customHeight="1">
      <c r="A1503" s="561">
        <f t="shared" si="32"/>
        <v>1503</v>
      </c>
      <c r="B1503" s="58">
        <v>402</v>
      </c>
      <c r="C1503" s="328" t="s">
        <v>289</v>
      </c>
      <c r="D1503" s="329" t="s">
        <v>1557</v>
      </c>
      <c r="E1503" s="330"/>
      <c r="F1503" s="59" t="s">
        <v>1649</v>
      </c>
      <c r="G1503" s="323" t="s">
        <v>1650</v>
      </c>
      <c r="H1503" s="59" t="s">
        <v>176</v>
      </c>
      <c r="I1503" s="331">
        <v>12</v>
      </c>
      <c r="J1503" s="332"/>
      <c r="K1503" s="332"/>
      <c r="L1503" s="332">
        <v>43</v>
      </c>
      <c r="M1503" s="332"/>
      <c r="N1503" s="332"/>
      <c r="O1503" s="333"/>
      <c r="P1503" s="333"/>
      <c r="Q1503" s="333">
        <v>12</v>
      </c>
      <c r="R1503" s="333"/>
      <c r="S1503" s="334"/>
    </row>
    <row r="1504" spans="1:19" ht="15" customHeight="1">
      <c r="A1504" s="561">
        <f t="shared" si="32"/>
        <v>1504</v>
      </c>
      <c r="B1504" s="58">
        <v>402</v>
      </c>
      <c r="C1504" s="328" t="s">
        <v>289</v>
      </c>
      <c r="D1504" s="329" t="s">
        <v>1557</v>
      </c>
      <c r="E1504" s="330"/>
      <c r="F1504" s="59" t="s">
        <v>1647</v>
      </c>
      <c r="G1504" s="323" t="s">
        <v>1651</v>
      </c>
      <c r="H1504" s="59" t="s">
        <v>1055</v>
      </c>
      <c r="I1504" s="331">
        <v>12</v>
      </c>
      <c r="J1504" s="332"/>
      <c r="K1504" s="332"/>
      <c r="L1504" s="332">
        <v>43</v>
      </c>
      <c r="M1504" s="332"/>
      <c r="N1504" s="332"/>
      <c r="O1504" s="333"/>
      <c r="P1504" s="333">
        <v>12</v>
      </c>
      <c r="Q1504" s="333"/>
      <c r="R1504" s="333"/>
      <c r="S1504" s="334"/>
    </row>
    <row r="1505" spans="1:19" ht="15" customHeight="1">
      <c r="A1505" s="561">
        <f t="shared" si="32"/>
        <v>1505</v>
      </c>
      <c r="B1505" s="58">
        <v>402</v>
      </c>
      <c r="C1505" s="328" t="s">
        <v>289</v>
      </c>
      <c r="D1505" s="329" t="s">
        <v>1557</v>
      </c>
      <c r="E1505" s="330"/>
      <c r="F1505" s="59" t="s">
        <v>1647</v>
      </c>
      <c r="G1505" s="323" t="s">
        <v>1652</v>
      </c>
      <c r="H1505" s="59" t="s">
        <v>1055</v>
      </c>
      <c r="I1505" s="331">
        <v>12</v>
      </c>
      <c r="J1505" s="332"/>
      <c r="K1505" s="332"/>
      <c r="L1505" s="332">
        <v>43</v>
      </c>
      <c r="M1505" s="332"/>
      <c r="N1505" s="332"/>
      <c r="O1505" s="333"/>
      <c r="P1505" s="333">
        <v>12</v>
      </c>
      <c r="Q1505" s="333"/>
      <c r="R1505" s="333"/>
      <c r="S1505" s="334"/>
    </row>
    <row r="1506" spans="1:19" ht="15" customHeight="1">
      <c r="A1506" s="561">
        <f t="shared" si="32"/>
        <v>1506</v>
      </c>
      <c r="B1506" s="58">
        <v>402</v>
      </c>
      <c r="C1506" s="328" t="s">
        <v>289</v>
      </c>
      <c r="D1506" s="329" t="s">
        <v>1557</v>
      </c>
      <c r="E1506" s="330"/>
      <c r="F1506" s="59" t="s">
        <v>1653</v>
      </c>
      <c r="G1506" s="323" t="s">
        <v>1654</v>
      </c>
      <c r="H1506" s="59" t="s">
        <v>160</v>
      </c>
      <c r="I1506" s="331">
        <v>24</v>
      </c>
      <c r="J1506" s="332"/>
      <c r="K1506" s="332"/>
      <c r="L1506" s="332">
        <v>63</v>
      </c>
      <c r="M1506" s="332"/>
      <c r="N1506" s="332"/>
      <c r="O1506" s="333"/>
      <c r="P1506" s="333"/>
      <c r="Q1506" s="333">
        <v>24</v>
      </c>
      <c r="R1506" s="333"/>
      <c r="S1506" s="334"/>
    </row>
    <row r="1507" spans="1:19" ht="15" customHeight="1">
      <c r="A1507" s="561">
        <f t="shared" si="32"/>
        <v>1507</v>
      </c>
      <c r="B1507" s="58">
        <v>402</v>
      </c>
      <c r="C1507" s="328" t="s">
        <v>289</v>
      </c>
      <c r="D1507" s="329" t="s">
        <v>1557</v>
      </c>
      <c r="E1507" s="330"/>
      <c r="F1507" s="59" t="s">
        <v>248</v>
      </c>
      <c r="G1507" s="323" t="s">
        <v>1655</v>
      </c>
      <c r="H1507" s="59" t="s">
        <v>160</v>
      </c>
      <c r="I1507" s="331">
        <v>4</v>
      </c>
      <c r="J1507" s="332"/>
      <c r="K1507" s="332"/>
      <c r="L1507" s="332">
        <v>30</v>
      </c>
      <c r="M1507" s="332"/>
      <c r="N1507" s="332"/>
      <c r="O1507" s="333"/>
      <c r="P1507" s="333"/>
      <c r="Q1507" s="333">
        <v>4</v>
      </c>
      <c r="R1507" s="333"/>
      <c r="S1507" s="334"/>
    </row>
    <row r="1508" spans="1:19" ht="15" customHeight="1">
      <c r="A1508" s="561">
        <f t="shared" si="32"/>
        <v>1508</v>
      </c>
      <c r="B1508" s="58">
        <v>402</v>
      </c>
      <c r="C1508" s="328" t="s">
        <v>289</v>
      </c>
      <c r="D1508" s="329" t="s">
        <v>1557</v>
      </c>
      <c r="E1508" s="330"/>
      <c r="F1508" s="59" t="s">
        <v>208</v>
      </c>
      <c r="G1508" s="323" t="s">
        <v>1656</v>
      </c>
      <c r="H1508" s="59" t="s">
        <v>160</v>
      </c>
      <c r="I1508" s="331">
        <v>2</v>
      </c>
      <c r="J1508" s="332"/>
      <c r="K1508" s="332"/>
      <c r="L1508" s="332">
        <v>14</v>
      </c>
      <c r="M1508" s="332"/>
      <c r="N1508" s="332"/>
      <c r="O1508" s="333"/>
      <c r="P1508" s="333"/>
      <c r="Q1508" s="333"/>
      <c r="R1508" s="333">
        <v>2</v>
      </c>
      <c r="S1508" s="334"/>
    </row>
    <row r="1509" spans="1:19" ht="15" customHeight="1">
      <c r="A1509" s="561">
        <f t="shared" si="32"/>
        <v>1509</v>
      </c>
      <c r="B1509" s="58">
        <v>402</v>
      </c>
      <c r="C1509" s="328" t="s">
        <v>289</v>
      </c>
      <c r="D1509" s="329" t="s">
        <v>1557</v>
      </c>
      <c r="E1509" s="330"/>
      <c r="F1509" s="59" t="s">
        <v>1657</v>
      </c>
      <c r="G1509" s="323" t="s">
        <v>1658</v>
      </c>
      <c r="H1509" s="59" t="s">
        <v>160</v>
      </c>
      <c r="I1509" s="331">
        <v>6</v>
      </c>
      <c r="J1509" s="332">
        <v>20</v>
      </c>
      <c r="K1509" s="332"/>
      <c r="L1509" s="332"/>
      <c r="M1509" s="332"/>
      <c r="N1509" s="332"/>
      <c r="O1509" s="333"/>
      <c r="P1509" s="333"/>
      <c r="Q1509" s="333"/>
      <c r="R1509" s="333">
        <v>6</v>
      </c>
      <c r="S1509" s="334"/>
    </row>
    <row r="1510" spans="1:19" ht="15" customHeight="1">
      <c r="A1510" s="561">
        <f t="shared" si="32"/>
        <v>1510</v>
      </c>
      <c r="B1510" s="58">
        <v>403</v>
      </c>
      <c r="C1510" s="328" t="s">
        <v>103</v>
      </c>
      <c r="D1510" s="329" t="s">
        <v>1557</v>
      </c>
      <c r="E1510" s="330"/>
      <c r="F1510" s="59" t="s">
        <v>1659</v>
      </c>
      <c r="G1510" s="323" t="s">
        <v>1500</v>
      </c>
      <c r="H1510" s="59" t="s">
        <v>160</v>
      </c>
      <c r="I1510" s="331">
        <v>71</v>
      </c>
      <c r="J1510" s="332"/>
      <c r="K1510" s="332"/>
      <c r="L1510" s="332"/>
      <c r="M1510" s="332"/>
      <c r="N1510" s="332">
        <v>120</v>
      </c>
      <c r="O1510" s="333"/>
      <c r="P1510" s="333"/>
      <c r="Q1510" s="333">
        <v>71</v>
      </c>
      <c r="R1510" s="333"/>
      <c r="S1510" s="334"/>
    </row>
    <row r="1511" spans="1:19" ht="15" customHeight="1">
      <c r="A1511" s="561">
        <f t="shared" si="32"/>
        <v>1511</v>
      </c>
      <c r="B1511" s="58">
        <v>403</v>
      </c>
      <c r="C1511" s="328" t="s">
        <v>103</v>
      </c>
      <c r="D1511" s="329" t="s">
        <v>1557</v>
      </c>
      <c r="E1511" s="330"/>
      <c r="F1511" s="59" t="s">
        <v>1660</v>
      </c>
      <c r="G1511" s="323" t="s">
        <v>1504</v>
      </c>
      <c r="H1511" s="59" t="s">
        <v>160</v>
      </c>
      <c r="I1511" s="331">
        <v>60</v>
      </c>
      <c r="J1511" s="332"/>
      <c r="K1511" s="332"/>
      <c r="L1511" s="332"/>
      <c r="M1511" s="332"/>
      <c r="N1511" s="332">
        <v>114</v>
      </c>
      <c r="O1511" s="333"/>
      <c r="P1511" s="333"/>
      <c r="Q1511" s="333">
        <v>60</v>
      </c>
      <c r="R1511" s="333"/>
      <c r="S1511" s="334"/>
    </row>
    <row r="1512" spans="1:19" ht="15" customHeight="1">
      <c r="A1512" s="561">
        <f t="shared" si="32"/>
        <v>1512</v>
      </c>
      <c r="B1512" s="58">
        <v>403</v>
      </c>
      <c r="C1512" s="328" t="s">
        <v>103</v>
      </c>
      <c r="D1512" s="329" t="s">
        <v>1557</v>
      </c>
      <c r="E1512" s="330"/>
      <c r="F1512" s="59" t="s">
        <v>1617</v>
      </c>
      <c r="G1512" s="323" t="s">
        <v>1636</v>
      </c>
      <c r="H1512" s="59" t="s">
        <v>160</v>
      </c>
      <c r="I1512" s="331">
        <v>220</v>
      </c>
      <c r="J1512" s="332"/>
      <c r="K1512" s="332"/>
      <c r="L1512" s="332"/>
      <c r="M1512" s="332"/>
      <c r="N1512" s="332">
        <v>225</v>
      </c>
      <c r="O1512" s="333"/>
      <c r="P1512" s="333"/>
      <c r="Q1512" s="333">
        <v>220</v>
      </c>
      <c r="R1512" s="333"/>
      <c r="S1512" s="334"/>
    </row>
    <row r="1513" spans="1:19" ht="15" customHeight="1">
      <c r="A1513" s="561">
        <f t="shared" si="32"/>
        <v>1513</v>
      </c>
      <c r="B1513" s="58">
        <v>403</v>
      </c>
      <c r="C1513" s="328" t="s">
        <v>103</v>
      </c>
      <c r="D1513" s="329" t="s">
        <v>1557</v>
      </c>
      <c r="E1513" s="330"/>
      <c r="F1513" s="59" t="s">
        <v>37</v>
      </c>
      <c r="G1513" s="323" t="s">
        <v>1637</v>
      </c>
      <c r="H1513" s="59" t="s">
        <v>160</v>
      </c>
      <c r="I1513" s="331">
        <v>45</v>
      </c>
      <c r="J1513" s="332"/>
      <c r="K1513" s="332"/>
      <c r="L1513" s="332">
        <v>95</v>
      </c>
      <c r="M1513" s="332"/>
      <c r="N1513" s="332"/>
      <c r="O1513" s="333"/>
      <c r="P1513" s="333">
        <v>45</v>
      </c>
      <c r="Q1513" s="333"/>
      <c r="R1513" s="333"/>
      <c r="S1513" s="334"/>
    </row>
    <row r="1514" spans="1:19" ht="15" customHeight="1">
      <c r="A1514" s="561">
        <f t="shared" si="32"/>
        <v>1514</v>
      </c>
      <c r="B1514" s="58">
        <v>403</v>
      </c>
      <c r="C1514" s="328" t="s">
        <v>103</v>
      </c>
      <c r="D1514" s="329" t="s">
        <v>1557</v>
      </c>
      <c r="E1514" s="330"/>
      <c r="F1514" s="59" t="s">
        <v>37</v>
      </c>
      <c r="G1514" s="323" t="s">
        <v>1502</v>
      </c>
      <c r="H1514" s="59" t="s">
        <v>160</v>
      </c>
      <c r="I1514" s="331">
        <v>45</v>
      </c>
      <c r="J1514" s="332"/>
      <c r="K1514" s="332"/>
      <c r="L1514" s="332">
        <v>95</v>
      </c>
      <c r="M1514" s="332"/>
      <c r="N1514" s="332"/>
      <c r="O1514" s="333"/>
      <c r="P1514" s="333">
        <v>45</v>
      </c>
      <c r="Q1514" s="333"/>
      <c r="R1514" s="333"/>
      <c r="S1514" s="334"/>
    </row>
    <row r="1515" spans="1:19" ht="15" customHeight="1">
      <c r="A1515" s="561">
        <f t="shared" si="32"/>
        <v>1515</v>
      </c>
      <c r="B1515" s="58">
        <v>403</v>
      </c>
      <c r="C1515" s="328" t="s">
        <v>103</v>
      </c>
      <c r="D1515" s="329" t="s">
        <v>1557</v>
      </c>
      <c r="E1515" s="330"/>
      <c r="F1515" s="59" t="s">
        <v>1661</v>
      </c>
      <c r="G1515" s="323" t="s">
        <v>1640</v>
      </c>
      <c r="H1515" s="59" t="s">
        <v>160</v>
      </c>
      <c r="I1515" s="331">
        <v>45</v>
      </c>
      <c r="J1515" s="332"/>
      <c r="K1515" s="332"/>
      <c r="L1515" s="332">
        <v>95</v>
      </c>
      <c r="M1515" s="332"/>
      <c r="N1515" s="332"/>
      <c r="O1515" s="333"/>
      <c r="P1515" s="333">
        <v>45</v>
      </c>
      <c r="Q1515" s="333"/>
      <c r="R1515" s="333"/>
      <c r="S1515" s="334"/>
    </row>
    <row r="1516" spans="1:19" ht="15" customHeight="1">
      <c r="A1516" s="561">
        <f t="shared" si="32"/>
        <v>1516</v>
      </c>
      <c r="B1516" s="58">
        <v>404</v>
      </c>
      <c r="C1516" s="328" t="s">
        <v>140</v>
      </c>
      <c r="D1516" s="329" t="s">
        <v>1557</v>
      </c>
      <c r="E1516" s="330"/>
      <c r="F1516" s="59" t="s">
        <v>1662</v>
      </c>
      <c r="G1516" s="323" t="s">
        <v>1500</v>
      </c>
      <c r="H1516" s="59" t="s">
        <v>160</v>
      </c>
      <c r="I1516" s="331">
        <v>9</v>
      </c>
      <c r="J1516" s="332"/>
      <c r="K1516" s="332"/>
      <c r="L1516" s="332"/>
      <c r="M1516" s="332"/>
      <c r="N1516" s="332">
        <v>41</v>
      </c>
      <c r="O1516" s="333"/>
      <c r="P1516" s="333"/>
      <c r="Q1516" s="333">
        <v>9</v>
      </c>
      <c r="R1516" s="333"/>
      <c r="S1516" s="334"/>
    </row>
    <row r="1517" spans="1:19" ht="15" customHeight="1">
      <c r="A1517" s="561">
        <f t="shared" si="32"/>
        <v>1517</v>
      </c>
      <c r="B1517" s="58">
        <v>404</v>
      </c>
      <c r="C1517" s="328" t="s">
        <v>140</v>
      </c>
      <c r="D1517" s="329" t="s">
        <v>1557</v>
      </c>
      <c r="E1517" s="330"/>
      <c r="F1517" s="59" t="s">
        <v>1663</v>
      </c>
      <c r="G1517" s="323" t="s">
        <v>1504</v>
      </c>
      <c r="H1517" s="59" t="s">
        <v>160</v>
      </c>
      <c r="I1517" s="331">
        <v>12</v>
      </c>
      <c r="J1517" s="332"/>
      <c r="K1517" s="332"/>
      <c r="L1517" s="332">
        <v>47</v>
      </c>
      <c r="M1517" s="332"/>
      <c r="N1517" s="332"/>
      <c r="O1517" s="333"/>
      <c r="P1517" s="333"/>
      <c r="Q1517" s="333">
        <v>12</v>
      </c>
      <c r="R1517" s="333"/>
      <c r="S1517" s="334"/>
    </row>
    <row r="1518" spans="1:19" ht="15" customHeight="1">
      <c r="A1518" s="561">
        <f t="shared" si="32"/>
        <v>1518</v>
      </c>
      <c r="B1518" s="58">
        <v>404</v>
      </c>
      <c r="C1518" s="328" t="s">
        <v>140</v>
      </c>
      <c r="D1518" s="329" t="s">
        <v>1557</v>
      </c>
      <c r="E1518" s="330"/>
      <c r="F1518" s="59" t="s">
        <v>1663</v>
      </c>
      <c r="G1518" s="323" t="s">
        <v>1636</v>
      </c>
      <c r="H1518" s="59" t="s">
        <v>160</v>
      </c>
      <c r="I1518" s="331">
        <v>12</v>
      </c>
      <c r="J1518" s="332"/>
      <c r="K1518" s="332"/>
      <c r="L1518" s="332">
        <v>47</v>
      </c>
      <c r="M1518" s="332"/>
      <c r="N1518" s="332"/>
      <c r="O1518" s="333"/>
      <c r="P1518" s="333"/>
      <c r="Q1518" s="333">
        <v>12</v>
      </c>
      <c r="R1518" s="333"/>
      <c r="S1518" s="334"/>
    </row>
    <row r="1519" spans="1:19" ht="15" customHeight="1">
      <c r="A1519" s="561">
        <f t="shared" si="32"/>
        <v>1519</v>
      </c>
      <c r="B1519" s="58">
        <v>404</v>
      </c>
      <c r="C1519" s="328" t="s">
        <v>140</v>
      </c>
      <c r="D1519" s="329" t="s">
        <v>1557</v>
      </c>
      <c r="E1519" s="330"/>
      <c r="F1519" s="59" t="s">
        <v>1663</v>
      </c>
      <c r="G1519" s="323" t="s">
        <v>1637</v>
      </c>
      <c r="H1519" s="59" t="s">
        <v>160</v>
      </c>
      <c r="I1519" s="331">
        <v>12</v>
      </c>
      <c r="J1519" s="332"/>
      <c r="K1519" s="332"/>
      <c r="L1519" s="332">
        <v>47</v>
      </c>
      <c r="M1519" s="332"/>
      <c r="N1519" s="332"/>
      <c r="O1519" s="333"/>
      <c r="P1519" s="333"/>
      <c r="Q1519" s="333">
        <v>12</v>
      </c>
      <c r="R1519" s="333"/>
      <c r="S1519" s="334"/>
    </row>
    <row r="1520" spans="1:19" ht="15" customHeight="1">
      <c r="A1520" s="561">
        <f t="shared" si="32"/>
        <v>1520</v>
      </c>
      <c r="B1520" s="58">
        <v>404</v>
      </c>
      <c r="C1520" s="328" t="s">
        <v>140</v>
      </c>
      <c r="D1520" s="329" t="s">
        <v>1557</v>
      </c>
      <c r="E1520" s="330"/>
      <c r="F1520" s="59" t="s">
        <v>1664</v>
      </c>
      <c r="G1520" s="323" t="s">
        <v>1502</v>
      </c>
      <c r="H1520" s="59" t="s">
        <v>160</v>
      </c>
      <c r="I1520" s="331">
        <v>2</v>
      </c>
      <c r="J1520" s="332"/>
      <c r="K1520" s="332"/>
      <c r="L1520" s="332"/>
      <c r="M1520" s="332"/>
      <c r="N1520" s="332">
        <v>9</v>
      </c>
      <c r="O1520" s="333"/>
      <c r="P1520" s="333"/>
      <c r="Q1520" s="333">
        <v>2</v>
      </c>
      <c r="R1520" s="333"/>
      <c r="S1520" s="334"/>
    </row>
    <row r="1521" spans="1:19" ht="15" customHeight="1">
      <c r="A1521" s="561">
        <f t="shared" si="32"/>
        <v>1521</v>
      </c>
      <c r="B1521" s="58">
        <v>404</v>
      </c>
      <c r="C1521" s="328" t="s">
        <v>140</v>
      </c>
      <c r="D1521" s="329" t="s">
        <v>1557</v>
      </c>
      <c r="E1521" s="330"/>
      <c r="F1521" s="59" t="s">
        <v>147</v>
      </c>
      <c r="G1521" s="323" t="s">
        <v>1640</v>
      </c>
      <c r="H1521" s="59" t="s">
        <v>160</v>
      </c>
      <c r="I1521" s="331">
        <v>83</v>
      </c>
      <c r="J1521" s="332"/>
      <c r="K1521" s="332"/>
      <c r="L1521" s="332"/>
      <c r="M1521" s="332"/>
      <c r="N1521" s="332">
        <v>152</v>
      </c>
      <c r="O1521" s="333"/>
      <c r="P1521" s="333"/>
      <c r="Q1521" s="333">
        <v>83</v>
      </c>
      <c r="R1521" s="333"/>
      <c r="S1521" s="334"/>
    </row>
    <row r="1522" spans="1:19" ht="15" customHeight="1">
      <c r="A1522" s="561">
        <f t="shared" si="32"/>
        <v>1522</v>
      </c>
      <c r="B1522" s="58">
        <v>404</v>
      </c>
      <c r="C1522" s="328" t="s">
        <v>140</v>
      </c>
      <c r="D1522" s="329" t="s">
        <v>1557</v>
      </c>
      <c r="E1522" s="330"/>
      <c r="F1522" s="59" t="s">
        <v>1665</v>
      </c>
      <c r="G1522" s="323" t="s">
        <v>1642</v>
      </c>
      <c r="H1522" s="59" t="s">
        <v>160</v>
      </c>
      <c r="I1522" s="331">
        <v>11</v>
      </c>
      <c r="J1522" s="332"/>
      <c r="K1522" s="332"/>
      <c r="L1522" s="332"/>
      <c r="M1522" s="332"/>
      <c r="N1522" s="332">
        <v>49</v>
      </c>
      <c r="O1522" s="333"/>
      <c r="P1522" s="333"/>
      <c r="Q1522" s="333">
        <v>11</v>
      </c>
      <c r="R1522" s="333"/>
      <c r="S1522" s="334"/>
    </row>
    <row r="1523" spans="1:19" ht="15" customHeight="1">
      <c r="A1523" s="561">
        <f t="shared" si="32"/>
        <v>1523</v>
      </c>
      <c r="B1523" s="58">
        <v>405</v>
      </c>
      <c r="C1523" s="328" t="s">
        <v>1666</v>
      </c>
      <c r="D1523" s="329" t="s">
        <v>1557</v>
      </c>
      <c r="E1523" s="330"/>
      <c r="F1523" s="59" t="s">
        <v>111</v>
      </c>
      <c r="G1523" s="323" t="s">
        <v>1500</v>
      </c>
      <c r="H1523" s="59" t="s">
        <v>176</v>
      </c>
      <c r="I1523" s="331">
        <v>19</v>
      </c>
      <c r="J1523" s="332"/>
      <c r="K1523" s="332"/>
      <c r="L1523" s="332">
        <v>55</v>
      </c>
      <c r="M1523" s="332"/>
      <c r="N1523" s="332"/>
      <c r="O1523" s="333"/>
      <c r="P1523" s="333"/>
      <c r="Q1523" s="333">
        <v>19</v>
      </c>
      <c r="R1523" s="333"/>
      <c r="S1523" s="334"/>
    </row>
    <row r="1524" spans="1:19" ht="15" customHeight="1">
      <c r="A1524" s="561">
        <f t="shared" si="32"/>
        <v>1524</v>
      </c>
      <c r="B1524" s="58">
        <v>405</v>
      </c>
      <c r="C1524" s="328" t="s">
        <v>1666</v>
      </c>
      <c r="D1524" s="329" t="s">
        <v>1557</v>
      </c>
      <c r="E1524" s="330"/>
      <c r="F1524" s="59" t="s">
        <v>1635</v>
      </c>
      <c r="G1524" s="323" t="s">
        <v>1504</v>
      </c>
      <c r="H1524" s="59" t="s">
        <v>176</v>
      </c>
      <c r="I1524" s="331">
        <v>12</v>
      </c>
      <c r="J1524" s="332">
        <v>2</v>
      </c>
      <c r="K1524" s="332"/>
      <c r="L1524" s="332">
        <v>39</v>
      </c>
      <c r="M1524" s="332"/>
      <c r="N1524" s="332"/>
      <c r="O1524" s="333"/>
      <c r="P1524" s="333"/>
      <c r="Q1524" s="333">
        <v>12</v>
      </c>
      <c r="R1524" s="333"/>
      <c r="S1524" s="334"/>
    </row>
    <row r="1525" spans="1:19" ht="15" customHeight="1">
      <c r="A1525" s="561">
        <f t="shared" si="32"/>
        <v>1525</v>
      </c>
      <c r="B1525" s="58">
        <v>405</v>
      </c>
      <c r="C1525" s="328" t="s">
        <v>1666</v>
      </c>
      <c r="D1525" s="329" t="s">
        <v>1557</v>
      </c>
      <c r="E1525" s="330"/>
      <c r="F1525" s="59" t="s">
        <v>309</v>
      </c>
      <c r="G1525" s="323" t="s">
        <v>1636</v>
      </c>
      <c r="H1525" s="59" t="s">
        <v>109</v>
      </c>
      <c r="I1525" s="331">
        <v>1</v>
      </c>
      <c r="J1525" s="332">
        <v>9</v>
      </c>
      <c r="K1525" s="332"/>
      <c r="L1525" s="332"/>
      <c r="M1525" s="332"/>
      <c r="N1525" s="332"/>
      <c r="O1525" s="333"/>
      <c r="P1525" s="333"/>
      <c r="Q1525" s="333">
        <v>1</v>
      </c>
      <c r="R1525" s="333"/>
      <c r="S1525" s="334"/>
    </row>
    <row r="1526" spans="1:19" ht="15" customHeight="1">
      <c r="A1526" s="561">
        <f t="shared" si="32"/>
        <v>1526</v>
      </c>
      <c r="B1526" s="58">
        <v>405</v>
      </c>
      <c r="C1526" s="328" t="s">
        <v>1666</v>
      </c>
      <c r="D1526" s="329" t="s">
        <v>1557</v>
      </c>
      <c r="E1526" s="330"/>
      <c r="F1526" s="59" t="s">
        <v>309</v>
      </c>
      <c r="G1526" s="323" t="s">
        <v>1637</v>
      </c>
      <c r="H1526" s="59" t="s">
        <v>109</v>
      </c>
      <c r="I1526" s="331">
        <v>1</v>
      </c>
      <c r="J1526" s="332">
        <v>9</v>
      </c>
      <c r="K1526" s="332"/>
      <c r="L1526" s="332"/>
      <c r="M1526" s="332"/>
      <c r="N1526" s="332"/>
      <c r="O1526" s="333"/>
      <c r="P1526" s="333"/>
      <c r="Q1526" s="333">
        <v>1</v>
      </c>
      <c r="R1526" s="333"/>
      <c r="S1526" s="334"/>
    </row>
    <row r="1527" spans="1:19" ht="15" customHeight="1">
      <c r="A1527" s="561">
        <f t="shared" si="32"/>
        <v>1527</v>
      </c>
      <c r="B1527" s="58">
        <v>405</v>
      </c>
      <c r="C1527" s="328" t="s">
        <v>1666</v>
      </c>
      <c r="D1527" s="329" t="s">
        <v>1557</v>
      </c>
      <c r="E1527" s="330"/>
      <c r="F1527" s="59" t="s">
        <v>1638</v>
      </c>
      <c r="G1527" s="323" t="s">
        <v>1502</v>
      </c>
      <c r="H1527" s="59" t="s">
        <v>176</v>
      </c>
      <c r="I1527" s="331">
        <v>12</v>
      </c>
      <c r="J1527" s="332"/>
      <c r="K1527" s="332"/>
      <c r="L1527" s="332">
        <v>17</v>
      </c>
      <c r="M1527" s="332"/>
      <c r="N1527" s="332"/>
      <c r="O1527" s="333"/>
      <c r="P1527" s="333"/>
      <c r="Q1527" s="333">
        <v>12</v>
      </c>
      <c r="R1527" s="333"/>
      <c r="S1527" s="334"/>
    </row>
    <row r="1528" spans="1:19" ht="15" customHeight="1">
      <c r="A1528" s="561">
        <f t="shared" si="32"/>
        <v>1528</v>
      </c>
      <c r="B1528" s="58">
        <v>405</v>
      </c>
      <c r="C1528" s="328" t="s">
        <v>1666</v>
      </c>
      <c r="D1528" s="329" t="s">
        <v>1557</v>
      </c>
      <c r="E1528" s="330"/>
      <c r="F1528" s="59" t="s">
        <v>1667</v>
      </c>
      <c r="G1528" s="323" t="s">
        <v>1640</v>
      </c>
      <c r="H1528" s="59" t="s">
        <v>176</v>
      </c>
      <c r="I1528" s="331">
        <v>6</v>
      </c>
      <c r="J1528" s="332"/>
      <c r="K1528" s="332"/>
      <c r="L1528" s="332">
        <v>30</v>
      </c>
      <c r="M1528" s="332"/>
      <c r="N1528" s="332"/>
      <c r="O1528" s="333"/>
      <c r="P1528" s="333"/>
      <c r="Q1528" s="333">
        <v>6</v>
      </c>
      <c r="R1528" s="333"/>
      <c r="S1528" s="334"/>
    </row>
    <row r="1529" spans="1:19" ht="15" customHeight="1">
      <c r="A1529" s="561">
        <f t="shared" si="32"/>
        <v>1529</v>
      </c>
      <c r="B1529" s="58">
        <v>405</v>
      </c>
      <c r="C1529" s="328" t="s">
        <v>1666</v>
      </c>
      <c r="D1529" s="329" t="s">
        <v>1557</v>
      </c>
      <c r="E1529" s="330"/>
      <c r="F1529" s="59" t="s">
        <v>1639</v>
      </c>
      <c r="G1529" s="323" t="s">
        <v>1642</v>
      </c>
      <c r="H1529" s="59" t="s">
        <v>160</v>
      </c>
      <c r="I1529" s="331">
        <v>6</v>
      </c>
      <c r="J1529" s="332"/>
      <c r="K1529" s="332"/>
      <c r="L1529" s="332"/>
      <c r="M1529" s="332"/>
      <c r="N1529" s="332">
        <v>30</v>
      </c>
      <c r="O1529" s="333"/>
      <c r="P1529" s="333"/>
      <c r="Q1529" s="333">
        <v>6</v>
      </c>
      <c r="R1529" s="333"/>
      <c r="S1529" s="334"/>
    </row>
    <row r="1530" spans="1:19" ht="15" customHeight="1">
      <c r="A1530" s="561">
        <f t="shared" si="32"/>
        <v>1530</v>
      </c>
      <c r="B1530" s="58">
        <v>405</v>
      </c>
      <c r="C1530" s="328" t="s">
        <v>1666</v>
      </c>
      <c r="D1530" s="329" t="s">
        <v>1557</v>
      </c>
      <c r="E1530" s="330"/>
      <c r="F1530" s="59" t="s">
        <v>1668</v>
      </c>
      <c r="G1530" s="323" t="s">
        <v>1644</v>
      </c>
      <c r="H1530" s="59" t="s">
        <v>176</v>
      </c>
      <c r="I1530" s="331">
        <v>7</v>
      </c>
      <c r="J1530" s="332"/>
      <c r="K1530" s="332"/>
      <c r="L1530" s="332">
        <v>32</v>
      </c>
      <c r="M1530" s="332"/>
      <c r="N1530" s="332"/>
      <c r="O1530" s="333"/>
      <c r="P1530" s="333"/>
      <c r="Q1530" s="333">
        <v>7</v>
      </c>
      <c r="R1530" s="333"/>
      <c r="S1530" s="334"/>
    </row>
    <row r="1531" spans="1:19" ht="15" customHeight="1">
      <c r="A1531" s="561">
        <f t="shared" si="32"/>
        <v>1531</v>
      </c>
      <c r="B1531" s="58">
        <v>405</v>
      </c>
      <c r="C1531" s="328" t="s">
        <v>1666</v>
      </c>
      <c r="D1531" s="329" t="s">
        <v>1557</v>
      </c>
      <c r="E1531" s="330"/>
      <c r="F1531" s="59" t="s">
        <v>1074</v>
      </c>
      <c r="G1531" s="323" t="s">
        <v>1646</v>
      </c>
      <c r="H1531" s="59" t="s">
        <v>176</v>
      </c>
      <c r="I1531" s="331">
        <v>16</v>
      </c>
      <c r="J1531" s="332"/>
      <c r="K1531" s="332"/>
      <c r="L1531" s="332">
        <v>50</v>
      </c>
      <c r="M1531" s="332"/>
      <c r="N1531" s="332"/>
      <c r="O1531" s="333"/>
      <c r="P1531" s="333"/>
      <c r="Q1531" s="333">
        <v>16</v>
      </c>
      <c r="R1531" s="333"/>
      <c r="S1531" s="334"/>
    </row>
    <row r="1532" spans="1:19" ht="15" customHeight="1">
      <c r="A1532" s="561">
        <f t="shared" si="32"/>
        <v>1532</v>
      </c>
      <c r="B1532" s="58">
        <v>405</v>
      </c>
      <c r="C1532" s="328" t="s">
        <v>1666</v>
      </c>
      <c r="D1532" s="329" t="s">
        <v>1557</v>
      </c>
      <c r="E1532" s="330"/>
      <c r="F1532" s="59" t="s">
        <v>1669</v>
      </c>
      <c r="G1532" s="323" t="s">
        <v>1648</v>
      </c>
      <c r="H1532" s="59" t="s">
        <v>176</v>
      </c>
      <c r="I1532" s="331">
        <v>85</v>
      </c>
      <c r="J1532" s="332"/>
      <c r="K1532" s="332"/>
      <c r="L1532" s="332">
        <v>144</v>
      </c>
      <c r="M1532" s="332"/>
      <c r="N1532" s="332"/>
      <c r="O1532" s="333"/>
      <c r="P1532" s="333"/>
      <c r="Q1532" s="333">
        <v>85</v>
      </c>
      <c r="R1532" s="333"/>
      <c r="S1532" s="334"/>
    </row>
    <row r="1533" spans="1:19" ht="15" customHeight="1">
      <c r="A1533" s="561">
        <f t="shared" si="32"/>
        <v>1533</v>
      </c>
      <c r="B1533" s="58">
        <v>405</v>
      </c>
      <c r="C1533" s="328" t="s">
        <v>1666</v>
      </c>
      <c r="D1533" s="329" t="s">
        <v>1557</v>
      </c>
      <c r="E1533" s="330"/>
      <c r="F1533" s="59" t="s">
        <v>1647</v>
      </c>
      <c r="G1533" s="323" t="s">
        <v>1650</v>
      </c>
      <c r="H1533" s="59" t="s">
        <v>1055</v>
      </c>
      <c r="I1533" s="331">
        <v>12</v>
      </c>
      <c r="J1533" s="332"/>
      <c r="K1533" s="332"/>
      <c r="L1533" s="332">
        <v>43</v>
      </c>
      <c r="M1533" s="332"/>
      <c r="N1533" s="332"/>
      <c r="O1533" s="333"/>
      <c r="P1533" s="333"/>
      <c r="Q1533" s="333">
        <v>12</v>
      </c>
      <c r="R1533" s="333"/>
      <c r="S1533" s="334"/>
    </row>
    <row r="1534" spans="1:19" ht="15" customHeight="1">
      <c r="A1534" s="561">
        <f t="shared" si="32"/>
        <v>1534</v>
      </c>
      <c r="B1534" s="58">
        <v>405</v>
      </c>
      <c r="C1534" s="328" t="s">
        <v>1666</v>
      </c>
      <c r="D1534" s="329" t="s">
        <v>1557</v>
      </c>
      <c r="E1534" s="330"/>
      <c r="F1534" s="59" t="s">
        <v>1647</v>
      </c>
      <c r="G1534" s="323" t="s">
        <v>1651</v>
      </c>
      <c r="H1534" s="59" t="s">
        <v>1055</v>
      </c>
      <c r="I1534" s="331">
        <v>12</v>
      </c>
      <c r="J1534" s="332"/>
      <c r="K1534" s="332"/>
      <c r="L1534" s="332">
        <v>43</v>
      </c>
      <c r="M1534" s="332"/>
      <c r="N1534" s="332"/>
      <c r="O1534" s="333"/>
      <c r="P1534" s="333"/>
      <c r="Q1534" s="333">
        <v>12</v>
      </c>
      <c r="R1534" s="333"/>
      <c r="S1534" s="334"/>
    </row>
    <row r="1535" spans="1:19" ht="15" customHeight="1">
      <c r="A1535" s="561">
        <f t="shared" si="32"/>
        <v>1535</v>
      </c>
      <c r="B1535" s="58">
        <v>405</v>
      </c>
      <c r="C1535" s="328" t="s">
        <v>1666</v>
      </c>
      <c r="D1535" s="329" t="s">
        <v>1557</v>
      </c>
      <c r="E1535" s="330"/>
      <c r="F1535" s="59" t="s">
        <v>1647</v>
      </c>
      <c r="G1535" s="323" t="s">
        <v>1652</v>
      </c>
      <c r="H1535" s="59" t="s">
        <v>1055</v>
      </c>
      <c r="I1535" s="331">
        <v>12</v>
      </c>
      <c r="J1535" s="332"/>
      <c r="K1535" s="332"/>
      <c r="L1535" s="332">
        <v>43</v>
      </c>
      <c r="M1535" s="332"/>
      <c r="N1535" s="332"/>
      <c r="O1535" s="333"/>
      <c r="P1535" s="333"/>
      <c r="Q1535" s="333">
        <v>12</v>
      </c>
      <c r="R1535" s="333"/>
      <c r="S1535" s="334"/>
    </row>
    <row r="1536" spans="1:19" ht="15" customHeight="1">
      <c r="A1536" s="561">
        <f t="shared" si="32"/>
        <v>1536</v>
      </c>
      <c r="B1536" s="58">
        <v>405</v>
      </c>
      <c r="C1536" s="328" t="s">
        <v>1666</v>
      </c>
      <c r="D1536" s="329" t="s">
        <v>1557</v>
      </c>
      <c r="E1536" s="330"/>
      <c r="F1536" s="59" t="s">
        <v>1653</v>
      </c>
      <c r="G1536" s="323" t="s">
        <v>1654</v>
      </c>
      <c r="H1536" s="59" t="s">
        <v>176</v>
      </c>
      <c r="I1536" s="331">
        <v>24</v>
      </c>
      <c r="J1536" s="332"/>
      <c r="K1536" s="332"/>
      <c r="L1536" s="332">
        <v>63</v>
      </c>
      <c r="M1536" s="332"/>
      <c r="N1536" s="332"/>
      <c r="O1536" s="333"/>
      <c r="P1536" s="333"/>
      <c r="Q1536" s="333">
        <v>24</v>
      </c>
      <c r="R1536" s="333"/>
      <c r="S1536" s="334"/>
    </row>
    <row r="1537" spans="1:19" ht="15" customHeight="1">
      <c r="A1537" s="561">
        <f t="shared" si="32"/>
        <v>1537</v>
      </c>
      <c r="B1537" s="58">
        <v>405</v>
      </c>
      <c r="C1537" s="328" t="s">
        <v>1666</v>
      </c>
      <c r="D1537" s="329" t="s">
        <v>1557</v>
      </c>
      <c r="E1537" s="330"/>
      <c r="F1537" s="59" t="s">
        <v>248</v>
      </c>
      <c r="G1537" s="323" t="s">
        <v>1655</v>
      </c>
      <c r="H1537" s="59" t="s">
        <v>176</v>
      </c>
      <c r="I1537" s="331">
        <v>4</v>
      </c>
      <c r="J1537" s="332"/>
      <c r="K1537" s="332"/>
      <c r="L1537" s="332">
        <v>30</v>
      </c>
      <c r="M1537" s="332"/>
      <c r="N1537" s="332"/>
      <c r="O1537" s="333"/>
      <c r="P1537" s="333"/>
      <c r="Q1537" s="333">
        <v>4</v>
      </c>
      <c r="R1537" s="333"/>
      <c r="S1537" s="334"/>
    </row>
    <row r="1538" spans="1:19" ht="15" customHeight="1">
      <c r="A1538" s="561">
        <f t="shared" si="32"/>
        <v>1538</v>
      </c>
      <c r="B1538" s="58">
        <v>405</v>
      </c>
      <c r="C1538" s="328" t="s">
        <v>1666</v>
      </c>
      <c r="D1538" s="329" t="s">
        <v>1557</v>
      </c>
      <c r="E1538" s="330"/>
      <c r="F1538" s="59" t="s">
        <v>208</v>
      </c>
      <c r="G1538" s="323" t="s">
        <v>1656</v>
      </c>
      <c r="H1538" s="59" t="s">
        <v>176</v>
      </c>
      <c r="I1538" s="331">
        <v>2</v>
      </c>
      <c r="J1538" s="332">
        <v>14</v>
      </c>
      <c r="K1538" s="332"/>
      <c r="L1538" s="332"/>
      <c r="M1538" s="332"/>
      <c r="N1538" s="332"/>
      <c r="O1538" s="333"/>
      <c r="P1538" s="333"/>
      <c r="Q1538" s="333">
        <v>2</v>
      </c>
      <c r="R1538" s="333"/>
      <c r="S1538" s="334"/>
    </row>
    <row r="1539" spans="1:19" ht="15" customHeight="1">
      <c r="A1539" s="561">
        <f t="shared" ref="A1539:A1602" si="33">1+A1538</f>
        <v>1539</v>
      </c>
      <c r="B1539" s="58">
        <v>405</v>
      </c>
      <c r="C1539" s="328" t="s">
        <v>1666</v>
      </c>
      <c r="D1539" s="329" t="s">
        <v>1557</v>
      </c>
      <c r="E1539" s="330"/>
      <c r="F1539" s="59" t="s">
        <v>1657</v>
      </c>
      <c r="G1539" s="323" t="s">
        <v>1658</v>
      </c>
      <c r="H1539" s="59" t="s">
        <v>176</v>
      </c>
      <c r="I1539" s="331">
        <v>6</v>
      </c>
      <c r="J1539" s="332">
        <v>20</v>
      </c>
      <c r="K1539" s="332"/>
      <c r="L1539" s="332"/>
      <c r="M1539" s="332"/>
      <c r="N1539" s="332"/>
      <c r="O1539" s="333"/>
      <c r="P1539" s="333"/>
      <c r="Q1539" s="333">
        <v>6</v>
      </c>
      <c r="R1539" s="333"/>
      <c r="S1539" s="334"/>
    </row>
    <row r="1540" spans="1:19" ht="15" customHeight="1">
      <c r="A1540" s="561">
        <f t="shared" si="33"/>
        <v>1540</v>
      </c>
      <c r="B1540" s="58">
        <v>406</v>
      </c>
      <c r="C1540" s="328" t="s">
        <v>301</v>
      </c>
      <c r="D1540" s="329" t="s">
        <v>1557</v>
      </c>
      <c r="E1540" s="330"/>
      <c r="F1540" s="59" t="s">
        <v>111</v>
      </c>
      <c r="G1540" s="323" t="s">
        <v>1500</v>
      </c>
      <c r="H1540" s="59" t="s">
        <v>160</v>
      </c>
      <c r="I1540" s="331">
        <v>19</v>
      </c>
      <c r="J1540" s="332"/>
      <c r="K1540" s="332"/>
      <c r="L1540" s="332">
        <v>55</v>
      </c>
      <c r="M1540" s="332"/>
      <c r="N1540" s="332"/>
      <c r="O1540" s="333"/>
      <c r="P1540" s="333"/>
      <c r="Q1540" s="333">
        <v>19</v>
      </c>
      <c r="R1540" s="333"/>
      <c r="S1540" s="334"/>
    </row>
    <row r="1541" spans="1:19" ht="15" customHeight="1">
      <c r="A1541" s="561">
        <f t="shared" si="33"/>
        <v>1541</v>
      </c>
      <c r="B1541" s="58">
        <v>406</v>
      </c>
      <c r="C1541" s="328" t="s">
        <v>301</v>
      </c>
      <c r="D1541" s="329" t="s">
        <v>1557</v>
      </c>
      <c r="E1541" s="330"/>
      <c r="F1541" s="59" t="s">
        <v>1635</v>
      </c>
      <c r="G1541" s="323" t="s">
        <v>1504</v>
      </c>
      <c r="H1541" s="59" t="s">
        <v>160</v>
      </c>
      <c r="I1541" s="331">
        <v>12</v>
      </c>
      <c r="J1541" s="332">
        <v>2</v>
      </c>
      <c r="K1541" s="332"/>
      <c r="L1541" s="332">
        <v>39</v>
      </c>
      <c r="M1541" s="332"/>
      <c r="N1541" s="332"/>
      <c r="O1541" s="333"/>
      <c r="P1541" s="333"/>
      <c r="Q1541" s="333">
        <v>12</v>
      </c>
      <c r="R1541" s="333"/>
      <c r="S1541" s="334"/>
    </row>
    <row r="1542" spans="1:19" ht="15" customHeight="1">
      <c r="A1542" s="561">
        <f t="shared" si="33"/>
        <v>1542</v>
      </c>
      <c r="B1542" s="58">
        <v>406</v>
      </c>
      <c r="C1542" s="328" t="s">
        <v>301</v>
      </c>
      <c r="D1542" s="329" t="s">
        <v>1557</v>
      </c>
      <c r="E1542" s="330"/>
      <c r="F1542" s="59" t="s">
        <v>309</v>
      </c>
      <c r="G1542" s="323" t="s">
        <v>1636</v>
      </c>
      <c r="H1542" s="59" t="s">
        <v>160</v>
      </c>
      <c r="I1542" s="331">
        <v>1</v>
      </c>
      <c r="J1542" s="332">
        <v>9</v>
      </c>
      <c r="K1542" s="332"/>
      <c r="L1542" s="332"/>
      <c r="M1542" s="332"/>
      <c r="N1542" s="332"/>
      <c r="O1542" s="333"/>
      <c r="P1542" s="333"/>
      <c r="Q1542" s="333">
        <v>1</v>
      </c>
      <c r="R1542" s="333"/>
      <c r="S1542" s="334"/>
    </row>
    <row r="1543" spans="1:19" ht="15" customHeight="1">
      <c r="A1543" s="561">
        <f t="shared" si="33"/>
        <v>1543</v>
      </c>
      <c r="B1543" s="58">
        <v>406</v>
      </c>
      <c r="C1543" s="328" t="s">
        <v>301</v>
      </c>
      <c r="D1543" s="329" t="s">
        <v>1557</v>
      </c>
      <c r="E1543" s="330"/>
      <c r="F1543" s="59" t="s">
        <v>309</v>
      </c>
      <c r="G1543" s="323" t="s">
        <v>1637</v>
      </c>
      <c r="H1543" s="59" t="s">
        <v>160</v>
      </c>
      <c r="I1543" s="331">
        <v>1</v>
      </c>
      <c r="J1543" s="332">
        <v>9</v>
      </c>
      <c r="K1543" s="332"/>
      <c r="L1543" s="332"/>
      <c r="M1543" s="332"/>
      <c r="N1543" s="332"/>
      <c r="O1543" s="333"/>
      <c r="P1543" s="333"/>
      <c r="Q1543" s="333">
        <v>1</v>
      </c>
      <c r="R1543" s="333"/>
      <c r="S1543" s="334"/>
    </row>
    <row r="1544" spans="1:19" ht="15" customHeight="1">
      <c r="A1544" s="561">
        <f t="shared" si="33"/>
        <v>1544</v>
      </c>
      <c r="B1544" s="58">
        <v>406</v>
      </c>
      <c r="C1544" s="328" t="s">
        <v>301</v>
      </c>
      <c r="D1544" s="329" t="s">
        <v>1557</v>
      </c>
      <c r="E1544" s="330"/>
      <c r="F1544" s="59" t="s">
        <v>1638</v>
      </c>
      <c r="G1544" s="323" t="s">
        <v>1502</v>
      </c>
      <c r="H1544" s="59" t="s">
        <v>160</v>
      </c>
      <c r="I1544" s="331">
        <v>12</v>
      </c>
      <c r="J1544" s="332"/>
      <c r="K1544" s="332"/>
      <c r="L1544" s="332">
        <v>17</v>
      </c>
      <c r="M1544" s="332"/>
      <c r="N1544" s="332"/>
      <c r="O1544" s="333"/>
      <c r="P1544" s="333"/>
      <c r="Q1544" s="333">
        <v>12</v>
      </c>
      <c r="R1544" s="333"/>
      <c r="S1544" s="334"/>
    </row>
    <row r="1545" spans="1:19" ht="15" customHeight="1">
      <c r="A1545" s="561">
        <f t="shared" si="33"/>
        <v>1545</v>
      </c>
      <c r="B1545" s="58">
        <v>406</v>
      </c>
      <c r="C1545" s="328" t="s">
        <v>301</v>
      </c>
      <c r="D1545" s="329" t="s">
        <v>1557</v>
      </c>
      <c r="E1545" s="330"/>
      <c r="F1545" s="59" t="s">
        <v>1667</v>
      </c>
      <c r="G1545" s="323" t="s">
        <v>1640</v>
      </c>
      <c r="H1545" s="59" t="s">
        <v>160</v>
      </c>
      <c r="I1545" s="331">
        <v>6</v>
      </c>
      <c r="J1545" s="332"/>
      <c r="K1545" s="332"/>
      <c r="L1545" s="332">
        <v>30</v>
      </c>
      <c r="M1545" s="332"/>
      <c r="N1545" s="332"/>
      <c r="O1545" s="333"/>
      <c r="P1545" s="333"/>
      <c r="Q1545" s="333">
        <v>6</v>
      </c>
      <c r="R1545" s="333"/>
      <c r="S1545" s="334"/>
    </row>
    <row r="1546" spans="1:19" ht="15" customHeight="1">
      <c r="A1546" s="561">
        <f t="shared" si="33"/>
        <v>1546</v>
      </c>
      <c r="B1546" s="58">
        <v>406</v>
      </c>
      <c r="C1546" s="328" t="s">
        <v>301</v>
      </c>
      <c r="D1546" s="329" t="s">
        <v>1557</v>
      </c>
      <c r="E1546" s="330"/>
      <c r="F1546" s="59" t="s">
        <v>1639</v>
      </c>
      <c r="G1546" s="323" t="s">
        <v>1642</v>
      </c>
      <c r="H1546" s="59" t="s">
        <v>160</v>
      </c>
      <c r="I1546" s="331">
        <v>6</v>
      </c>
      <c r="J1546" s="332"/>
      <c r="K1546" s="332"/>
      <c r="L1546" s="332"/>
      <c r="M1546" s="332"/>
      <c r="N1546" s="332">
        <v>30</v>
      </c>
      <c r="O1546" s="333"/>
      <c r="P1546" s="333"/>
      <c r="Q1546" s="333">
        <v>6</v>
      </c>
      <c r="R1546" s="333"/>
      <c r="S1546" s="334"/>
    </row>
    <row r="1547" spans="1:19" ht="15" customHeight="1">
      <c r="A1547" s="561">
        <f t="shared" si="33"/>
        <v>1547</v>
      </c>
      <c r="B1547" s="58">
        <v>406</v>
      </c>
      <c r="C1547" s="328" t="s">
        <v>301</v>
      </c>
      <c r="D1547" s="329" t="s">
        <v>1557</v>
      </c>
      <c r="E1547" s="330"/>
      <c r="F1547" s="59" t="s">
        <v>1668</v>
      </c>
      <c r="G1547" s="323" t="s">
        <v>1644</v>
      </c>
      <c r="H1547" s="59" t="s">
        <v>160</v>
      </c>
      <c r="I1547" s="331">
        <v>7</v>
      </c>
      <c r="J1547" s="332"/>
      <c r="K1547" s="332"/>
      <c r="L1547" s="332">
        <v>32</v>
      </c>
      <c r="M1547" s="332"/>
      <c r="N1547" s="332"/>
      <c r="O1547" s="333"/>
      <c r="P1547" s="333"/>
      <c r="Q1547" s="333">
        <v>7</v>
      </c>
      <c r="R1547" s="333"/>
      <c r="S1547" s="334"/>
    </row>
    <row r="1548" spans="1:19" ht="15" customHeight="1">
      <c r="A1548" s="561">
        <f t="shared" si="33"/>
        <v>1548</v>
      </c>
      <c r="B1548" s="58">
        <v>406</v>
      </c>
      <c r="C1548" s="328" t="s">
        <v>301</v>
      </c>
      <c r="D1548" s="329" t="s">
        <v>1557</v>
      </c>
      <c r="E1548" s="330"/>
      <c r="F1548" s="59" t="s">
        <v>1074</v>
      </c>
      <c r="G1548" s="323" t="s">
        <v>1646</v>
      </c>
      <c r="H1548" s="59" t="s">
        <v>160</v>
      </c>
      <c r="I1548" s="331">
        <v>16</v>
      </c>
      <c r="J1548" s="332"/>
      <c r="K1548" s="332"/>
      <c r="L1548" s="332">
        <v>50</v>
      </c>
      <c r="M1548" s="332"/>
      <c r="N1548" s="332"/>
      <c r="O1548" s="333"/>
      <c r="P1548" s="333"/>
      <c r="Q1548" s="333">
        <v>16</v>
      </c>
      <c r="R1548" s="333"/>
      <c r="S1548" s="334"/>
    </row>
    <row r="1549" spans="1:19" ht="15" customHeight="1">
      <c r="A1549" s="561">
        <f t="shared" si="33"/>
        <v>1549</v>
      </c>
      <c r="B1549" s="58">
        <v>406</v>
      </c>
      <c r="C1549" s="328" t="s">
        <v>301</v>
      </c>
      <c r="D1549" s="329" t="s">
        <v>1557</v>
      </c>
      <c r="E1549" s="330"/>
      <c r="F1549" s="59" t="s">
        <v>1669</v>
      </c>
      <c r="G1549" s="323" t="s">
        <v>1648</v>
      </c>
      <c r="H1549" s="59" t="s">
        <v>160</v>
      </c>
      <c r="I1549" s="331">
        <v>85</v>
      </c>
      <c r="J1549" s="332"/>
      <c r="K1549" s="332"/>
      <c r="L1549" s="332">
        <v>144</v>
      </c>
      <c r="M1549" s="332"/>
      <c r="N1549" s="332"/>
      <c r="O1549" s="333"/>
      <c r="P1549" s="333"/>
      <c r="Q1549" s="333">
        <v>85</v>
      </c>
      <c r="R1549" s="333"/>
      <c r="S1549" s="334"/>
    </row>
    <row r="1550" spans="1:19" ht="15" customHeight="1">
      <c r="A1550" s="561">
        <f t="shared" si="33"/>
        <v>1550</v>
      </c>
      <c r="B1550" s="58">
        <v>406</v>
      </c>
      <c r="C1550" s="328" t="s">
        <v>301</v>
      </c>
      <c r="D1550" s="329" t="s">
        <v>1557</v>
      </c>
      <c r="E1550" s="330"/>
      <c r="F1550" s="59" t="s">
        <v>283</v>
      </c>
      <c r="G1550" s="323" t="s">
        <v>1650</v>
      </c>
      <c r="H1550" s="59" t="s">
        <v>319</v>
      </c>
      <c r="I1550" s="331">
        <v>12</v>
      </c>
      <c r="J1550" s="332"/>
      <c r="K1550" s="332"/>
      <c r="L1550" s="332">
        <v>43</v>
      </c>
      <c r="M1550" s="332"/>
      <c r="N1550" s="332"/>
      <c r="O1550" s="333"/>
      <c r="P1550" s="333"/>
      <c r="Q1550" s="333">
        <v>12</v>
      </c>
      <c r="R1550" s="333"/>
      <c r="S1550" s="334"/>
    </row>
    <row r="1551" spans="1:19" ht="15" customHeight="1">
      <c r="A1551" s="561">
        <f t="shared" si="33"/>
        <v>1551</v>
      </c>
      <c r="B1551" s="58">
        <v>406</v>
      </c>
      <c r="C1551" s="328" t="s">
        <v>301</v>
      </c>
      <c r="D1551" s="329" t="s">
        <v>1557</v>
      </c>
      <c r="E1551" s="330"/>
      <c r="F1551" s="59" t="s">
        <v>1647</v>
      </c>
      <c r="G1551" s="323" t="s">
        <v>1651</v>
      </c>
      <c r="H1551" s="59" t="s">
        <v>1055</v>
      </c>
      <c r="I1551" s="331">
        <v>12</v>
      </c>
      <c r="J1551" s="332"/>
      <c r="K1551" s="332"/>
      <c r="L1551" s="332">
        <v>43</v>
      </c>
      <c r="M1551" s="332"/>
      <c r="N1551" s="332"/>
      <c r="O1551" s="333"/>
      <c r="P1551" s="333">
        <v>12</v>
      </c>
      <c r="Q1551" s="333"/>
      <c r="R1551" s="333"/>
      <c r="S1551" s="334"/>
    </row>
    <row r="1552" spans="1:19" ht="15" customHeight="1">
      <c r="A1552" s="561">
        <f t="shared" si="33"/>
        <v>1552</v>
      </c>
      <c r="B1552" s="58">
        <v>406</v>
      </c>
      <c r="C1552" s="328" t="s">
        <v>301</v>
      </c>
      <c r="D1552" s="329" t="s">
        <v>1557</v>
      </c>
      <c r="E1552" s="330"/>
      <c r="F1552" s="59" t="s">
        <v>1647</v>
      </c>
      <c r="G1552" s="323" t="s">
        <v>1652</v>
      </c>
      <c r="H1552" s="59" t="s">
        <v>1055</v>
      </c>
      <c r="I1552" s="331">
        <v>12</v>
      </c>
      <c r="J1552" s="332"/>
      <c r="K1552" s="332"/>
      <c r="L1552" s="332">
        <v>43</v>
      </c>
      <c r="M1552" s="332"/>
      <c r="N1552" s="332"/>
      <c r="O1552" s="333"/>
      <c r="P1552" s="333">
        <v>12</v>
      </c>
      <c r="Q1552" s="333"/>
      <c r="R1552" s="333"/>
      <c r="S1552" s="334"/>
    </row>
    <row r="1553" spans="1:19" ht="15" customHeight="1">
      <c r="A1553" s="561">
        <f t="shared" si="33"/>
        <v>1553</v>
      </c>
      <c r="B1553" s="58">
        <v>406</v>
      </c>
      <c r="C1553" s="328" t="s">
        <v>301</v>
      </c>
      <c r="D1553" s="329" t="s">
        <v>1557</v>
      </c>
      <c r="E1553" s="330"/>
      <c r="F1553" s="59" t="s">
        <v>1653</v>
      </c>
      <c r="G1553" s="323" t="s">
        <v>1654</v>
      </c>
      <c r="H1553" s="59" t="s">
        <v>160</v>
      </c>
      <c r="I1553" s="331">
        <v>24</v>
      </c>
      <c r="J1553" s="332"/>
      <c r="K1553" s="332"/>
      <c r="L1553" s="332">
        <v>63</v>
      </c>
      <c r="M1553" s="332"/>
      <c r="N1553" s="332"/>
      <c r="O1553" s="333"/>
      <c r="P1553" s="333"/>
      <c r="Q1553" s="333">
        <v>24</v>
      </c>
      <c r="R1553" s="333"/>
      <c r="S1553" s="334"/>
    </row>
    <row r="1554" spans="1:19" ht="15" customHeight="1">
      <c r="A1554" s="561">
        <f t="shared" si="33"/>
        <v>1554</v>
      </c>
      <c r="B1554" s="58">
        <v>406</v>
      </c>
      <c r="C1554" s="328" t="s">
        <v>301</v>
      </c>
      <c r="D1554" s="329" t="s">
        <v>1557</v>
      </c>
      <c r="E1554" s="330"/>
      <c r="F1554" s="59" t="s">
        <v>248</v>
      </c>
      <c r="G1554" s="323" t="s">
        <v>1655</v>
      </c>
      <c r="H1554" s="59" t="s">
        <v>160</v>
      </c>
      <c r="I1554" s="331">
        <v>4</v>
      </c>
      <c r="J1554" s="332"/>
      <c r="K1554" s="332"/>
      <c r="L1554" s="332">
        <v>30</v>
      </c>
      <c r="M1554" s="332"/>
      <c r="N1554" s="332"/>
      <c r="O1554" s="333"/>
      <c r="P1554" s="333"/>
      <c r="Q1554" s="333">
        <v>4</v>
      </c>
      <c r="R1554" s="333"/>
      <c r="S1554" s="334"/>
    </row>
    <row r="1555" spans="1:19" ht="15" customHeight="1">
      <c r="A1555" s="561">
        <f t="shared" si="33"/>
        <v>1555</v>
      </c>
      <c r="B1555" s="58">
        <v>406</v>
      </c>
      <c r="C1555" s="328" t="s">
        <v>301</v>
      </c>
      <c r="D1555" s="329" t="s">
        <v>1557</v>
      </c>
      <c r="E1555" s="330"/>
      <c r="F1555" s="59" t="s">
        <v>208</v>
      </c>
      <c r="G1555" s="323" t="s">
        <v>1656</v>
      </c>
      <c r="H1555" s="59" t="s">
        <v>160</v>
      </c>
      <c r="I1555" s="331">
        <v>2</v>
      </c>
      <c r="J1555" s="332"/>
      <c r="K1555" s="332"/>
      <c r="L1555" s="332">
        <v>14</v>
      </c>
      <c r="M1555" s="332"/>
      <c r="N1555" s="332"/>
      <c r="O1555" s="333"/>
      <c r="P1555" s="333"/>
      <c r="Q1555" s="333">
        <v>2</v>
      </c>
      <c r="R1555" s="333"/>
      <c r="S1555" s="334"/>
    </row>
    <row r="1556" spans="1:19" ht="15" customHeight="1">
      <c r="A1556" s="561">
        <f t="shared" si="33"/>
        <v>1556</v>
      </c>
      <c r="B1556" s="58">
        <v>406</v>
      </c>
      <c r="C1556" s="328" t="s">
        <v>301</v>
      </c>
      <c r="D1556" s="329" t="s">
        <v>1557</v>
      </c>
      <c r="E1556" s="330"/>
      <c r="F1556" s="59" t="s">
        <v>1657</v>
      </c>
      <c r="G1556" s="323" t="s">
        <v>1658</v>
      </c>
      <c r="H1556" s="59" t="s">
        <v>160</v>
      </c>
      <c r="I1556" s="331">
        <v>6</v>
      </c>
      <c r="J1556" s="332">
        <v>20</v>
      </c>
      <c r="K1556" s="332"/>
      <c r="L1556" s="332"/>
      <c r="M1556" s="332"/>
      <c r="N1556" s="332"/>
      <c r="O1556" s="333"/>
      <c r="P1556" s="333"/>
      <c r="Q1556" s="333">
        <v>6</v>
      </c>
      <c r="R1556" s="333"/>
      <c r="S1556" s="334"/>
    </row>
    <row r="1557" spans="1:19" ht="15" customHeight="1">
      <c r="A1557" s="561">
        <f t="shared" si="33"/>
        <v>1557</v>
      </c>
      <c r="B1557" s="58">
        <v>407</v>
      </c>
      <c r="C1557" s="328" t="s">
        <v>198</v>
      </c>
      <c r="D1557" s="329" t="s">
        <v>1557</v>
      </c>
      <c r="E1557" s="330"/>
      <c r="F1557" s="59" t="s">
        <v>111</v>
      </c>
      <c r="G1557" s="323" t="s">
        <v>1500</v>
      </c>
      <c r="H1557" s="59" t="s">
        <v>176</v>
      </c>
      <c r="I1557" s="331">
        <v>19</v>
      </c>
      <c r="J1557" s="332"/>
      <c r="K1557" s="332"/>
      <c r="L1557" s="332">
        <v>55</v>
      </c>
      <c r="M1557" s="332"/>
      <c r="N1557" s="332"/>
      <c r="O1557" s="333"/>
      <c r="P1557" s="333"/>
      <c r="Q1557" s="333">
        <v>19</v>
      </c>
      <c r="R1557" s="333"/>
      <c r="S1557" s="334"/>
    </row>
    <row r="1558" spans="1:19" ht="15" customHeight="1">
      <c r="A1558" s="561">
        <f t="shared" si="33"/>
        <v>1558</v>
      </c>
      <c r="B1558" s="58">
        <v>407</v>
      </c>
      <c r="C1558" s="328" t="s">
        <v>198</v>
      </c>
      <c r="D1558" s="329" t="s">
        <v>1557</v>
      </c>
      <c r="E1558" s="330"/>
      <c r="F1558" s="59" t="s">
        <v>1635</v>
      </c>
      <c r="G1558" s="323" t="s">
        <v>1504</v>
      </c>
      <c r="H1558" s="59" t="s">
        <v>176</v>
      </c>
      <c r="I1558" s="331">
        <v>12</v>
      </c>
      <c r="J1558" s="332">
        <v>2</v>
      </c>
      <c r="K1558" s="332"/>
      <c r="L1558" s="332">
        <v>39</v>
      </c>
      <c r="M1558" s="332"/>
      <c r="N1558" s="332"/>
      <c r="O1558" s="333"/>
      <c r="P1558" s="333"/>
      <c r="Q1558" s="333">
        <v>12</v>
      </c>
      <c r="R1558" s="333"/>
      <c r="S1558" s="334"/>
    </row>
    <row r="1559" spans="1:19" ht="15" customHeight="1">
      <c r="A1559" s="561">
        <f t="shared" si="33"/>
        <v>1559</v>
      </c>
      <c r="B1559" s="58">
        <v>407</v>
      </c>
      <c r="C1559" s="328" t="s">
        <v>198</v>
      </c>
      <c r="D1559" s="329" t="s">
        <v>1557</v>
      </c>
      <c r="E1559" s="330"/>
      <c r="F1559" s="59" t="s">
        <v>309</v>
      </c>
      <c r="G1559" s="323" t="s">
        <v>1636</v>
      </c>
      <c r="H1559" s="59" t="s">
        <v>176</v>
      </c>
      <c r="I1559" s="331">
        <v>1</v>
      </c>
      <c r="J1559" s="332">
        <v>9</v>
      </c>
      <c r="K1559" s="332"/>
      <c r="L1559" s="332"/>
      <c r="M1559" s="332"/>
      <c r="N1559" s="332"/>
      <c r="O1559" s="333"/>
      <c r="P1559" s="333"/>
      <c r="Q1559" s="333"/>
      <c r="R1559" s="333">
        <v>1</v>
      </c>
      <c r="S1559" s="334"/>
    </row>
    <row r="1560" spans="1:19" ht="15" customHeight="1">
      <c r="A1560" s="561">
        <f t="shared" si="33"/>
        <v>1560</v>
      </c>
      <c r="B1560" s="58">
        <v>407</v>
      </c>
      <c r="C1560" s="328" t="s">
        <v>198</v>
      </c>
      <c r="D1560" s="329" t="s">
        <v>1557</v>
      </c>
      <c r="E1560" s="330"/>
      <c r="F1560" s="59" t="s">
        <v>309</v>
      </c>
      <c r="G1560" s="323" t="s">
        <v>1637</v>
      </c>
      <c r="H1560" s="59" t="s">
        <v>176</v>
      </c>
      <c r="I1560" s="331">
        <v>1</v>
      </c>
      <c r="J1560" s="332">
        <v>9</v>
      </c>
      <c r="K1560" s="332"/>
      <c r="L1560" s="332"/>
      <c r="M1560" s="332"/>
      <c r="N1560" s="332"/>
      <c r="O1560" s="333"/>
      <c r="P1560" s="333"/>
      <c r="Q1560" s="333"/>
      <c r="R1560" s="333">
        <v>1</v>
      </c>
      <c r="S1560" s="334"/>
    </row>
    <row r="1561" spans="1:19" ht="15" customHeight="1">
      <c r="A1561" s="561">
        <f t="shared" si="33"/>
        <v>1561</v>
      </c>
      <c r="B1561" s="58">
        <v>407</v>
      </c>
      <c r="C1561" s="328" t="s">
        <v>198</v>
      </c>
      <c r="D1561" s="329" t="s">
        <v>1557</v>
      </c>
      <c r="E1561" s="330"/>
      <c r="F1561" s="59" t="s">
        <v>1638</v>
      </c>
      <c r="G1561" s="323" t="s">
        <v>1502</v>
      </c>
      <c r="H1561" s="59" t="s">
        <v>176</v>
      </c>
      <c r="I1561" s="331">
        <v>12</v>
      </c>
      <c r="J1561" s="332"/>
      <c r="K1561" s="332"/>
      <c r="L1561" s="332">
        <v>17</v>
      </c>
      <c r="M1561" s="332"/>
      <c r="N1561" s="332"/>
      <c r="O1561" s="333"/>
      <c r="P1561" s="333"/>
      <c r="Q1561" s="333">
        <v>12</v>
      </c>
      <c r="R1561" s="333"/>
      <c r="S1561" s="334"/>
    </row>
    <row r="1562" spans="1:19" ht="15" customHeight="1">
      <c r="A1562" s="561">
        <f t="shared" si="33"/>
        <v>1562</v>
      </c>
      <c r="B1562" s="58">
        <v>407</v>
      </c>
      <c r="C1562" s="328" t="s">
        <v>198</v>
      </c>
      <c r="D1562" s="329" t="s">
        <v>1557</v>
      </c>
      <c r="E1562" s="330"/>
      <c r="F1562" s="59" t="s">
        <v>1667</v>
      </c>
      <c r="G1562" s="323" t="s">
        <v>1640</v>
      </c>
      <c r="H1562" s="59" t="s">
        <v>176</v>
      </c>
      <c r="I1562" s="331">
        <v>6</v>
      </c>
      <c r="J1562" s="332"/>
      <c r="K1562" s="332"/>
      <c r="L1562" s="332">
        <v>30</v>
      </c>
      <c r="M1562" s="332"/>
      <c r="N1562" s="332"/>
      <c r="O1562" s="333"/>
      <c r="P1562" s="333"/>
      <c r="Q1562" s="333">
        <v>6</v>
      </c>
      <c r="R1562" s="333"/>
      <c r="S1562" s="334"/>
    </row>
    <row r="1563" spans="1:19" ht="15" customHeight="1">
      <c r="A1563" s="561">
        <f t="shared" si="33"/>
        <v>1563</v>
      </c>
      <c r="B1563" s="58">
        <v>407</v>
      </c>
      <c r="C1563" s="328" t="s">
        <v>198</v>
      </c>
      <c r="D1563" s="329" t="s">
        <v>1557</v>
      </c>
      <c r="E1563" s="330"/>
      <c r="F1563" s="59" t="s">
        <v>1639</v>
      </c>
      <c r="G1563" s="323" t="s">
        <v>1642</v>
      </c>
      <c r="H1563" s="59" t="s">
        <v>160</v>
      </c>
      <c r="I1563" s="331">
        <v>6</v>
      </c>
      <c r="J1563" s="332"/>
      <c r="K1563" s="332"/>
      <c r="L1563" s="332"/>
      <c r="M1563" s="332"/>
      <c r="N1563" s="332">
        <v>30</v>
      </c>
      <c r="O1563" s="333"/>
      <c r="P1563" s="333"/>
      <c r="Q1563" s="333">
        <v>6</v>
      </c>
      <c r="R1563" s="333"/>
      <c r="S1563" s="334"/>
    </row>
    <row r="1564" spans="1:19" ht="15" customHeight="1">
      <c r="A1564" s="561">
        <f t="shared" si="33"/>
        <v>1564</v>
      </c>
      <c r="B1564" s="58">
        <v>407</v>
      </c>
      <c r="C1564" s="328" t="s">
        <v>198</v>
      </c>
      <c r="D1564" s="329" t="s">
        <v>1557</v>
      </c>
      <c r="E1564" s="330"/>
      <c r="F1564" s="59" t="s">
        <v>1668</v>
      </c>
      <c r="G1564" s="323" t="s">
        <v>1644</v>
      </c>
      <c r="H1564" s="59" t="s">
        <v>176</v>
      </c>
      <c r="I1564" s="331">
        <v>7</v>
      </c>
      <c r="J1564" s="332"/>
      <c r="K1564" s="332"/>
      <c r="L1564" s="332">
        <v>32</v>
      </c>
      <c r="M1564" s="332"/>
      <c r="N1564" s="332"/>
      <c r="O1564" s="333"/>
      <c r="P1564" s="333"/>
      <c r="Q1564" s="333">
        <v>7</v>
      </c>
      <c r="R1564" s="333"/>
      <c r="S1564" s="334"/>
    </row>
    <row r="1565" spans="1:19" ht="15" customHeight="1">
      <c r="A1565" s="561">
        <f t="shared" si="33"/>
        <v>1565</v>
      </c>
      <c r="B1565" s="58">
        <v>407</v>
      </c>
      <c r="C1565" s="328" t="s">
        <v>198</v>
      </c>
      <c r="D1565" s="329" t="s">
        <v>1557</v>
      </c>
      <c r="E1565" s="330"/>
      <c r="F1565" s="59" t="s">
        <v>1074</v>
      </c>
      <c r="G1565" s="323" t="s">
        <v>1646</v>
      </c>
      <c r="H1565" s="59" t="s">
        <v>176</v>
      </c>
      <c r="I1565" s="331">
        <v>16</v>
      </c>
      <c r="J1565" s="332"/>
      <c r="K1565" s="332"/>
      <c r="L1565" s="332">
        <v>50</v>
      </c>
      <c r="M1565" s="332"/>
      <c r="N1565" s="332"/>
      <c r="O1565" s="333"/>
      <c r="P1565" s="333"/>
      <c r="Q1565" s="333">
        <v>16</v>
      </c>
      <c r="R1565" s="333"/>
      <c r="S1565" s="334"/>
    </row>
    <row r="1566" spans="1:19" ht="15" customHeight="1">
      <c r="A1566" s="561">
        <f t="shared" si="33"/>
        <v>1566</v>
      </c>
      <c r="B1566" s="58">
        <v>407</v>
      </c>
      <c r="C1566" s="328" t="s">
        <v>198</v>
      </c>
      <c r="D1566" s="329" t="s">
        <v>1557</v>
      </c>
      <c r="E1566" s="330"/>
      <c r="F1566" s="59" t="s">
        <v>1669</v>
      </c>
      <c r="G1566" s="323" t="s">
        <v>1648</v>
      </c>
      <c r="H1566" s="59" t="s">
        <v>176</v>
      </c>
      <c r="I1566" s="331">
        <v>101</v>
      </c>
      <c r="J1566" s="332"/>
      <c r="K1566" s="332"/>
      <c r="L1566" s="332">
        <v>173</v>
      </c>
      <c r="M1566" s="332"/>
      <c r="N1566" s="332"/>
      <c r="O1566" s="333"/>
      <c r="P1566" s="333"/>
      <c r="Q1566" s="333">
        <v>101</v>
      </c>
      <c r="R1566" s="333"/>
      <c r="S1566" s="334"/>
    </row>
    <row r="1567" spans="1:19" ht="15" customHeight="1">
      <c r="A1567" s="561">
        <f t="shared" si="33"/>
        <v>1567</v>
      </c>
      <c r="B1567" s="58">
        <v>407</v>
      </c>
      <c r="C1567" s="328" t="s">
        <v>198</v>
      </c>
      <c r="D1567" s="329" t="s">
        <v>1557</v>
      </c>
      <c r="E1567" s="330"/>
      <c r="F1567" s="59" t="s">
        <v>1647</v>
      </c>
      <c r="G1567" s="323" t="s">
        <v>1650</v>
      </c>
      <c r="H1567" s="59" t="s">
        <v>1055</v>
      </c>
      <c r="I1567" s="331">
        <v>12</v>
      </c>
      <c r="J1567" s="332"/>
      <c r="K1567" s="332"/>
      <c r="L1567" s="332">
        <v>43</v>
      </c>
      <c r="M1567" s="332"/>
      <c r="N1567" s="332"/>
      <c r="O1567" s="333"/>
      <c r="P1567" s="333">
        <v>12</v>
      </c>
      <c r="Q1567" s="333"/>
      <c r="R1567" s="333"/>
      <c r="S1567" s="334"/>
    </row>
    <row r="1568" spans="1:19" ht="15" customHeight="1">
      <c r="A1568" s="561">
        <f t="shared" si="33"/>
        <v>1568</v>
      </c>
      <c r="B1568" s="58">
        <v>407</v>
      </c>
      <c r="C1568" s="328" t="s">
        <v>198</v>
      </c>
      <c r="D1568" s="329" t="s">
        <v>1557</v>
      </c>
      <c r="E1568" s="330"/>
      <c r="F1568" s="59" t="s">
        <v>1647</v>
      </c>
      <c r="G1568" s="323" t="s">
        <v>1651</v>
      </c>
      <c r="H1568" s="59" t="s">
        <v>1055</v>
      </c>
      <c r="I1568" s="331">
        <v>12</v>
      </c>
      <c r="J1568" s="332"/>
      <c r="K1568" s="332"/>
      <c r="L1568" s="332">
        <v>43</v>
      </c>
      <c r="M1568" s="332"/>
      <c r="N1568" s="332"/>
      <c r="O1568" s="333"/>
      <c r="P1568" s="333">
        <v>12</v>
      </c>
      <c r="Q1568" s="333"/>
      <c r="R1568" s="333"/>
      <c r="S1568" s="334"/>
    </row>
    <row r="1569" spans="1:19" ht="15" customHeight="1">
      <c r="A1569" s="561">
        <f t="shared" si="33"/>
        <v>1569</v>
      </c>
      <c r="B1569" s="58">
        <v>407</v>
      </c>
      <c r="C1569" s="328" t="s">
        <v>198</v>
      </c>
      <c r="D1569" s="329" t="s">
        <v>1557</v>
      </c>
      <c r="E1569" s="330"/>
      <c r="F1569" s="59" t="s">
        <v>1647</v>
      </c>
      <c r="G1569" s="323" t="s">
        <v>1652</v>
      </c>
      <c r="H1569" s="59" t="s">
        <v>1055</v>
      </c>
      <c r="I1569" s="331">
        <v>12</v>
      </c>
      <c r="J1569" s="332"/>
      <c r="K1569" s="332"/>
      <c r="L1569" s="332">
        <v>43</v>
      </c>
      <c r="M1569" s="332"/>
      <c r="N1569" s="332"/>
      <c r="O1569" s="333"/>
      <c r="P1569" s="333">
        <v>12</v>
      </c>
      <c r="Q1569" s="333"/>
      <c r="R1569" s="333"/>
      <c r="S1569" s="334"/>
    </row>
    <row r="1570" spans="1:19" ht="15" customHeight="1">
      <c r="A1570" s="561">
        <f t="shared" si="33"/>
        <v>1570</v>
      </c>
      <c r="B1570" s="58">
        <v>407</v>
      </c>
      <c r="C1570" s="328" t="s">
        <v>198</v>
      </c>
      <c r="D1570" s="329" t="s">
        <v>1557</v>
      </c>
      <c r="E1570" s="330"/>
      <c r="F1570" s="59" t="s">
        <v>283</v>
      </c>
      <c r="G1570" s="323" t="s">
        <v>1654</v>
      </c>
      <c r="H1570" s="59" t="s">
        <v>319</v>
      </c>
      <c r="I1570" s="331">
        <v>12</v>
      </c>
      <c r="J1570" s="332"/>
      <c r="K1570" s="332"/>
      <c r="L1570" s="332">
        <v>43</v>
      </c>
      <c r="M1570" s="332"/>
      <c r="N1570" s="332"/>
      <c r="O1570" s="333"/>
      <c r="P1570" s="333">
        <v>12</v>
      </c>
      <c r="Q1570" s="333"/>
      <c r="R1570" s="333"/>
      <c r="S1570" s="334"/>
    </row>
    <row r="1571" spans="1:19" ht="15" customHeight="1">
      <c r="A1571" s="561">
        <f t="shared" si="33"/>
        <v>1571</v>
      </c>
      <c r="B1571" s="58">
        <v>407</v>
      </c>
      <c r="C1571" s="328" t="s">
        <v>198</v>
      </c>
      <c r="D1571" s="329" t="s">
        <v>1557</v>
      </c>
      <c r="E1571" s="330"/>
      <c r="F1571" s="59" t="s">
        <v>1653</v>
      </c>
      <c r="G1571" s="323" t="s">
        <v>1655</v>
      </c>
      <c r="H1571" s="59" t="s">
        <v>176</v>
      </c>
      <c r="I1571" s="331">
        <v>24</v>
      </c>
      <c r="J1571" s="332"/>
      <c r="K1571" s="332"/>
      <c r="L1571" s="332">
        <v>63</v>
      </c>
      <c r="M1571" s="332"/>
      <c r="N1571" s="332"/>
      <c r="O1571" s="333"/>
      <c r="P1571" s="333"/>
      <c r="Q1571" s="333">
        <v>24</v>
      </c>
      <c r="R1571" s="333"/>
      <c r="S1571" s="334"/>
    </row>
    <row r="1572" spans="1:19" ht="15" customHeight="1">
      <c r="A1572" s="561">
        <f t="shared" si="33"/>
        <v>1572</v>
      </c>
      <c r="B1572" s="58">
        <v>407</v>
      </c>
      <c r="C1572" s="328" t="s">
        <v>198</v>
      </c>
      <c r="D1572" s="329" t="s">
        <v>1557</v>
      </c>
      <c r="E1572" s="330"/>
      <c r="F1572" s="59" t="s">
        <v>248</v>
      </c>
      <c r="G1572" s="323" t="s">
        <v>1656</v>
      </c>
      <c r="H1572" s="59" t="s">
        <v>176</v>
      </c>
      <c r="I1572" s="331">
        <v>4</v>
      </c>
      <c r="J1572" s="332"/>
      <c r="K1572" s="332"/>
      <c r="L1572" s="332">
        <v>30</v>
      </c>
      <c r="M1572" s="332"/>
      <c r="N1572" s="332"/>
      <c r="O1572" s="333"/>
      <c r="P1572" s="333"/>
      <c r="Q1572" s="333">
        <v>4</v>
      </c>
      <c r="R1572" s="333"/>
      <c r="S1572" s="334"/>
    </row>
    <row r="1573" spans="1:19" ht="15" customHeight="1">
      <c r="A1573" s="561">
        <f t="shared" si="33"/>
        <v>1573</v>
      </c>
      <c r="B1573" s="58">
        <v>407</v>
      </c>
      <c r="C1573" s="328" t="s">
        <v>198</v>
      </c>
      <c r="D1573" s="329" t="s">
        <v>1557</v>
      </c>
      <c r="E1573" s="330"/>
      <c r="F1573" s="59" t="s">
        <v>208</v>
      </c>
      <c r="G1573" s="323" t="s">
        <v>1658</v>
      </c>
      <c r="H1573" s="59" t="s">
        <v>176</v>
      </c>
      <c r="I1573" s="331">
        <v>2</v>
      </c>
      <c r="J1573" s="332"/>
      <c r="K1573" s="332"/>
      <c r="L1573" s="332">
        <v>14</v>
      </c>
      <c r="M1573" s="332"/>
      <c r="N1573" s="332"/>
      <c r="O1573" s="333"/>
      <c r="P1573" s="333"/>
      <c r="Q1573" s="333"/>
      <c r="R1573" s="333">
        <v>2</v>
      </c>
      <c r="S1573" s="334"/>
    </row>
    <row r="1574" spans="1:19" ht="15" customHeight="1">
      <c r="A1574" s="561">
        <f t="shared" si="33"/>
        <v>1574</v>
      </c>
      <c r="B1574" s="58">
        <v>407</v>
      </c>
      <c r="C1574" s="328" t="s">
        <v>198</v>
      </c>
      <c r="D1574" s="329" t="s">
        <v>1557</v>
      </c>
      <c r="E1574" s="330"/>
      <c r="F1574" s="59" t="s">
        <v>1657</v>
      </c>
      <c r="G1574" s="323" t="s">
        <v>1670</v>
      </c>
      <c r="H1574" s="59" t="s">
        <v>176</v>
      </c>
      <c r="I1574" s="331">
        <v>6</v>
      </c>
      <c r="J1574" s="332">
        <v>20</v>
      </c>
      <c r="K1574" s="332"/>
      <c r="L1574" s="332"/>
      <c r="M1574" s="332"/>
      <c r="N1574" s="332"/>
      <c r="O1574" s="333"/>
      <c r="P1574" s="333"/>
      <c r="Q1574" s="333"/>
      <c r="R1574" s="333">
        <v>6</v>
      </c>
      <c r="S1574" s="334"/>
    </row>
    <row r="1575" spans="1:19" ht="15" customHeight="1">
      <c r="A1575" s="561">
        <f t="shared" si="33"/>
        <v>1575</v>
      </c>
      <c r="B1575" s="58">
        <v>408</v>
      </c>
      <c r="C1575" s="328" t="s">
        <v>238</v>
      </c>
      <c r="D1575" s="329" t="s">
        <v>1557</v>
      </c>
      <c r="E1575" s="330"/>
      <c r="F1575" s="59" t="s">
        <v>111</v>
      </c>
      <c r="G1575" s="323" t="s">
        <v>1500</v>
      </c>
      <c r="H1575" s="59" t="s">
        <v>160</v>
      </c>
      <c r="I1575" s="331">
        <v>20</v>
      </c>
      <c r="J1575" s="332"/>
      <c r="K1575" s="332"/>
      <c r="L1575" s="332">
        <v>55</v>
      </c>
      <c r="M1575" s="332"/>
      <c r="N1575" s="332"/>
      <c r="O1575" s="333"/>
      <c r="P1575" s="333"/>
      <c r="Q1575" s="333">
        <v>20</v>
      </c>
      <c r="R1575" s="333"/>
      <c r="S1575" s="334"/>
    </row>
    <row r="1576" spans="1:19" ht="15" customHeight="1">
      <c r="A1576" s="561">
        <f t="shared" si="33"/>
        <v>1576</v>
      </c>
      <c r="B1576" s="58">
        <v>408</v>
      </c>
      <c r="C1576" s="328" t="s">
        <v>238</v>
      </c>
      <c r="D1576" s="329" t="s">
        <v>1557</v>
      </c>
      <c r="E1576" s="330"/>
      <c r="F1576" s="59" t="s">
        <v>1635</v>
      </c>
      <c r="G1576" s="323" t="s">
        <v>1504</v>
      </c>
      <c r="H1576" s="59" t="s">
        <v>160</v>
      </c>
      <c r="I1576" s="331">
        <v>12</v>
      </c>
      <c r="J1576" s="332">
        <v>2</v>
      </c>
      <c r="K1576" s="332"/>
      <c r="L1576" s="332">
        <v>39</v>
      </c>
      <c r="M1576" s="332"/>
      <c r="N1576" s="332"/>
      <c r="O1576" s="333"/>
      <c r="P1576" s="333"/>
      <c r="Q1576" s="333">
        <v>12</v>
      </c>
      <c r="R1576" s="333"/>
      <c r="S1576" s="334"/>
    </row>
    <row r="1577" spans="1:19" ht="15" customHeight="1">
      <c r="A1577" s="561">
        <f t="shared" si="33"/>
        <v>1577</v>
      </c>
      <c r="B1577" s="58">
        <v>408</v>
      </c>
      <c r="C1577" s="328" t="s">
        <v>238</v>
      </c>
      <c r="D1577" s="329" t="s">
        <v>1557</v>
      </c>
      <c r="E1577" s="330"/>
      <c r="F1577" s="59" t="s">
        <v>309</v>
      </c>
      <c r="G1577" s="323" t="s">
        <v>1636</v>
      </c>
      <c r="H1577" s="59" t="s">
        <v>160</v>
      </c>
      <c r="I1577" s="331">
        <v>1</v>
      </c>
      <c r="J1577" s="332">
        <v>9</v>
      </c>
      <c r="K1577" s="332"/>
      <c r="L1577" s="332"/>
      <c r="M1577" s="332"/>
      <c r="N1577" s="332"/>
      <c r="O1577" s="333"/>
      <c r="P1577" s="333"/>
      <c r="Q1577" s="333"/>
      <c r="R1577" s="333">
        <v>1</v>
      </c>
      <c r="S1577" s="334"/>
    </row>
    <row r="1578" spans="1:19" ht="15" customHeight="1">
      <c r="A1578" s="561">
        <f t="shared" si="33"/>
        <v>1578</v>
      </c>
      <c r="B1578" s="58">
        <v>408</v>
      </c>
      <c r="C1578" s="328" t="s">
        <v>238</v>
      </c>
      <c r="D1578" s="329" t="s">
        <v>1557</v>
      </c>
      <c r="E1578" s="330"/>
      <c r="F1578" s="59" t="s">
        <v>309</v>
      </c>
      <c r="G1578" s="323" t="s">
        <v>1637</v>
      </c>
      <c r="H1578" s="59" t="s">
        <v>160</v>
      </c>
      <c r="I1578" s="331">
        <v>1</v>
      </c>
      <c r="J1578" s="332">
        <v>9</v>
      </c>
      <c r="K1578" s="332"/>
      <c r="L1578" s="332"/>
      <c r="M1578" s="332"/>
      <c r="N1578" s="332"/>
      <c r="O1578" s="333"/>
      <c r="P1578" s="333"/>
      <c r="Q1578" s="333"/>
      <c r="R1578" s="333">
        <v>1</v>
      </c>
      <c r="S1578" s="334"/>
    </row>
    <row r="1579" spans="1:19" ht="15" customHeight="1">
      <c r="A1579" s="561">
        <f t="shared" si="33"/>
        <v>1579</v>
      </c>
      <c r="B1579" s="58">
        <v>408</v>
      </c>
      <c r="C1579" s="328" t="s">
        <v>238</v>
      </c>
      <c r="D1579" s="329" t="s">
        <v>1557</v>
      </c>
      <c r="E1579" s="330"/>
      <c r="F1579" s="59" t="s">
        <v>1638</v>
      </c>
      <c r="G1579" s="323" t="s">
        <v>1502</v>
      </c>
      <c r="H1579" s="59" t="s">
        <v>160</v>
      </c>
      <c r="I1579" s="331">
        <v>12</v>
      </c>
      <c r="J1579" s="332"/>
      <c r="K1579" s="332"/>
      <c r="L1579" s="332">
        <v>17</v>
      </c>
      <c r="M1579" s="332"/>
      <c r="N1579" s="332"/>
      <c r="O1579" s="333"/>
      <c r="P1579" s="333"/>
      <c r="Q1579" s="333">
        <v>12</v>
      </c>
      <c r="R1579" s="333"/>
      <c r="S1579" s="334"/>
    </row>
    <row r="1580" spans="1:19" ht="15" customHeight="1">
      <c r="A1580" s="561">
        <f t="shared" si="33"/>
        <v>1580</v>
      </c>
      <c r="B1580" s="58">
        <v>408</v>
      </c>
      <c r="C1580" s="328" t="s">
        <v>238</v>
      </c>
      <c r="D1580" s="329" t="s">
        <v>1557</v>
      </c>
      <c r="E1580" s="330"/>
      <c r="F1580" s="59" t="s">
        <v>1667</v>
      </c>
      <c r="G1580" s="323" t="s">
        <v>1640</v>
      </c>
      <c r="H1580" s="59" t="s">
        <v>160</v>
      </c>
      <c r="I1580" s="331">
        <v>5</v>
      </c>
      <c r="J1580" s="332"/>
      <c r="K1580" s="332"/>
      <c r="L1580" s="332">
        <v>30</v>
      </c>
      <c r="M1580" s="332"/>
      <c r="N1580" s="332"/>
      <c r="O1580" s="333"/>
      <c r="P1580" s="333"/>
      <c r="Q1580" s="333">
        <v>5</v>
      </c>
      <c r="R1580" s="333"/>
      <c r="S1580" s="334"/>
    </row>
    <row r="1581" spans="1:19" ht="15" customHeight="1">
      <c r="A1581" s="561">
        <f t="shared" si="33"/>
        <v>1581</v>
      </c>
      <c r="B1581" s="58">
        <v>408</v>
      </c>
      <c r="C1581" s="328" t="s">
        <v>238</v>
      </c>
      <c r="D1581" s="329" t="s">
        <v>1557</v>
      </c>
      <c r="E1581" s="330"/>
      <c r="F1581" s="59" t="s">
        <v>1639</v>
      </c>
      <c r="G1581" s="323" t="s">
        <v>1642</v>
      </c>
      <c r="H1581" s="59" t="s">
        <v>160</v>
      </c>
      <c r="I1581" s="331">
        <v>6</v>
      </c>
      <c r="J1581" s="332"/>
      <c r="K1581" s="332"/>
      <c r="L1581" s="332"/>
      <c r="M1581" s="332"/>
      <c r="N1581" s="332">
        <v>30</v>
      </c>
      <c r="O1581" s="333"/>
      <c r="P1581" s="333"/>
      <c r="Q1581" s="333">
        <v>6</v>
      </c>
      <c r="R1581" s="333"/>
      <c r="S1581" s="334"/>
    </row>
    <row r="1582" spans="1:19" ht="15" customHeight="1">
      <c r="A1582" s="561">
        <f t="shared" si="33"/>
        <v>1582</v>
      </c>
      <c r="B1582" s="58">
        <v>408</v>
      </c>
      <c r="C1582" s="328" t="s">
        <v>238</v>
      </c>
      <c r="D1582" s="329" t="s">
        <v>1557</v>
      </c>
      <c r="E1582" s="330"/>
      <c r="F1582" s="59" t="s">
        <v>1668</v>
      </c>
      <c r="G1582" s="323" t="s">
        <v>1644</v>
      </c>
      <c r="H1582" s="59" t="s">
        <v>160</v>
      </c>
      <c r="I1582" s="331">
        <v>6</v>
      </c>
      <c r="J1582" s="332"/>
      <c r="K1582" s="332"/>
      <c r="L1582" s="332">
        <v>32</v>
      </c>
      <c r="M1582" s="332"/>
      <c r="N1582" s="332"/>
      <c r="O1582" s="333"/>
      <c r="P1582" s="333"/>
      <c r="Q1582" s="333">
        <v>6</v>
      </c>
      <c r="R1582" s="333"/>
      <c r="S1582" s="334"/>
    </row>
    <row r="1583" spans="1:19" ht="15" customHeight="1">
      <c r="A1583" s="561">
        <f t="shared" si="33"/>
        <v>1583</v>
      </c>
      <c r="B1583" s="58">
        <v>408</v>
      </c>
      <c r="C1583" s="328" t="s">
        <v>238</v>
      </c>
      <c r="D1583" s="329" t="s">
        <v>1557</v>
      </c>
      <c r="E1583" s="330"/>
      <c r="F1583" s="59" t="s">
        <v>1074</v>
      </c>
      <c r="G1583" s="323" t="s">
        <v>1646</v>
      </c>
      <c r="H1583" s="59" t="s">
        <v>160</v>
      </c>
      <c r="I1583" s="331">
        <v>15</v>
      </c>
      <c r="J1583" s="332"/>
      <c r="K1583" s="332"/>
      <c r="L1583" s="332">
        <v>50</v>
      </c>
      <c r="M1583" s="332"/>
      <c r="N1583" s="332"/>
      <c r="O1583" s="333"/>
      <c r="P1583" s="333"/>
      <c r="Q1583" s="333">
        <v>15</v>
      </c>
      <c r="R1583" s="333"/>
      <c r="S1583" s="334"/>
    </row>
    <row r="1584" spans="1:19" ht="15" customHeight="1">
      <c r="A1584" s="561">
        <f t="shared" si="33"/>
        <v>1584</v>
      </c>
      <c r="B1584" s="58">
        <v>408</v>
      </c>
      <c r="C1584" s="328" t="s">
        <v>238</v>
      </c>
      <c r="D1584" s="329" t="s">
        <v>1557</v>
      </c>
      <c r="E1584" s="330"/>
      <c r="F1584" s="59" t="s">
        <v>1669</v>
      </c>
      <c r="G1584" s="323" t="s">
        <v>1648</v>
      </c>
      <c r="H1584" s="59" t="s">
        <v>160</v>
      </c>
      <c r="I1584" s="331">
        <v>84</v>
      </c>
      <c r="J1584" s="332"/>
      <c r="K1584" s="332"/>
      <c r="L1584" s="332">
        <v>144</v>
      </c>
      <c r="M1584" s="332"/>
      <c r="N1584" s="332"/>
      <c r="O1584" s="333"/>
      <c r="P1584" s="333"/>
      <c r="Q1584" s="333">
        <v>84</v>
      </c>
      <c r="R1584" s="333"/>
      <c r="S1584" s="334"/>
    </row>
    <row r="1585" spans="1:19" ht="15" customHeight="1">
      <c r="A1585" s="561">
        <f t="shared" si="33"/>
        <v>1585</v>
      </c>
      <c r="B1585" s="58">
        <v>408</v>
      </c>
      <c r="C1585" s="328" t="s">
        <v>238</v>
      </c>
      <c r="D1585" s="329" t="s">
        <v>1557</v>
      </c>
      <c r="E1585" s="330"/>
      <c r="F1585" s="59" t="s">
        <v>283</v>
      </c>
      <c r="G1585" s="323" t="s">
        <v>1650</v>
      </c>
      <c r="H1585" s="59" t="s">
        <v>319</v>
      </c>
      <c r="I1585" s="331">
        <v>12</v>
      </c>
      <c r="J1585" s="332"/>
      <c r="K1585" s="332"/>
      <c r="L1585" s="332">
        <v>43</v>
      </c>
      <c r="M1585" s="332"/>
      <c r="N1585" s="332"/>
      <c r="O1585" s="333"/>
      <c r="P1585" s="333">
        <v>12</v>
      </c>
      <c r="Q1585" s="333"/>
      <c r="R1585" s="333"/>
      <c r="S1585" s="334"/>
    </row>
    <row r="1586" spans="1:19" ht="15" customHeight="1">
      <c r="A1586" s="561">
        <f t="shared" si="33"/>
        <v>1586</v>
      </c>
      <c r="B1586" s="58">
        <v>408</v>
      </c>
      <c r="C1586" s="328" t="s">
        <v>238</v>
      </c>
      <c r="D1586" s="329" t="s">
        <v>1557</v>
      </c>
      <c r="E1586" s="330"/>
      <c r="F1586" s="59" t="s">
        <v>1647</v>
      </c>
      <c r="G1586" s="323" t="s">
        <v>1651</v>
      </c>
      <c r="H1586" s="59" t="s">
        <v>1055</v>
      </c>
      <c r="I1586" s="331">
        <v>12</v>
      </c>
      <c r="J1586" s="332"/>
      <c r="K1586" s="332"/>
      <c r="L1586" s="332">
        <v>43</v>
      </c>
      <c r="M1586" s="332"/>
      <c r="N1586" s="332"/>
      <c r="O1586" s="333"/>
      <c r="P1586" s="333">
        <v>12</v>
      </c>
      <c r="Q1586" s="333"/>
      <c r="R1586" s="333"/>
      <c r="S1586" s="334"/>
    </row>
    <row r="1587" spans="1:19" ht="15" customHeight="1">
      <c r="A1587" s="561">
        <f t="shared" si="33"/>
        <v>1587</v>
      </c>
      <c r="B1587" s="58">
        <v>408</v>
      </c>
      <c r="C1587" s="328" t="s">
        <v>238</v>
      </c>
      <c r="D1587" s="329" t="s">
        <v>1557</v>
      </c>
      <c r="E1587" s="330"/>
      <c r="F1587" s="59" t="s">
        <v>1647</v>
      </c>
      <c r="G1587" s="323" t="s">
        <v>1652</v>
      </c>
      <c r="H1587" s="59" t="s">
        <v>1055</v>
      </c>
      <c r="I1587" s="331">
        <v>12</v>
      </c>
      <c r="J1587" s="332"/>
      <c r="K1587" s="332"/>
      <c r="L1587" s="332">
        <v>43</v>
      </c>
      <c r="M1587" s="332"/>
      <c r="N1587" s="332"/>
      <c r="O1587" s="333"/>
      <c r="P1587" s="333">
        <v>12</v>
      </c>
      <c r="Q1587" s="333"/>
      <c r="R1587" s="333"/>
      <c r="S1587" s="334"/>
    </row>
    <row r="1588" spans="1:19" ht="15" customHeight="1">
      <c r="A1588" s="561">
        <f t="shared" si="33"/>
        <v>1588</v>
      </c>
      <c r="B1588" s="58">
        <v>408</v>
      </c>
      <c r="C1588" s="328" t="s">
        <v>238</v>
      </c>
      <c r="D1588" s="329" t="s">
        <v>1557</v>
      </c>
      <c r="E1588" s="330"/>
      <c r="F1588" s="59" t="s">
        <v>1653</v>
      </c>
      <c r="G1588" s="323" t="s">
        <v>1654</v>
      </c>
      <c r="H1588" s="59" t="s">
        <v>160</v>
      </c>
      <c r="I1588" s="331">
        <v>24</v>
      </c>
      <c r="J1588" s="332"/>
      <c r="K1588" s="332"/>
      <c r="L1588" s="332">
        <v>63</v>
      </c>
      <c r="M1588" s="332"/>
      <c r="N1588" s="332"/>
      <c r="O1588" s="333"/>
      <c r="P1588" s="333"/>
      <c r="Q1588" s="333">
        <v>24</v>
      </c>
      <c r="R1588" s="333"/>
      <c r="S1588" s="334"/>
    </row>
    <row r="1589" spans="1:19" ht="15" customHeight="1">
      <c r="A1589" s="561">
        <f t="shared" si="33"/>
        <v>1589</v>
      </c>
      <c r="B1589" s="58">
        <v>408</v>
      </c>
      <c r="C1589" s="328" t="s">
        <v>238</v>
      </c>
      <c r="D1589" s="329" t="s">
        <v>1557</v>
      </c>
      <c r="E1589" s="330"/>
      <c r="F1589" s="59" t="s">
        <v>248</v>
      </c>
      <c r="G1589" s="323" t="s">
        <v>1655</v>
      </c>
      <c r="H1589" s="59" t="s">
        <v>160</v>
      </c>
      <c r="I1589" s="331">
        <v>4</v>
      </c>
      <c r="J1589" s="332"/>
      <c r="K1589" s="332"/>
      <c r="L1589" s="332">
        <v>30</v>
      </c>
      <c r="M1589" s="332"/>
      <c r="N1589" s="332"/>
      <c r="O1589" s="333"/>
      <c r="P1589" s="333"/>
      <c r="Q1589" s="333">
        <v>4</v>
      </c>
      <c r="R1589" s="333"/>
      <c r="S1589" s="334"/>
    </row>
    <row r="1590" spans="1:19" ht="15" customHeight="1">
      <c r="A1590" s="561">
        <f t="shared" si="33"/>
        <v>1590</v>
      </c>
      <c r="B1590" s="58">
        <v>408</v>
      </c>
      <c r="C1590" s="328" t="s">
        <v>238</v>
      </c>
      <c r="D1590" s="329" t="s">
        <v>1557</v>
      </c>
      <c r="E1590" s="330"/>
      <c r="F1590" s="59" t="s">
        <v>208</v>
      </c>
      <c r="G1590" s="323" t="s">
        <v>1656</v>
      </c>
      <c r="H1590" s="59" t="s">
        <v>160</v>
      </c>
      <c r="I1590" s="331">
        <v>2</v>
      </c>
      <c r="J1590" s="332"/>
      <c r="K1590" s="332"/>
      <c r="L1590" s="332">
        <v>14</v>
      </c>
      <c r="M1590" s="332"/>
      <c r="N1590" s="332"/>
      <c r="O1590" s="333"/>
      <c r="P1590" s="333"/>
      <c r="Q1590" s="333"/>
      <c r="R1590" s="333">
        <v>2</v>
      </c>
      <c r="S1590" s="334"/>
    </row>
    <row r="1591" spans="1:19" ht="15" customHeight="1">
      <c r="A1591" s="561">
        <f t="shared" si="33"/>
        <v>1591</v>
      </c>
      <c r="B1591" s="58">
        <v>408</v>
      </c>
      <c r="C1591" s="328" t="s">
        <v>238</v>
      </c>
      <c r="D1591" s="329" t="s">
        <v>1557</v>
      </c>
      <c r="E1591" s="330"/>
      <c r="F1591" s="59" t="s">
        <v>1657</v>
      </c>
      <c r="G1591" s="323" t="s">
        <v>1658</v>
      </c>
      <c r="H1591" s="59" t="s">
        <v>160</v>
      </c>
      <c r="I1591" s="331">
        <v>6</v>
      </c>
      <c r="J1591" s="332">
        <v>20</v>
      </c>
      <c r="K1591" s="332"/>
      <c r="L1591" s="332"/>
      <c r="M1591" s="332"/>
      <c r="N1591" s="332"/>
      <c r="O1591" s="333"/>
      <c r="P1591" s="333"/>
      <c r="Q1591" s="333"/>
      <c r="R1591" s="333">
        <v>6</v>
      </c>
      <c r="S1591" s="334"/>
    </row>
    <row r="1592" spans="1:19" ht="15" customHeight="1">
      <c r="A1592" s="561">
        <f t="shared" si="33"/>
        <v>1592</v>
      </c>
      <c r="B1592" s="58">
        <v>409</v>
      </c>
      <c r="C1592" s="328" t="s">
        <v>133</v>
      </c>
      <c r="D1592" s="329" t="s">
        <v>1557</v>
      </c>
      <c r="E1592" s="330"/>
      <c r="F1592" s="59" t="s">
        <v>1671</v>
      </c>
      <c r="G1592" s="323" t="s">
        <v>1820</v>
      </c>
      <c r="H1592" s="59" t="s">
        <v>176</v>
      </c>
      <c r="I1592" s="331">
        <v>41</v>
      </c>
      <c r="J1592" s="332"/>
      <c r="K1592" s="332">
        <v>88</v>
      </c>
      <c r="L1592" s="332"/>
      <c r="M1592" s="332"/>
      <c r="N1592" s="332"/>
      <c r="O1592" s="333"/>
      <c r="P1592" s="333"/>
      <c r="Q1592" s="333"/>
      <c r="R1592" s="333">
        <v>41</v>
      </c>
      <c r="S1592" s="334"/>
    </row>
    <row r="1593" spans="1:19" ht="15" customHeight="1">
      <c r="A1593" s="561">
        <f t="shared" si="33"/>
        <v>1593</v>
      </c>
      <c r="B1593" s="58">
        <v>409</v>
      </c>
      <c r="C1593" s="328" t="s">
        <v>133</v>
      </c>
      <c r="D1593" s="329" t="s">
        <v>1557</v>
      </c>
      <c r="E1593" s="330"/>
      <c r="F1593" s="59" t="s">
        <v>83</v>
      </c>
      <c r="G1593" s="323" t="s">
        <v>1854</v>
      </c>
      <c r="H1593" s="59" t="s">
        <v>1672</v>
      </c>
      <c r="I1593" s="331">
        <v>14</v>
      </c>
      <c r="J1593" s="332"/>
      <c r="K1593" s="332">
        <v>48</v>
      </c>
      <c r="L1593" s="332"/>
      <c r="M1593" s="332"/>
      <c r="N1593" s="332"/>
      <c r="O1593" s="333"/>
      <c r="P1593" s="333"/>
      <c r="Q1593" s="333">
        <v>14</v>
      </c>
      <c r="R1593" s="333"/>
      <c r="S1593" s="334"/>
    </row>
    <row r="1594" spans="1:19" ht="15" customHeight="1">
      <c r="A1594" s="561">
        <f t="shared" si="33"/>
        <v>1594</v>
      </c>
      <c r="B1594" s="58">
        <v>409</v>
      </c>
      <c r="C1594" s="328" t="s">
        <v>133</v>
      </c>
      <c r="D1594" s="329" t="s">
        <v>1557</v>
      </c>
      <c r="E1594" s="330"/>
      <c r="F1594" s="59" t="s">
        <v>1673</v>
      </c>
      <c r="G1594" s="323" t="s">
        <v>75</v>
      </c>
      <c r="H1594" s="59" t="s">
        <v>109</v>
      </c>
      <c r="I1594" s="331">
        <v>13</v>
      </c>
      <c r="J1594" s="332">
        <v>37</v>
      </c>
      <c r="K1594" s="332"/>
      <c r="L1594" s="332"/>
      <c r="M1594" s="332"/>
      <c r="N1594" s="332"/>
      <c r="O1594" s="333"/>
      <c r="P1594" s="333"/>
      <c r="Q1594" s="333"/>
      <c r="R1594" s="333">
        <v>13</v>
      </c>
      <c r="S1594" s="334" t="s">
        <v>1674</v>
      </c>
    </row>
    <row r="1595" spans="1:19" ht="15" customHeight="1">
      <c r="A1595" s="561">
        <f t="shared" si="33"/>
        <v>1595</v>
      </c>
      <c r="B1595" s="58">
        <v>409</v>
      </c>
      <c r="C1595" s="328" t="s">
        <v>133</v>
      </c>
      <c r="D1595" s="329" t="s">
        <v>1557</v>
      </c>
      <c r="E1595" s="330"/>
      <c r="F1595" s="59" t="s">
        <v>1675</v>
      </c>
      <c r="G1595" s="323" t="s">
        <v>75</v>
      </c>
      <c r="H1595" s="59" t="s">
        <v>109</v>
      </c>
      <c r="I1595" s="331">
        <v>13</v>
      </c>
      <c r="J1595" s="332">
        <v>37</v>
      </c>
      <c r="K1595" s="332"/>
      <c r="L1595" s="332"/>
      <c r="M1595" s="332"/>
      <c r="N1595" s="332"/>
      <c r="O1595" s="333"/>
      <c r="P1595" s="333"/>
      <c r="Q1595" s="333"/>
      <c r="R1595" s="333">
        <v>13</v>
      </c>
      <c r="S1595" s="334" t="s">
        <v>1674</v>
      </c>
    </row>
    <row r="1596" spans="1:19" ht="15" customHeight="1">
      <c r="A1596" s="561">
        <f t="shared" si="33"/>
        <v>1596</v>
      </c>
      <c r="B1596" s="58">
        <v>410</v>
      </c>
      <c r="C1596" s="328" t="s">
        <v>1676</v>
      </c>
      <c r="D1596" s="329" t="s">
        <v>1557</v>
      </c>
      <c r="E1596" s="330"/>
      <c r="F1596" s="59" t="s">
        <v>81</v>
      </c>
      <c r="G1596" s="323" t="s">
        <v>1820</v>
      </c>
      <c r="H1596" s="59" t="s">
        <v>176</v>
      </c>
      <c r="I1596" s="331">
        <v>27</v>
      </c>
      <c r="J1596" s="332"/>
      <c r="K1596" s="332">
        <v>70</v>
      </c>
      <c r="L1596" s="332"/>
      <c r="M1596" s="332"/>
      <c r="N1596" s="332"/>
      <c r="O1596" s="333"/>
      <c r="P1596" s="333"/>
      <c r="Q1596" s="333">
        <v>27</v>
      </c>
      <c r="R1596" s="333"/>
      <c r="S1596" s="334"/>
    </row>
    <row r="1597" spans="1:19" ht="15" customHeight="1">
      <c r="A1597" s="561">
        <f t="shared" si="33"/>
        <v>1597</v>
      </c>
      <c r="B1597" s="58">
        <v>410</v>
      </c>
      <c r="C1597" s="328" t="s">
        <v>1676</v>
      </c>
      <c r="D1597" s="329" t="s">
        <v>1557</v>
      </c>
      <c r="E1597" s="330"/>
      <c r="F1597" s="59" t="s">
        <v>1677</v>
      </c>
      <c r="G1597" s="323" t="s">
        <v>1854</v>
      </c>
      <c r="H1597" s="59" t="s">
        <v>12</v>
      </c>
      <c r="I1597" s="331">
        <v>10</v>
      </c>
      <c r="J1597" s="332"/>
      <c r="K1597" s="332">
        <v>40</v>
      </c>
      <c r="L1597" s="332"/>
      <c r="M1597" s="332"/>
      <c r="N1597" s="332"/>
      <c r="O1597" s="333"/>
      <c r="P1597" s="333"/>
      <c r="Q1597" s="333">
        <v>10</v>
      </c>
      <c r="R1597" s="333"/>
      <c r="S1597" s="334"/>
    </row>
    <row r="1598" spans="1:19" ht="15" customHeight="1">
      <c r="A1598" s="561">
        <f t="shared" si="33"/>
        <v>1598</v>
      </c>
      <c r="B1598" s="58">
        <v>410</v>
      </c>
      <c r="C1598" s="328" t="s">
        <v>1676</v>
      </c>
      <c r="D1598" s="329" t="s">
        <v>1557</v>
      </c>
      <c r="E1598" s="330"/>
      <c r="F1598" s="59" t="s">
        <v>1678</v>
      </c>
      <c r="G1598" s="323"/>
      <c r="H1598" s="59" t="s">
        <v>1327</v>
      </c>
      <c r="I1598" s="331">
        <v>68</v>
      </c>
      <c r="J1598" s="332"/>
      <c r="K1598" s="332"/>
      <c r="L1598" s="332"/>
      <c r="M1598" s="332"/>
      <c r="N1598" s="332"/>
      <c r="O1598" s="333"/>
      <c r="P1598" s="333"/>
      <c r="Q1598" s="333"/>
      <c r="R1598" s="333"/>
      <c r="S1598" s="334"/>
    </row>
    <row r="1599" spans="1:19" ht="15" customHeight="1">
      <c r="A1599" s="561">
        <f t="shared" si="33"/>
        <v>1599</v>
      </c>
      <c r="B1599" s="58">
        <v>411</v>
      </c>
      <c r="C1599" s="328" t="s">
        <v>1679</v>
      </c>
      <c r="D1599" s="329" t="s">
        <v>1557</v>
      </c>
      <c r="E1599" s="330"/>
      <c r="F1599" s="59" t="s">
        <v>81</v>
      </c>
      <c r="G1599" s="323" t="s">
        <v>1820</v>
      </c>
      <c r="H1599" s="59" t="s">
        <v>176</v>
      </c>
      <c r="I1599" s="331">
        <v>26</v>
      </c>
      <c r="J1599" s="332"/>
      <c r="K1599" s="332">
        <v>71</v>
      </c>
      <c r="L1599" s="332"/>
      <c r="M1599" s="332"/>
      <c r="N1599" s="332"/>
      <c r="O1599" s="333"/>
      <c r="P1599" s="333"/>
      <c r="Q1599" s="333">
        <v>26</v>
      </c>
      <c r="R1599" s="333"/>
      <c r="S1599" s="334"/>
    </row>
    <row r="1600" spans="1:19" ht="15" customHeight="1">
      <c r="A1600" s="561">
        <f t="shared" si="33"/>
        <v>1600</v>
      </c>
      <c r="B1600" s="58">
        <v>411</v>
      </c>
      <c r="C1600" s="328" t="s">
        <v>1679</v>
      </c>
      <c r="D1600" s="329" t="s">
        <v>1557</v>
      </c>
      <c r="E1600" s="330"/>
      <c r="F1600" s="59" t="s">
        <v>1677</v>
      </c>
      <c r="G1600" s="323" t="s">
        <v>1854</v>
      </c>
      <c r="H1600" s="59" t="s">
        <v>12</v>
      </c>
      <c r="I1600" s="331">
        <v>7</v>
      </c>
      <c r="J1600" s="332"/>
      <c r="K1600" s="332">
        <v>42</v>
      </c>
      <c r="L1600" s="332"/>
      <c r="M1600" s="332"/>
      <c r="N1600" s="332"/>
      <c r="O1600" s="333"/>
      <c r="P1600" s="333"/>
      <c r="Q1600" s="333">
        <v>7</v>
      </c>
      <c r="R1600" s="333"/>
      <c r="S1600" s="334"/>
    </row>
    <row r="1601" spans="1:19" ht="15" customHeight="1">
      <c r="A1601" s="561">
        <f t="shared" si="33"/>
        <v>1601</v>
      </c>
      <c r="B1601" s="58">
        <v>411</v>
      </c>
      <c r="C1601" s="328" t="s">
        <v>1679</v>
      </c>
      <c r="D1601" s="329" t="s">
        <v>1557</v>
      </c>
      <c r="E1601" s="330"/>
      <c r="F1601" s="59" t="s">
        <v>1680</v>
      </c>
      <c r="G1601" s="323"/>
      <c r="H1601" s="59"/>
      <c r="I1601" s="331"/>
      <c r="J1601" s="332"/>
      <c r="K1601" s="332"/>
      <c r="L1601" s="332"/>
      <c r="M1601" s="332"/>
      <c r="N1601" s="332"/>
      <c r="O1601" s="333"/>
      <c r="P1601" s="333"/>
      <c r="Q1601" s="333"/>
      <c r="R1601" s="333"/>
      <c r="S1601" s="334"/>
    </row>
    <row r="1602" spans="1:19" ht="15" customHeight="1">
      <c r="A1602" s="561">
        <f t="shared" si="33"/>
        <v>1602</v>
      </c>
      <c r="B1602" s="58">
        <v>411</v>
      </c>
      <c r="C1602" s="328" t="s">
        <v>1679</v>
      </c>
      <c r="D1602" s="329" t="s">
        <v>1557</v>
      </c>
      <c r="E1602" s="330"/>
      <c r="F1602" s="59" t="s">
        <v>1678</v>
      </c>
      <c r="G1602" s="323"/>
      <c r="H1602" s="59" t="s">
        <v>1327</v>
      </c>
      <c r="I1602" s="331">
        <v>122</v>
      </c>
      <c r="J1602" s="332"/>
      <c r="K1602" s="332"/>
      <c r="L1602" s="332"/>
      <c r="M1602" s="332"/>
      <c r="N1602" s="332"/>
      <c r="O1602" s="333"/>
      <c r="P1602" s="333"/>
      <c r="Q1602" s="333"/>
      <c r="R1602" s="333"/>
      <c r="S1602" s="334"/>
    </row>
    <row r="1603" spans="1:19" ht="15" customHeight="1">
      <c r="A1603" s="561">
        <f t="shared" ref="A1603:A1610" si="34">1+A1602</f>
        <v>1603</v>
      </c>
      <c r="B1603" s="58">
        <v>412</v>
      </c>
      <c r="C1603" s="328" t="s">
        <v>1681</v>
      </c>
      <c r="D1603" s="329" t="s">
        <v>1557</v>
      </c>
      <c r="E1603" s="330"/>
      <c r="F1603" s="59" t="s">
        <v>71</v>
      </c>
      <c r="G1603" s="323" t="s">
        <v>16</v>
      </c>
      <c r="H1603" s="59" t="s">
        <v>176</v>
      </c>
      <c r="I1603" s="331">
        <v>19</v>
      </c>
      <c r="J1603" s="332"/>
      <c r="K1603" s="332">
        <v>55</v>
      </c>
      <c r="L1603" s="332"/>
      <c r="M1603" s="332"/>
      <c r="N1603" s="332"/>
      <c r="O1603" s="333"/>
      <c r="P1603" s="333"/>
      <c r="Q1603" s="333">
        <v>19</v>
      </c>
      <c r="R1603" s="333"/>
      <c r="S1603" s="334"/>
    </row>
    <row r="1604" spans="1:19" ht="15" customHeight="1">
      <c r="A1604" s="561">
        <f t="shared" si="34"/>
        <v>1604</v>
      </c>
      <c r="B1604" s="58">
        <v>412</v>
      </c>
      <c r="C1604" s="328" t="s">
        <v>1681</v>
      </c>
      <c r="D1604" s="329" t="s">
        <v>1557</v>
      </c>
      <c r="E1604" s="330"/>
      <c r="F1604" s="59" t="s">
        <v>71</v>
      </c>
      <c r="G1604" s="323" t="s">
        <v>182</v>
      </c>
      <c r="H1604" s="59" t="s">
        <v>176</v>
      </c>
      <c r="I1604" s="331">
        <v>8</v>
      </c>
      <c r="J1604" s="332"/>
      <c r="K1604" s="332">
        <v>34</v>
      </c>
      <c r="L1604" s="332"/>
      <c r="M1604" s="332"/>
      <c r="N1604" s="332"/>
      <c r="O1604" s="333"/>
      <c r="P1604" s="333"/>
      <c r="Q1604" s="333">
        <v>8</v>
      </c>
      <c r="R1604" s="333"/>
      <c r="S1604" s="334"/>
    </row>
    <row r="1605" spans="1:19" ht="15" customHeight="1">
      <c r="A1605" s="561">
        <f t="shared" si="34"/>
        <v>1605</v>
      </c>
      <c r="B1605" s="58">
        <v>412</v>
      </c>
      <c r="C1605" s="328" t="s">
        <v>1681</v>
      </c>
      <c r="D1605" s="329" t="s">
        <v>1557</v>
      </c>
      <c r="E1605" s="330"/>
      <c r="F1605" s="59" t="s">
        <v>1682</v>
      </c>
      <c r="G1605" s="323" t="s">
        <v>1767</v>
      </c>
      <c r="H1605" s="59" t="s">
        <v>176</v>
      </c>
      <c r="I1605" s="331">
        <v>3</v>
      </c>
      <c r="J1605" s="332"/>
      <c r="K1605" s="332" t="s">
        <v>1683</v>
      </c>
      <c r="L1605" s="332"/>
      <c r="M1605" s="332"/>
      <c r="N1605" s="332"/>
      <c r="O1605" s="333"/>
      <c r="P1605" s="333"/>
      <c r="Q1605" s="333">
        <v>3</v>
      </c>
      <c r="R1605" s="333"/>
      <c r="S1605" s="334"/>
    </row>
    <row r="1606" spans="1:19" ht="15" customHeight="1">
      <c r="A1606" s="561">
        <f t="shared" si="34"/>
        <v>1606</v>
      </c>
      <c r="B1606" s="58">
        <v>412</v>
      </c>
      <c r="C1606" s="328" t="s">
        <v>1681</v>
      </c>
      <c r="D1606" s="329" t="s">
        <v>1557</v>
      </c>
      <c r="E1606" s="330"/>
      <c r="F1606" s="59" t="s">
        <v>1684</v>
      </c>
      <c r="G1606" s="323" t="s">
        <v>1820</v>
      </c>
      <c r="H1606" s="59" t="s">
        <v>12</v>
      </c>
      <c r="I1606" s="331">
        <v>16</v>
      </c>
      <c r="J1606" s="332"/>
      <c r="K1606" s="332">
        <v>41</v>
      </c>
      <c r="L1606" s="332"/>
      <c r="M1606" s="332"/>
      <c r="N1606" s="332"/>
      <c r="O1606" s="333"/>
      <c r="P1606" s="333"/>
      <c r="Q1606" s="333"/>
      <c r="R1606" s="333">
        <v>16</v>
      </c>
      <c r="S1606" s="334"/>
    </row>
    <row r="1607" spans="1:19" ht="15" customHeight="1">
      <c r="A1607" s="561">
        <f t="shared" si="34"/>
        <v>1607</v>
      </c>
      <c r="B1607" s="58">
        <v>412</v>
      </c>
      <c r="C1607" s="328" t="s">
        <v>1681</v>
      </c>
      <c r="D1607" s="329" t="s">
        <v>1557</v>
      </c>
      <c r="E1607" s="330"/>
      <c r="F1607" s="59" t="s">
        <v>81</v>
      </c>
      <c r="G1607" s="323" t="s">
        <v>1854</v>
      </c>
      <c r="H1607" s="59" t="s">
        <v>176</v>
      </c>
      <c r="I1607" s="331">
        <v>30</v>
      </c>
      <c r="J1607" s="332"/>
      <c r="K1607" s="332">
        <v>67</v>
      </c>
      <c r="L1607" s="332"/>
      <c r="M1607" s="332"/>
      <c r="N1607" s="332"/>
      <c r="O1607" s="333"/>
      <c r="P1607" s="333"/>
      <c r="Q1607" s="333">
        <v>30</v>
      </c>
      <c r="R1607" s="333"/>
      <c r="S1607" s="334"/>
    </row>
    <row r="1608" spans="1:19" ht="15" customHeight="1">
      <c r="A1608" s="561">
        <f t="shared" si="34"/>
        <v>1608</v>
      </c>
      <c r="B1608" s="58">
        <v>412</v>
      </c>
      <c r="C1608" s="328" t="s">
        <v>1681</v>
      </c>
      <c r="D1608" s="329" t="s">
        <v>1557</v>
      </c>
      <c r="E1608" s="330"/>
      <c r="F1608" s="59" t="s">
        <v>1685</v>
      </c>
      <c r="G1608" s="323" t="s">
        <v>1932</v>
      </c>
      <c r="H1608" s="59" t="s">
        <v>12</v>
      </c>
      <c r="I1608" s="331">
        <v>33</v>
      </c>
      <c r="J1608" s="332"/>
      <c r="K1608" s="332">
        <v>38</v>
      </c>
      <c r="L1608" s="332"/>
      <c r="M1608" s="332"/>
      <c r="N1608" s="332"/>
      <c r="O1608" s="333"/>
      <c r="P1608" s="333">
        <v>33</v>
      </c>
      <c r="Q1608" s="333"/>
      <c r="R1608" s="333"/>
      <c r="S1608" s="334"/>
    </row>
    <row r="1609" spans="1:19" ht="15" customHeight="1">
      <c r="A1609" s="561">
        <f t="shared" si="34"/>
        <v>1609</v>
      </c>
      <c r="B1609" s="58">
        <v>412</v>
      </c>
      <c r="C1609" s="328" t="s">
        <v>1681</v>
      </c>
      <c r="D1609" s="329" t="s">
        <v>1557</v>
      </c>
      <c r="E1609" s="330"/>
      <c r="F1609" s="59" t="s">
        <v>1686</v>
      </c>
      <c r="G1609" s="323" t="s">
        <v>1933</v>
      </c>
      <c r="H1609" s="59" t="s">
        <v>1687</v>
      </c>
      <c r="I1609" s="331">
        <v>15</v>
      </c>
      <c r="J1609" s="332"/>
      <c r="K1609" s="332">
        <v>41</v>
      </c>
      <c r="L1609" s="332"/>
      <c r="M1609" s="332"/>
      <c r="N1609" s="332"/>
      <c r="O1609" s="333"/>
      <c r="P1609" s="333"/>
      <c r="Q1609" s="333"/>
      <c r="R1609" s="333">
        <v>15</v>
      </c>
      <c r="S1609" s="334"/>
    </row>
    <row r="1610" spans="1:19" ht="15" customHeight="1">
      <c r="A1610" s="561">
        <f t="shared" si="34"/>
        <v>1610</v>
      </c>
      <c r="B1610" s="58">
        <v>412</v>
      </c>
      <c r="C1610" s="328" t="s">
        <v>1681</v>
      </c>
      <c r="D1610" s="329" t="s">
        <v>1557</v>
      </c>
      <c r="E1610" s="330"/>
      <c r="F1610" s="59" t="s">
        <v>20</v>
      </c>
      <c r="G1610" s="323" t="s">
        <v>1934</v>
      </c>
      <c r="H1610" s="59" t="s">
        <v>1688</v>
      </c>
      <c r="I1610" s="331">
        <v>5</v>
      </c>
      <c r="J1610" s="332"/>
      <c r="K1610" s="332"/>
      <c r="L1610" s="332"/>
      <c r="M1610" s="332"/>
      <c r="N1610" s="332"/>
      <c r="O1610" s="333"/>
      <c r="P1610" s="333"/>
      <c r="Q1610" s="333"/>
      <c r="R1610" s="333"/>
      <c r="S1610" s="334"/>
    </row>
  </sheetData>
  <autoFilter ref="A11:S1610" xr:uid="{2FAADF5A-D8AD-411E-B65F-FCCD49BA0CCF}"/>
  <mergeCells count="1">
    <mergeCell ref="J10:R10"/>
  </mergeCells>
  <phoneticPr fontId="13"/>
  <printOptions horizontalCentered="1" gridLinesSet="0"/>
  <pageMargins left="0.19685039370078741" right="0.19685039370078741" top="0.59055118110236227" bottom="0.78740157480314965" header="0.39370078740157483" footer="0.19685039370078741"/>
  <pageSetup paperSize="8" scale="72" orientation="landscape" r:id="rId1"/>
  <headerFooter>
    <oddFooter>&amp;L&amp;"Verdana,Regular"&amp;F-&amp;A_x000D_Atir b.v. ©&amp;C&amp;R&amp;"Verdana,Regular"printversie &amp;D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1"/>
  <sheetViews>
    <sheetView showGridLines="0" zoomScaleNormal="100" workbookViewId="0">
      <pane ySplit="11" topLeftCell="A12" activePane="bottomLeft" state="frozen"/>
      <selection activeCell="F32" sqref="F32"/>
      <selection pane="bottomLeft" activeCell="C13" sqref="C13"/>
    </sheetView>
  </sheetViews>
  <sheetFormatPr defaultColWidth="9.140625" defaultRowHeight="13.5"/>
  <cols>
    <col min="1" max="1" width="26.140625" style="163" bestFit="1" customWidth="1"/>
    <col min="2" max="2" width="22" style="163" customWidth="1"/>
    <col min="3" max="3" width="20.85546875" style="163" bestFit="1" customWidth="1"/>
    <col min="4" max="4" width="18.140625" style="163" bestFit="1" customWidth="1"/>
    <col min="5" max="5" width="9.140625" style="163"/>
    <col min="6" max="6" width="13.5703125" style="163" customWidth="1"/>
    <col min="7" max="7" width="9.7109375" style="163" bestFit="1" customWidth="1"/>
    <col min="8" max="8" width="9.85546875" style="163" bestFit="1" customWidth="1"/>
    <col min="9" max="9" width="13.7109375" style="163" bestFit="1" customWidth="1"/>
    <col min="10" max="10" width="13.42578125" style="163" bestFit="1" customWidth="1"/>
    <col min="11" max="11" width="8.85546875" style="163" bestFit="1" customWidth="1"/>
    <col min="12" max="12" width="8.28515625" style="163" bestFit="1" customWidth="1"/>
    <col min="13" max="13" width="11.5703125" style="163" bestFit="1" customWidth="1"/>
    <col min="14" max="14" width="13.85546875" style="163" customWidth="1"/>
    <col min="15" max="16384" width="9.140625" style="163"/>
  </cols>
  <sheetData>
    <row r="1" spans="1:8" ht="14.25">
      <c r="A1" s="382" t="s">
        <v>2</v>
      </c>
      <c r="G1" s="267"/>
      <c r="H1" s="267"/>
    </row>
    <row r="2" spans="1:8">
      <c r="A2" s="268"/>
      <c r="G2" s="267"/>
      <c r="H2" s="267"/>
    </row>
    <row r="3" spans="1:8" ht="17.25">
      <c r="A3" s="359" t="str">
        <f>'1-Inschrijfstaat'!A3</f>
        <v>Naam opdrachtgever</v>
      </c>
      <c r="B3" s="371" t="str">
        <f>'1-Inschrijfstaat'!B3</f>
        <v>GVB Infra B.V.</v>
      </c>
      <c r="G3" s="267"/>
      <c r="H3" s="267"/>
    </row>
    <row r="4" spans="1:8" ht="17.25">
      <c r="A4" s="359" t="str">
        <f>'1-Inschrijfstaat'!A4</f>
        <v>Calculatie onderdeel</v>
      </c>
      <c r="B4" s="385" t="str">
        <f ca="1">MID(CELL("bestandsnaam",$C$9),SEARCH("]",CELL("bestandsnaam",$C$9),1)+1,256)</f>
        <v>4-Schrobben vloeren</v>
      </c>
    </row>
    <row r="5" spans="1:8" ht="17.25">
      <c r="A5" s="359" t="str">
        <f>'1-Inschrijfstaat'!A5</f>
        <v>Gebouw/plaats</v>
      </c>
      <c r="B5" s="371" t="str">
        <f>'1-Inschrijfstaat'!B5</f>
        <v>Diverse</v>
      </c>
    </row>
    <row r="6" spans="1:8" ht="17.25">
      <c r="A6" s="359" t="str">
        <f>'1-Inschrijfstaat'!A6</f>
        <v>Besteknummer</v>
      </c>
      <c r="B6" s="371" t="str">
        <f>'1-Inschrijfstaat'!B6</f>
        <v>2021-03</v>
      </c>
      <c r="F6" s="267"/>
      <c r="G6" s="267"/>
    </row>
    <row r="7" spans="1:8" ht="17.25">
      <c r="A7" s="359" t="str">
        <f>'1-Inschrijfstaat'!A7</f>
        <v>Naam leverancier</v>
      </c>
      <c r="B7" s="371" t="str">
        <f>'1-Inschrijfstaat'!B7:D7</f>
        <v>Naam dienstverlener</v>
      </c>
    </row>
    <row r="8" spans="1:8" ht="15.75">
      <c r="A8" s="359" t="str">
        <f>'1-Inschrijfstaat'!A8</f>
        <v>Prijspeil</v>
      </c>
      <c r="B8" s="15" t="str">
        <f>'1-Inschrijfstaat'!B8</f>
        <v>1 juni 2021</v>
      </c>
      <c r="G8" s="267"/>
    </row>
    <row r="9" spans="1:8" ht="15.75">
      <c r="A9" s="359" t="str">
        <f>'1-Inschrijfstaat'!A9</f>
        <v>Perceel</v>
      </c>
      <c r="B9" s="48" t="str">
        <f>'1-Inschrijfstaat'!B9</f>
        <v>2 Technische schoonmaak</v>
      </c>
      <c r="G9" s="267"/>
      <c r="H9" s="267"/>
    </row>
    <row r="10" spans="1:8" ht="17.25">
      <c r="A10" s="370" t="s">
        <v>1087</v>
      </c>
      <c r="B10" s="440" t="s">
        <v>2068</v>
      </c>
      <c r="G10" s="267"/>
      <c r="H10" s="267"/>
    </row>
    <row r="11" spans="1:8" ht="19.5">
      <c r="A11" s="269"/>
      <c r="B11" s="92"/>
      <c r="G11" s="267"/>
      <c r="H11" s="267"/>
    </row>
    <row r="12" spans="1:8">
      <c r="A12" s="270" t="s">
        <v>1097</v>
      </c>
      <c r="B12" s="271" t="s">
        <v>1712</v>
      </c>
      <c r="C12" s="383">
        <v>0</v>
      </c>
    </row>
    <row r="14" spans="1:8">
      <c r="A14" s="386" t="s">
        <v>1711</v>
      </c>
      <c r="B14" s="550" t="s">
        <v>2061</v>
      </c>
      <c r="C14" s="387" t="s">
        <v>1708</v>
      </c>
    </row>
    <row r="15" spans="1:8">
      <c r="A15" s="73" t="s">
        <v>1709</v>
      </c>
      <c r="B15" s="605" t="s">
        <v>2062</v>
      </c>
      <c r="C15" s="384">
        <v>0</v>
      </c>
    </row>
    <row r="16" spans="1:8">
      <c r="A16" s="73" t="s">
        <v>1709</v>
      </c>
      <c r="B16" s="605" t="s">
        <v>2063</v>
      </c>
      <c r="C16" s="384">
        <v>0</v>
      </c>
    </row>
    <row r="18" spans="1:14" ht="25.5">
      <c r="A18" s="388" t="s">
        <v>1334</v>
      </c>
      <c r="B18" s="388" t="s">
        <v>1090</v>
      </c>
      <c r="C18" s="388" t="s">
        <v>13</v>
      </c>
      <c r="D18" s="388" t="s">
        <v>1335</v>
      </c>
      <c r="E18" s="388" t="s">
        <v>10</v>
      </c>
      <c r="F18" s="388" t="s">
        <v>1091</v>
      </c>
      <c r="G18" s="388" t="s">
        <v>1337</v>
      </c>
      <c r="H18" s="388" t="s">
        <v>1338</v>
      </c>
      <c r="I18" s="388" t="s">
        <v>1092</v>
      </c>
      <c r="J18" s="388" t="s">
        <v>1093</v>
      </c>
      <c r="K18" s="388" t="s">
        <v>1094</v>
      </c>
      <c r="L18" s="388" t="s">
        <v>1996</v>
      </c>
      <c r="M18" s="363" t="s">
        <v>1313</v>
      </c>
      <c r="N18" s="363" t="s">
        <v>1314</v>
      </c>
    </row>
    <row r="19" spans="1:14">
      <c r="A19" s="197">
        <v>102</v>
      </c>
      <c r="B19" s="30" t="s">
        <v>850</v>
      </c>
      <c r="C19" s="57" t="str">
        <f>VLOOKUP(A19,'3-Ruimtestaat'!B:D,3,FALSE)</f>
        <v>Oostlijn ondergronds</v>
      </c>
      <c r="D19" s="30" t="s">
        <v>1362</v>
      </c>
      <c r="E19" s="272">
        <v>4</v>
      </c>
      <c r="F19" s="273" t="s">
        <v>1096</v>
      </c>
      <c r="G19" s="274">
        <v>1782.3</v>
      </c>
      <c r="H19" s="274">
        <v>1201</v>
      </c>
      <c r="I19" s="275" t="e">
        <f t="shared" ref="I19:I40" si="0">SUM(G19:H19)/$C$12</f>
        <v>#DIV/0!</v>
      </c>
      <c r="J19" s="275" t="e">
        <f t="shared" ref="J19:J40" si="1">I19*E19</f>
        <v>#DIV/0!</v>
      </c>
      <c r="K19" s="55"/>
      <c r="L19" s="276">
        <f>$C$16</f>
        <v>0</v>
      </c>
      <c r="M19" s="276" t="e">
        <f>I19*L19</f>
        <v>#DIV/0!</v>
      </c>
      <c r="N19" s="276" t="e">
        <f t="shared" ref="N19:N40" si="2">E19*M19</f>
        <v>#DIV/0!</v>
      </c>
    </row>
    <row r="20" spans="1:14">
      <c r="A20" s="197">
        <v>103</v>
      </c>
      <c r="B20" s="30" t="s">
        <v>165</v>
      </c>
      <c r="C20" s="57" t="str">
        <f>VLOOKUP(A20,'3-Ruimtestaat'!B:D,3,FALSE)</f>
        <v>Oostlijn ondergronds</v>
      </c>
      <c r="D20" s="30" t="s">
        <v>1362</v>
      </c>
      <c r="E20" s="272">
        <v>4</v>
      </c>
      <c r="F20" s="273" t="s">
        <v>1096</v>
      </c>
      <c r="G20" s="274">
        <v>1951.8525000000002</v>
      </c>
      <c r="H20" s="274">
        <v>972</v>
      </c>
      <c r="I20" s="275" t="e">
        <f t="shared" si="0"/>
        <v>#DIV/0!</v>
      </c>
      <c r="J20" s="275" t="e">
        <f t="shared" si="1"/>
        <v>#DIV/0!</v>
      </c>
      <c r="K20" s="55"/>
      <c r="L20" s="276">
        <f>$C$16</f>
        <v>0</v>
      </c>
      <c r="M20" s="276" t="e">
        <f t="shared" ref="M20:M22" si="3">I20*L20</f>
        <v>#DIV/0!</v>
      </c>
      <c r="N20" s="276" t="e">
        <f t="shared" si="2"/>
        <v>#DIV/0!</v>
      </c>
    </row>
    <row r="21" spans="1:14">
      <c r="A21" s="197">
        <v>104</v>
      </c>
      <c r="B21" s="30" t="s">
        <v>718</v>
      </c>
      <c r="C21" s="57" t="str">
        <f>VLOOKUP(A21,'3-Ruimtestaat'!B:D,3,FALSE)</f>
        <v>Oostlijn ondergronds</v>
      </c>
      <c r="D21" s="30" t="s">
        <v>1362</v>
      </c>
      <c r="E21" s="272">
        <v>4</v>
      </c>
      <c r="F21" s="273" t="s">
        <v>1096</v>
      </c>
      <c r="G21" s="274">
        <v>2131</v>
      </c>
      <c r="H21" s="274">
        <v>2086</v>
      </c>
      <c r="I21" s="275" t="e">
        <f t="shared" si="0"/>
        <v>#DIV/0!</v>
      </c>
      <c r="J21" s="275" t="e">
        <f t="shared" si="1"/>
        <v>#DIV/0!</v>
      </c>
      <c r="K21" s="55"/>
      <c r="L21" s="276">
        <f>$C$16</f>
        <v>0</v>
      </c>
      <c r="M21" s="276" t="e">
        <f t="shared" si="3"/>
        <v>#DIV/0!</v>
      </c>
      <c r="N21" s="276" t="e">
        <f t="shared" si="2"/>
        <v>#DIV/0!</v>
      </c>
    </row>
    <row r="22" spans="1:14">
      <c r="A22" s="197">
        <v>105</v>
      </c>
      <c r="B22" s="277" t="s">
        <v>851</v>
      </c>
      <c r="C22" s="57" t="str">
        <f>VLOOKUP(A22,'3-Ruimtestaat'!B:D,3,FALSE)</f>
        <v>Oostlijn ondergronds</v>
      </c>
      <c r="D22" s="277" t="s">
        <v>1362</v>
      </c>
      <c r="E22" s="278">
        <v>4</v>
      </c>
      <c r="F22" s="273" t="s">
        <v>1096</v>
      </c>
      <c r="G22" s="279">
        <v>1618</v>
      </c>
      <c r="H22" s="279">
        <v>1346</v>
      </c>
      <c r="I22" s="275" t="e">
        <f t="shared" si="0"/>
        <v>#DIV/0!</v>
      </c>
      <c r="J22" s="275" t="e">
        <f t="shared" si="1"/>
        <v>#DIV/0!</v>
      </c>
      <c r="K22" s="55"/>
      <c r="L22" s="276">
        <f>$C$16</f>
        <v>0</v>
      </c>
      <c r="M22" s="276" t="e">
        <f t="shared" si="3"/>
        <v>#DIV/0!</v>
      </c>
      <c r="N22" s="276" t="e">
        <f t="shared" si="2"/>
        <v>#DIV/0!</v>
      </c>
    </row>
    <row r="23" spans="1:14">
      <c r="A23" s="280">
        <v>107</v>
      </c>
      <c r="B23" s="57" t="s">
        <v>289</v>
      </c>
      <c r="C23" s="57" t="str">
        <f>VLOOKUP(A23,'3-Ruimtestaat'!B:D,3,FALSE)</f>
        <v>Oostlijn bovengronds</v>
      </c>
      <c r="D23" s="57" t="s">
        <v>1095</v>
      </c>
      <c r="E23" s="281">
        <v>5</v>
      </c>
      <c r="F23" s="273" t="s">
        <v>1096</v>
      </c>
      <c r="G23" s="282">
        <v>2546</v>
      </c>
      <c r="H23" s="282">
        <v>366</v>
      </c>
      <c r="I23" s="275" t="e">
        <f t="shared" si="0"/>
        <v>#DIV/0!</v>
      </c>
      <c r="J23" s="275" t="e">
        <f t="shared" si="1"/>
        <v>#DIV/0!</v>
      </c>
      <c r="K23" s="276">
        <f t="shared" ref="K23:K40" si="4">$C$15</f>
        <v>0</v>
      </c>
      <c r="L23" s="55"/>
      <c r="M23" s="276" t="e">
        <f t="shared" ref="M23:M36" si="5">I23*K23</f>
        <v>#DIV/0!</v>
      </c>
      <c r="N23" s="276" t="e">
        <f t="shared" si="2"/>
        <v>#DIV/0!</v>
      </c>
    </row>
    <row r="24" spans="1:14">
      <c r="A24" s="280">
        <v>108</v>
      </c>
      <c r="B24" s="57" t="s">
        <v>1336</v>
      </c>
      <c r="C24" s="57" t="str">
        <f>VLOOKUP(A24,'3-Ruimtestaat'!B:D,3,FALSE)</f>
        <v>Oostlijn bovengronds</v>
      </c>
      <c r="D24" s="57" t="s">
        <v>1095</v>
      </c>
      <c r="E24" s="281">
        <v>5</v>
      </c>
      <c r="F24" s="273" t="s">
        <v>1096</v>
      </c>
      <c r="G24" s="282">
        <v>2914</v>
      </c>
      <c r="H24" s="282">
        <v>339</v>
      </c>
      <c r="I24" s="275" t="e">
        <f t="shared" si="0"/>
        <v>#DIV/0!</v>
      </c>
      <c r="J24" s="275" t="e">
        <f t="shared" si="1"/>
        <v>#DIV/0!</v>
      </c>
      <c r="K24" s="276">
        <f t="shared" si="4"/>
        <v>0</v>
      </c>
      <c r="L24" s="55"/>
      <c r="M24" s="276" t="e">
        <f t="shared" si="5"/>
        <v>#DIV/0!</v>
      </c>
      <c r="N24" s="276" t="e">
        <f t="shared" si="2"/>
        <v>#DIV/0!</v>
      </c>
    </row>
    <row r="25" spans="1:14">
      <c r="A25" s="280">
        <v>110</v>
      </c>
      <c r="B25" s="57" t="s">
        <v>103</v>
      </c>
      <c r="C25" s="57" t="str">
        <f>VLOOKUP(A25,'3-Ruimtestaat'!B:D,3,FALSE)</f>
        <v>Oostlijn bovengronds</v>
      </c>
      <c r="D25" s="57" t="s">
        <v>1095</v>
      </c>
      <c r="E25" s="281">
        <v>5</v>
      </c>
      <c r="F25" s="273" t="s">
        <v>1096</v>
      </c>
      <c r="G25" s="282">
        <v>1503.23</v>
      </c>
      <c r="H25" s="282">
        <v>468</v>
      </c>
      <c r="I25" s="275" t="e">
        <f t="shared" si="0"/>
        <v>#DIV/0!</v>
      </c>
      <c r="J25" s="275" t="e">
        <f t="shared" si="1"/>
        <v>#DIV/0!</v>
      </c>
      <c r="K25" s="276">
        <f t="shared" si="4"/>
        <v>0</v>
      </c>
      <c r="L25" s="55"/>
      <c r="M25" s="276" t="e">
        <f t="shared" si="5"/>
        <v>#DIV/0!</v>
      </c>
      <c r="N25" s="276" t="e">
        <f t="shared" si="2"/>
        <v>#DIV/0!</v>
      </c>
    </row>
    <row r="26" spans="1:14">
      <c r="A26" s="280">
        <v>111</v>
      </c>
      <c r="B26" s="57" t="s">
        <v>854</v>
      </c>
      <c r="C26" s="57" t="str">
        <f>VLOOKUP(A26,'3-Ruimtestaat'!B:D,3,FALSE)</f>
        <v>Oostlijn bovengronds</v>
      </c>
      <c r="D26" s="57" t="s">
        <v>1095</v>
      </c>
      <c r="E26" s="281">
        <v>4</v>
      </c>
      <c r="F26" s="273" t="s">
        <v>1096</v>
      </c>
      <c r="G26" s="282">
        <v>2152</v>
      </c>
      <c r="H26" s="282">
        <v>100</v>
      </c>
      <c r="I26" s="275" t="e">
        <f t="shared" si="0"/>
        <v>#DIV/0!</v>
      </c>
      <c r="J26" s="275" t="e">
        <f t="shared" si="1"/>
        <v>#DIV/0!</v>
      </c>
      <c r="K26" s="276">
        <f t="shared" si="4"/>
        <v>0</v>
      </c>
      <c r="L26" s="55"/>
      <c r="M26" s="276" t="e">
        <f t="shared" si="5"/>
        <v>#DIV/0!</v>
      </c>
      <c r="N26" s="276" t="e">
        <f t="shared" si="2"/>
        <v>#DIV/0!</v>
      </c>
    </row>
    <row r="27" spans="1:14">
      <c r="A27" s="280">
        <v>112</v>
      </c>
      <c r="B27" s="57" t="s">
        <v>140</v>
      </c>
      <c r="C27" s="57" t="str">
        <f>VLOOKUP(A27,'3-Ruimtestaat'!B:D,3,FALSE)</f>
        <v>Oostlijn bovengronds</v>
      </c>
      <c r="D27" s="57" t="s">
        <v>1095</v>
      </c>
      <c r="E27" s="281">
        <v>5</v>
      </c>
      <c r="F27" s="273" t="s">
        <v>1096</v>
      </c>
      <c r="G27" s="282">
        <v>1504.46</v>
      </c>
      <c r="H27" s="282">
        <v>346</v>
      </c>
      <c r="I27" s="275" t="e">
        <f t="shared" si="0"/>
        <v>#DIV/0!</v>
      </c>
      <c r="J27" s="275" t="e">
        <f t="shared" si="1"/>
        <v>#DIV/0!</v>
      </c>
      <c r="K27" s="276">
        <f t="shared" si="4"/>
        <v>0</v>
      </c>
      <c r="L27" s="55"/>
      <c r="M27" s="276" t="e">
        <f t="shared" si="5"/>
        <v>#DIV/0!</v>
      </c>
      <c r="N27" s="276" t="e">
        <f t="shared" si="2"/>
        <v>#DIV/0!</v>
      </c>
    </row>
    <row r="28" spans="1:14">
      <c r="A28" s="280">
        <v>113</v>
      </c>
      <c r="B28" s="57" t="s">
        <v>855</v>
      </c>
      <c r="C28" s="57" t="str">
        <f>VLOOKUP(A28,'3-Ruimtestaat'!B:D,3,FALSE)</f>
        <v>Oostlijn bovengronds</v>
      </c>
      <c r="D28" s="57" t="s">
        <v>1095</v>
      </c>
      <c r="E28" s="281">
        <v>5</v>
      </c>
      <c r="F28" s="273" t="s">
        <v>1096</v>
      </c>
      <c r="G28" s="282">
        <v>1503.23</v>
      </c>
      <c r="H28" s="282">
        <v>468</v>
      </c>
      <c r="I28" s="275" t="e">
        <f t="shared" si="0"/>
        <v>#DIV/0!</v>
      </c>
      <c r="J28" s="275" t="e">
        <f t="shared" si="1"/>
        <v>#DIV/0!</v>
      </c>
      <c r="K28" s="276">
        <f t="shared" si="4"/>
        <v>0</v>
      </c>
      <c r="L28" s="55"/>
      <c r="M28" s="276" t="e">
        <f t="shared" si="5"/>
        <v>#DIV/0!</v>
      </c>
      <c r="N28" s="276" t="e">
        <f t="shared" si="2"/>
        <v>#DIV/0!</v>
      </c>
    </row>
    <row r="29" spans="1:14">
      <c r="A29" s="280">
        <v>114</v>
      </c>
      <c r="B29" s="57" t="s">
        <v>21</v>
      </c>
      <c r="C29" s="57" t="str">
        <f>VLOOKUP(A29,'3-Ruimtestaat'!B:D,3,FALSE)</f>
        <v>Oostlijn bovengronds</v>
      </c>
      <c r="D29" s="57" t="s">
        <v>1095</v>
      </c>
      <c r="E29" s="281">
        <v>5</v>
      </c>
      <c r="F29" s="273" t="s">
        <v>1096</v>
      </c>
      <c r="G29" s="282">
        <v>1503.07</v>
      </c>
      <c r="H29" s="282">
        <v>380</v>
      </c>
      <c r="I29" s="275" t="e">
        <f t="shared" si="0"/>
        <v>#DIV/0!</v>
      </c>
      <c r="J29" s="275" t="e">
        <f t="shared" si="1"/>
        <v>#DIV/0!</v>
      </c>
      <c r="K29" s="276">
        <f t="shared" si="4"/>
        <v>0</v>
      </c>
      <c r="L29" s="55"/>
      <c r="M29" s="276" t="e">
        <f t="shared" si="5"/>
        <v>#DIV/0!</v>
      </c>
      <c r="N29" s="276" t="e">
        <f t="shared" si="2"/>
        <v>#DIV/0!</v>
      </c>
    </row>
    <row r="30" spans="1:14">
      <c r="A30" s="280">
        <v>115</v>
      </c>
      <c r="B30" s="57" t="s">
        <v>73</v>
      </c>
      <c r="C30" s="57" t="str">
        <f>VLOOKUP(A30,'3-Ruimtestaat'!B:D,3,FALSE)</f>
        <v>Oostlijn Bovengronds</v>
      </c>
      <c r="D30" s="57" t="s">
        <v>1095</v>
      </c>
      <c r="E30" s="281">
        <v>5</v>
      </c>
      <c r="F30" s="273" t="s">
        <v>1096</v>
      </c>
      <c r="G30" s="282">
        <v>1699.37</v>
      </c>
      <c r="H30" s="282">
        <v>312</v>
      </c>
      <c r="I30" s="275" t="e">
        <f t="shared" si="0"/>
        <v>#DIV/0!</v>
      </c>
      <c r="J30" s="275" t="e">
        <f t="shared" si="1"/>
        <v>#DIV/0!</v>
      </c>
      <c r="K30" s="276">
        <f t="shared" si="4"/>
        <v>0</v>
      </c>
      <c r="L30" s="55"/>
      <c r="M30" s="276" t="e">
        <f t="shared" si="5"/>
        <v>#DIV/0!</v>
      </c>
      <c r="N30" s="276" t="e">
        <f t="shared" si="2"/>
        <v>#DIV/0!</v>
      </c>
    </row>
    <row r="31" spans="1:14">
      <c r="A31" s="280">
        <v>116</v>
      </c>
      <c r="B31" s="57" t="s">
        <v>238</v>
      </c>
      <c r="C31" s="57" t="str">
        <f>VLOOKUP(A31,'3-Ruimtestaat'!B:D,3,FALSE)</f>
        <v>Oostlijn bovengronds</v>
      </c>
      <c r="D31" s="57" t="s">
        <v>1095</v>
      </c>
      <c r="E31" s="281">
        <v>5</v>
      </c>
      <c r="F31" s="273" t="s">
        <v>1096</v>
      </c>
      <c r="G31" s="282">
        <v>1648</v>
      </c>
      <c r="H31" s="282">
        <v>140</v>
      </c>
      <c r="I31" s="275" t="e">
        <f t="shared" si="0"/>
        <v>#DIV/0!</v>
      </c>
      <c r="J31" s="275" t="e">
        <f t="shared" si="1"/>
        <v>#DIV/0!</v>
      </c>
      <c r="K31" s="276">
        <f t="shared" si="4"/>
        <v>0</v>
      </c>
      <c r="L31" s="55"/>
      <c r="M31" s="276" t="e">
        <f t="shared" si="5"/>
        <v>#DIV/0!</v>
      </c>
      <c r="N31" s="276" t="e">
        <f t="shared" si="2"/>
        <v>#DIV/0!</v>
      </c>
    </row>
    <row r="32" spans="1:14">
      <c r="A32" s="280">
        <v>117</v>
      </c>
      <c r="B32" s="57" t="s">
        <v>297</v>
      </c>
      <c r="C32" s="57" t="str">
        <f>VLOOKUP(A32,'3-Ruimtestaat'!B:D,3,FALSE)</f>
        <v>Oostlijn bovengronds</v>
      </c>
      <c r="D32" s="57" t="s">
        <v>1095</v>
      </c>
      <c r="E32" s="281">
        <v>5</v>
      </c>
      <c r="F32" s="273" t="s">
        <v>1096</v>
      </c>
      <c r="G32" s="282">
        <v>1511</v>
      </c>
      <c r="H32" s="282">
        <v>128</v>
      </c>
      <c r="I32" s="275" t="e">
        <f t="shared" si="0"/>
        <v>#DIV/0!</v>
      </c>
      <c r="J32" s="275" t="e">
        <f t="shared" si="1"/>
        <v>#DIV/0!</v>
      </c>
      <c r="K32" s="276">
        <f t="shared" si="4"/>
        <v>0</v>
      </c>
      <c r="L32" s="55"/>
      <c r="M32" s="276" t="e">
        <f t="shared" si="5"/>
        <v>#DIV/0!</v>
      </c>
      <c r="N32" s="276" t="e">
        <f t="shared" si="2"/>
        <v>#DIV/0!</v>
      </c>
    </row>
    <row r="33" spans="1:14">
      <c r="A33" s="280">
        <v>118</v>
      </c>
      <c r="B33" s="57" t="s">
        <v>198</v>
      </c>
      <c r="C33" s="57" t="str">
        <f>VLOOKUP(A33,'3-Ruimtestaat'!B:D,3,FALSE)</f>
        <v>Oostlijn bovengronds</v>
      </c>
      <c r="D33" s="57" t="s">
        <v>1095</v>
      </c>
      <c r="E33" s="281">
        <v>5</v>
      </c>
      <c r="F33" s="273" t="s">
        <v>1096</v>
      </c>
      <c r="G33" s="282">
        <v>1340</v>
      </c>
      <c r="H33" s="282">
        <v>188</v>
      </c>
      <c r="I33" s="275" t="e">
        <f t="shared" si="0"/>
        <v>#DIV/0!</v>
      </c>
      <c r="J33" s="275" t="e">
        <f t="shared" si="1"/>
        <v>#DIV/0!</v>
      </c>
      <c r="K33" s="276">
        <f t="shared" si="4"/>
        <v>0</v>
      </c>
      <c r="L33" s="55"/>
      <c r="M33" s="276" t="e">
        <f t="shared" si="5"/>
        <v>#DIV/0!</v>
      </c>
      <c r="N33" s="276" t="e">
        <f t="shared" si="2"/>
        <v>#DIV/0!</v>
      </c>
    </row>
    <row r="34" spans="1:14">
      <c r="A34" s="280">
        <v>119</v>
      </c>
      <c r="B34" s="57" t="s">
        <v>311</v>
      </c>
      <c r="C34" s="57" t="str">
        <f>VLOOKUP(A34,'3-Ruimtestaat'!B:D,3,FALSE)</f>
        <v>Oostlijn bovengronds</v>
      </c>
      <c r="D34" s="57" t="s">
        <v>1095</v>
      </c>
      <c r="E34" s="281">
        <v>5</v>
      </c>
      <c r="F34" s="273" t="s">
        <v>1096</v>
      </c>
      <c r="G34" s="282">
        <v>1637</v>
      </c>
      <c r="H34" s="282">
        <v>190</v>
      </c>
      <c r="I34" s="275" t="e">
        <f t="shared" si="0"/>
        <v>#DIV/0!</v>
      </c>
      <c r="J34" s="275" t="e">
        <f t="shared" si="1"/>
        <v>#DIV/0!</v>
      </c>
      <c r="K34" s="276">
        <f t="shared" si="4"/>
        <v>0</v>
      </c>
      <c r="L34" s="55"/>
      <c r="M34" s="276" t="e">
        <f t="shared" si="5"/>
        <v>#DIV/0!</v>
      </c>
      <c r="N34" s="276" t="e">
        <f t="shared" si="2"/>
        <v>#DIV/0!</v>
      </c>
    </row>
    <row r="35" spans="1:14">
      <c r="A35" s="280">
        <v>120</v>
      </c>
      <c r="B35" s="57" t="s">
        <v>301</v>
      </c>
      <c r="C35" s="57" t="str">
        <f>VLOOKUP(A35,'3-Ruimtestaat'!B:D,3,FALSE)</f>
        <v>Oostlijn bovengronds</v>
      </c>
      <c r="D35" s="57" t="s">
        <v>1095</v>
      </c>
      <c r="E35" s="281">
        <v>5</v>
      </c>
      <c r="F35" s="273" t="s">
        <v>1096</v>
      </c>
      <c r="G35" s="282">
        <v>1881</v>
      </c>
      <c r="H35" s="282">
        <v>143</v>
      </c>
      <c r="I35" s="275" t="e">
        <f t="shared" si="0"/>
        <v>#DIV/0!</v>
      </c>
      <c r="J35" s="275" t="e">
        <f t="shared" si="1"/>
        <v>#DIV/0!</v>
      </c>
      <c r="K35" s="276">
        <f t="shared" si="4"/>
        <v>0</v>
      </c>
      <c r="L35" s="55"/>
      <c r="M35" s="276" t="e">
        <f t="shared" si="5"/>
        <v>#DIV/0!</v>
      </c>
      <c r="N35" s="276" t="e">
        <f t="shared" si="2"/>
        <v>#DIV/0!</v>
      </c>
    </row>
    <row r="36" spans="1:14">
      <c r="A36" s="280">
        <v>121</v>
      </c>
      <c r="B36" s="57" t="s">
        <v>181</v>
      </c>
      <c r="C36" s="57" t="str">
        <f>VLOOKUP(A36,'3-Ruimtestaat'!B:D,3,FALSE)</f>
        <v>Oostlijn bovengronds</v>
      </c>
      <c r="D36" s="57" t="s">
        <v>1095</v>
      </c>
      <c r="E36" s="281">
        <v>5</v>
      </c>
      <c r="F36" s="273" t="s">
        <v>1096</v>
      </c>
      <c r="G36" s="282">
        <v>1428</v>
      </c>
      <c r="H36" s="282">
        <v>170</v>
      </c>
      <c r="I36" s="275" t="e">
        <f t="shared" si="0"/>
        <v>#DIV/0!</v>
      </c>
      <c r="J36" s="275" t="e">
        <f t="shared" si="1"/>
        <v>#DIV/0!</v>
      </c>
      <c r="K36" s="276">
        <f t="shared" si="4"/>
        <v>0</v>
      </c>
      <c r="L36" s="55"/>
      <c r="M36" s="276" t="e">
        <f t="shared" si="5"/>
        <v>#DIV/0!</v>
      </c>
      <c r="N36" s="276" t="e">
        <f t="shared" si="2"/>
        <v>#DIV/0!</v>
      </c>
    </row>
    <row r="37" spans="1:14" s="291" customFormat="1">
      <c r="A37" s="283">
        <v>302</v>
      </c>
      <c r="B37" s="284" t="s">
        <v>1410</v>
      </c>
      <c r="C37" s="57" t="str">
        <f>VLOOKUP(A37,'3-Ruimtestaat'!B:D,3,FALSE)</f>
        <v>Ringlijn</v>
      </c>
      <c r="D37" s="284" t="s">
        <v>1095</v>
      </c>
      <c r="E37" s="285">
        <v>5</v>
      </c>
      <c r="F37" s="286" t="s">
        <v>1096</v>
      </c>
      <c r="G37" s="287">
        <v>1178</v>
      </c>
      <c r="H37" s="287">
        <v>181</v>
      </c>
      <c r="I37" s="288" t="e">
        <f t="shared" si="0"/>
        <v>#DIV/0!</v>
      </c>
      <c r="J37" s="289" t="e">
        <f t="shared" si="1"/>
        <v>#DIV/0!</v>
      </c>
      <c r="K37" s="290">
        <f t="shared" si="4"/>
        <v>0</v>
      </c>
      <c r="L37" s="55"/>
      <c r="M37" s="290" t="e">
        <f>I37*K37</f>
        <v>#DIV/0!</v>
      </c>
      <c r="N37" s="290" t="e">
        <f t="shared" si="2"/>
        <v>#DIV/0!</v>
      </c>
    </row>
    <row r="38" spans="1:14" s="291" customFormat="1">
      <c r="A38" s="283">
        <v>303</v>
      </c>
      <c r="B38" s="284" t="s">
        <v>133</v>
      </c>
      <c r="C38" s="57" t="str">
        <f>VLOOKUP(A38,'3-Ruimtestaat'!B:D,3,FALSE)</f>
        <v>Ringlijn</v>
      </c>
      <c r="D38" s="284" t="s">
        <v>1095</v>
      </c>
      <c r="E38" s="285">
        <v>4</v>
      </c>
      <c r="F38" s="286" t="s">
        <v>1096</v>
      </c>
      <c r="G38" s="287">
        <v>1703</v>
      </c>
      <c r="H38" s="287">
        <v>1013</v>
      </c>
      <c r="I38" s="288" t="e">
        <f t="shared" si="0"/>
        <v>#DIV/0!</v>
      </c>
      <c r="J38" s="289" t="e">
        <f t="shared" si="1"/>
        <v>#DIV/0!</v>
      </c>
      <c r="K38" s="290">
        <f t="shared" si="4"/>
        <v>0</v>
      </c>
      <c r="L38" s="55"/>
      <c r="M38" s="290" t="e">
        <f t="shared" ref="M38:M40" si="6">I38*K38</f>
        <v>#DIV/0!</v>
      </c>
      <c r="N38" s="290" t="e">
        <f t="shared" si="2"/>
        <v>#DIV/0!</v>
      </c>
    </row>
    <row r="39" spans="1:14" s="291" customFormat="1">
      <c r="A39" s="283">
        <v>307</v>
      </c>
      <c r="B39" s="284" t="s">
        <v>1412</v>
      </c>
      <c r="C39" s="57" t="str">
        <f>VLOOKUP(A39,'3-Ruimtestaat'!B:D,3,FALSE)</f>
        <v>Ringlijn</v>
      </c>
      <c r="D39" s="284" t="s">
        <v>1095</v>
      </c>
      <c r="E39" s="285">
        <v>5</v>
      </c>
      <c r="F39" s="286" t="s">
        <v>1096</v>
      </c>
      <c r="G39" s="287">
        <v>1626</v>
      </c>
      <c r="H39" s="287">
        <v>391</v>
      </c>
      <c r="I39" s="288" t="e">
        <f t="shared" si="0"/>
        <v>#DIV/0!</v>
      </c>
      <c r="J39" s="289" t="e">
        <f t="shared" si="1"/>
        <v>#DIV/0!</v>
      </c>
      <c r="K39" s="290">
        <f t="shared" si="4"/>
        <v>0</v>
      </c>
      <c r="L39" s="55"/>
      <c r="M39" s="290" t="e">
        <f t="shared" si="6"/>
        <v>#DIV/0!</v>
      </c>
      <c r="N39" s="290" t="e">
        <f t="shared" si="2"/>
        <v>#DIV/0!</v>
      </c>
    </row>
    <row r="40" spans="1:14" s="291" customFormat="1">
      <c r="A40" s="391">
        <v>311</v>
      </c>
      <c r="B40" s="292" t="s">
        <v>1413</v>
      </c>
      <c r="C40" s="392" t="str">
        <f>VLOOKUP(A40,'3-Ruimtestaat'!B:D,3,FALSE)</f>
        <v>Ringlijn</v>
      </c>
      <c r="D40" s="292" t="s">
        <v>1095</v>
      </c>
      <c r="E40" s="393">
        <v>4</v>
      </c>
      <c r="F40" s="394" t="s">
        <v>1096</v>
      </c>
      <c r="G40" s="293">
        <v>1562</v>
      </c>
      <c r="H40" s="293">
        <v>427</v>
      </c>
      <c r="I40" s="395" t="e">
        <f t="shared" si="0"/>
        <v>#DIV/0!</v>
      </c>
      <c r="J40" s="396" t="e">
        <f t="shared" si="1"/>
        <v>#DIV/0!</v>
      </c>
      <c r="K40" s="397">
        <f t="shared" si="4"/>
        <v>0</v>
      </c>
      <c r="L40" s="398"/>
      <c r="M40" s="397" t="e">
        <f t="shared" si="6"/>
        <v>#DIV/0!</v>
      </c>
      <c r="N40" s="290" t="e">
        <f t="shared" si="2"/>
        <v>#DIV/0!</v>
      </c>
    </row>
    <row r="41" spans="1:14" s="389" customFormat="1" ht="12.75">
      <c r="A41" s="399" t="s">
        <v>5</v>
      </c>
      <c r="B41" s="400"/>
      <c r="C41" s="400"/>
      <c r="D41" s="400"/>
      <c r="E41" s="400"/>
      <c r="F41" s="400"/>
      <c r="G41" s="400"/>
      <c r="H41" s="400"/>
      <c r="I41" s="400"/>
      <c r="J41" s="400"/>
      <c r="K41" s="400"/>
      <c r="L41" s="400"/>
      <c r="M41" s="401"/>
      <c r="N41" s="390" t="e">
        <f>SUM(N19:N40)</f>
        <v>#DIV/0!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9"/>
  <sheetViews>
    <sheetView showGridLines="0" zoomScaleNormal="100" workbookViewId="0">
      <pane ySplit="15" topLeftCell="A16" activePane="bottomLeft" state="frozen"/>
      <selection activeCell="F32" sqref="F32"/>
      <selection pane="bottomLeft" activeCell="D14" sqref="D14"/>
    </sheetView>
  </sheetViews>
  <sheetFormatPr defaultColWidth="8.7109375" defaultRowHeight="14.25"/>
  <cols>
    <col min="1" max="1" width="22.140625" style="266" customWidth="1"/>
    <col min="2" max="2" width="20.5703125" style="164" bestFit="1" customWidth="1"/>
    <col min="3" max="3" width="20.42578125" style="164" customWidth="1"/>
    <col min="4" max="4" width="46.85546875" style="164" customWidth="1"/>
    <col min="5" max="5" width="12.140625" style="164" bestFit="1" customWidth="1"/>
    <col min="6" max="6" width="16" style="164" customWidth="1"/>
    <col min="7" max="8" width="13.42578125" style="252" customWidth="1"/>
    <col min="9" max="9" width="15" style="252" bestFit="1" customWidth="1"/>
    <col min="10" max="10" width="12.42578125" style="252" bestFit="1" customWidth="1"/>
    <col min="11" max="11" width="17.140625" style="253" customWidth="1"/>
    <col min="12" max="16384" width="8.7109375" style="253"/>
  </cols>
  <sheetData>
    <row r="1" spans="1:10">
      <c r="A1" s="382" t="s">
        <v>2</v>
      </c>
    </row>
    <row r="2" spans="1:10" ht="17.25">
      <c r="A2" s="164"/>
      <c r="D2" s="254"/>
      <c r="E2" s="254"/>
      <c r="F2" s="254"/>
    </row>
    <row r="3" spans="1:10" ht="17.25">
      <c r="A3" s="369" t="s">
        <v>3</v>
      </c>
      <c r="C3" s="371" t="str">
        <f>'1-Inschrijfstaat'!B3</f>
        <v>GVB Infra B.V.</v>
      </c>
      <c r="E3" s="101"/>
      <c r="F3" s="254"/>
      <c r="J3" s="102"/>
    </row>
    <row r="4" spans="1:10" ht="17.25">
      <c r="A4" s="369" t="s">
        <v>1098</v>
      </c>
      <c r="C4" s="385" t="str">
        <f ca="1">MID(CELL("bestandsnaam",$C$9),SEARCH("]",CELL("bestandsnaam",$C$9),1)+1,256)</f>
        <v>5-Aanvullend</v>
      </c>
      <c r="E4" s="173"/>
      <c r="F4" s="254"/>
      <c r="H4" s="103"/>
      <c r="I4" s="103"/>
      <c r="J4" s="103"/>
    </row>
    <row r="5" spans="1:10" ht="17.25">
      <c r="A5" s="369" t="s">
        <v>4</v>
      </c>
      <c r="C5" s="371" t="str">
        <f>'1-Inschrijfstaat'!B5</f>
        <v>Diverse</v>
      </c>
      <c r="E5" s="101"/>
      <c r="F5" s="254"/>
      <c r="H5" s="103"/>
      <c r="I5" s="103"/>
      <c r="J5" s="103"/>
    </row>
    <row r="6" spans="1:10" ht="17.25">
      <c r="A6" s="370" t="s">
        <v>9</v>
      </c>
      <c r="C6" s="371" t="str">
        <f>'1-Inschrijfstaat'!B6</f>
        <v>2021-03</v>
      </c>
      <c r="E6" s="101"/>
      <c r="F6" s="255"/>
      <c r="G6" s="254"/>
      <c r="H6" s="103"/>
      <c r="I6" s="103"/>
      <c r="J6" s="103"/>
    </row>
    <row r="7" spans="1:10" ht="17.25">
      <c r="A7" s="369" t="s">
        <v>6</v>
      </c>
      <c r="C7" s="371" t="str">
        <f>'1-Inschrijfstaat'!B7</f>
        <v>Naam dienstverlener</v>
      </c>
      <c r="E7" s="101"/>
      <c r="F7" s="255"/>
      <c r="G7" s="254"/>
      <c r="H7" s="103"/>
      <c r="I7" s="254"/>
      <c r="J7" s="103"/>
    </row>
    <row r="8" spans="1:10" ht="17.25">
      <c r="A8" s="369" t="s">
        <v>7</v>
      </c>
      <c r="C8" s="15" t="str">
        <f>'1-Inschrijfstaat'!B8</f>
        <v>1 juni 2021</v>
      </c>
      <c r="E8" s="256"/>
      <c r="F8" s="255"/>
      <c r="G8" s="254"/>
      <c r="H8" s="103"/>
      <c r="I8" s="254"/>
      <c r="J8" s="103"/>
    </row>
    <row r="9" spans="1:10" ht="17.25">
      <c r="A9" s="359" t="s">
        <v>0</v>
      </c>
      <c r="C9" s="48" t="str">
        <f>'1-Inschrijfstaat'!B9</f>
        <v>2 Technische schoonmaak</v>
      </c>
      <c r="E9" s="256"/>
      <c r="F9" s="255"/>
      <c r="G9" s="254"/>
      <c r="H9" s="103"/>
      <c r="I9" s="254"/>
      <c r="J9" s="103"/>
    </row>
    <row r="10" spans="1:10" ht="17.25">
      <c r="A10" s="370" t="s">
        <v>1087</v>
      </c>
      <c r="B10" s="440"/>
      <c r="C10" s="440" t="s">
        <v>2068</v>
      </c>
      <c r="E10" s="256"/>
      <c r="F10" s="255"/>
      <c r="G10" s="254"/>
      <c r="H10" s="103"/>
      <c r="I10" s="254"/>
      <c r="J10" s="103"/>
    </row>
    <row r="11" spans="1:10" ht="17.25">
      <c r="A11" s="51"/>
      <c r="C11" s="48"/>
      <c r="E11" s="256"/>
      <c r="F11" s="255"/>
      <c r="G11" s="254"/>
      <c r="H11" s="103"/>
      <c r="I11" s="254"/>
      <c r="J11" s="103"/>
    </row>
    <row r="12" spans="1:10" ht="17.25">
      <c r="A12" s="386" t="s">
        <v>1711</v>
      </c>
      <c r="B12" s="387" t="s">
        <v>2061</v>
      </c>
      <c r="C12" s="387" t="s">
        <v>1708</v>
      </c>
      <c r="E12" s="256"/>
      <c r="F12" s="255"/>
      <c r="G12" s="254"/>
      <c r="H12" s="103"/>
      <c r="I12" s="254"/>
      <c r="J12" s="103"/>
    </row>
    <row r="13" spans="1:10" ht="17.25">
      <c r="A13" s="73" t="s">
        <v>1709</v>
      </c>
      <c r="B13" s="605" t="s">
        <v>2062</v>
      </c>
      <c r="C13" s="402">
        <v>0</v>
      </c>
      <c r="D13" s="92"/>
      <c r="E13" s="92"/>
      <c r="F13" s="257"/>
      <c r="G13" s="257"/>
      <c r="H13" s="103"/>
      <c r="I13" s="103"/>
      <c r="J13" s="254"/>
    </row>
    <row r="14" spans="1:10" ht="17.25">
      <c r="A14" s="100"/>
      <c r="B14" s="257"/>
      <c r="C14" s="257"/>
      <c r="D14" s="257"/>
      <c r="E14" s="257"/>
      <c r="F14" s="257"/>
      <c r="G14" s="103"/>
      <c r="H14" s="103"/>
    </row>
    <row r="15" spans="1:10" s="32" customFormat="1" ht="63.75">
      <c r="A15" s="404" t="s">
        <v>2002</v>
      </c>
      <c r="B15" s="404" t="s">
        <v>291</v>
      </c>
      <c r="C15" s="404" t="s">
        <v>13</v>
      </c>
      <c r="D15" s="405" t="s">
        <v>1115</v>
      </c>
      <c r="E15" s="406" t="s">
        <v>1100</v>
      </c>
      <c r="F15" s="406" t="s">
        <v>2009</v>
      </c>
      <c r="G15" s="407" t="s">
        <v>1367</v>
      </c>
      <c r="H15" s="407" t="s">
        <v>2010</v>
      </c>
      <c r="I15" s="406" t="s">
        <v>2011</v>
      </c>
      <c r="J15" s="363" t="s">
        <v>1314</v>
      </c>
    </row>
    <row r="16" spans="1:10" ht="13.5">
      <c r="A16" s="258">
        <v>107</v>
      </c>
      <c r="B16" s="29" t="s">
        <v>289</v>
      </c>
      <c r="C16" s="259" t="str">
        <f>VLOOKUP(A16,'3-Ruimtestaat'!B:D,3,FALSE)</f>
        <v>Oostlijn bovengronds</v>
      </c>
      <c r="D16" s="260" t="s">
        <v>1370</v>
      </c>
      <c r="E16" s="261">
        <v>2</v>
      </c>
      <c r="F16" s="261">
        <v>1</v>
      </c>
      <c r="G16" s="403">
        <v>0</v>
      </c>
      <c r="H16" s="403">
        <v>0</v>
      </c>
      <c r="I16" s="262">
        <f t="shared" ref="I16:I38" si="0">$C$13</f>
        <v>0</v>
      </c>
      <c r="J16" s="262">
        <f>F16*(G16+H16)*I16</f>
        <v>0</v>
      </c>
    </row>
    <row r="17" spans="1:10" ht="13.5">
      <c r="A17" s="263">
        <v>108</v>
      </c>
      <c r="B17" s="29" t="s">
        <v>255</v>
      </c>
      <c r="C17" s="259" t="str">
        <f>VLOOKUP(A17,'3-Ruimtestaat'!B:D,3,FALSE)</f>
        <v>Oostlijn bovengronds</v>
      </c>
      <c r="D17" s="260" t="s">
        <v>1370</v>
      </c>
      <c r="E17" s="261">
        <v>2</v>
      </c>
      <c r="F17" s="261">
        <v>1</v>
      </c>
      <c r="G17" s="403">
        <v>0</v>
      </c>
      <c r="H17" s="403">
        <v>0</v>
      </c>
      <c r="I17" s="262">
        <f t="shared" si="0"/>
        <v>0</v>
      </c>
      <c r="J17" s="262">
        <f t="shared" ref="J17:J38" si="1">F17*(G17+H17)*I17</f>
        <v>0</v>
      </c>
    </row>
    <row r="18" spans="1:10" ht="13.5">
      <c r="A18" s="263">
        <v>110</v>
      </c>
      <c r="B18" s="29" t="s">
        <v>103</v>
      </c>
      <c r="C18" s="259" t="str">
        <f>VLOOKUP(A18,'3-Ruimtestaat'!B:D,3,FALSE)</f>
        <v>Oostlijn bovengronds</v>
      </c>
      <c r="D18" s="260" t="s">
        <v>1370</v>
      </c>
      <c r="E18" s="261">
        <v>2</v>
      </c>
      <c r="F18" s="261">
        <v>1</v>
      </c>
      <c r="G18" s="403">
        <v>0</v>
      </c>
      <c r="H18" s="403">
        <v>0</v>
      </c>
      <c r="I18" s="262">
        <f t="shared" si="0"/>
        <v>0</v>
      </c>
      <c r="J18" s="262">
        <f t="shared" si="1"/>
        <v>0</v>
      </c>
    </row>
    <row r="19" spans="1:10" ht="13.5">
      <c r="A19" s="263">
        <v>112</v>
      </c>
      <c r="B19" s="29" t="s">
        <v>140</v>
      </c>
      <c r="C19" s="259" t="str">
        <f>VLOOKUP(A19,'3-Ruimtestaat'!B:D,3,FALSE)</f>
        <v>Oostlijn bovengronds</v>
      </c>
      <c r="D19" s="260" t="s">
        <v>1370</v>
      </c>
      <c r="E19" s="261">
        <v>2</v>
      </c>
      <c r="F19" s="261">
        <v>1</v>
      </c>
      <c r="G19" s="403">
        <v>0</v>
      </c>
      <c r="H19" s="403">
        <v>0</v>
      </c>
      <c r="I19" s="262">
        <f t="shared" si="0"/>
        <v>0</v>
      </c>
      <c r="J19" s="262">
        <f t="shared" si="1"/>
        <v>0</v>
      </c>
    </row>
    <row r="20" spans="1:10" ht="13.5">
      <c r="A20" s="263">
        <v>113</v>
      </c>
      <c r="B20" s="29" t="s">
        <v>855</v>
      </c>
      <c r="C20" s="259" t="str">
        <f>VLOOKUP(A20,'3-Ruimtestaat'!B:D,3,FALSE)</f>
        <v>Oostlijn bovengronds</v>
      </c>
      <c r="D20" s="260" t="s">
        <v>1370</v>
      </c>
      <c r="E20" s="261">
        <v>2</v>
      </c>
      <c r="F20" s="261">
        <v>1</v>
      </c>
      <c r="G20" s="403">
        <v>0</v>
      </c>
      <c r="H20" s="403">
        <v>0</v>
      </c>
      <c r="I20" s="262">
        <f t="shared" si="0"/>
        <v>0</v>
      </c>
      <c r="J20" s="262">
        <f t="shared" si="1"/>
        <v>0</v>
      </c>
    </row>
    <row r="21" spans="1:10" ht="13.5">
      <c r="A21" s="263">
        <v>114</v>
      </c>
      <c r="B21" s="29" t="s">
        <v>21</v>
      </c>
      <c r="C21" s="259" t="str">
        <f>VLOOKUP(A21,'3-Ruimtestaat'!B:D,3,FALSE)</f>
        <v>Oostlijn bovengronds</v>
      </c>
      <c r="D21" s="260" t="s">
        <v>1370</v>
      </c>
      <c r="E21" s="261">
        <v>2</v>
      </c>
      <c r="F21" s="261">
        <v>1</v>
      </c>
      <c r="G21" s="403">
        <v>0</v>
      </c>
      <c r="H21" s="403">
        <v>0</v>
      </c>
      <c r="I21" s="262">
        <f t="shared" si="0"/>
        <v>0</v>
      </c>
      <c r="J21" s="262">
        <f t="shared" si="1"/>
        <v>0</v>
      </c>
    </row>
    <row r="22" spans="1:10" ht="13.5">
      <c r="A22" s="263">
        <v>115</v>
      </c>
      <c r="B22" s="29" t="s">
        <v>73</v>
      </c>
      <c r="C22" s="259" t="str">
        <f>VLOOKUP(A22,'3-Ruimtestaat'!B:D,3,FALSE)</f>
        <v>Oostlijn Bovengronds</v>
      </c>
      <c r="D22" s="260" t="s">
        <v>1370</v>
      </c>
      <c r="E22" s="261">
        <v>2</v>
      </c>
      <c r="F22" s="261">
        <v>1</v>
      </c>
      <c r="G22" s="403">
        <v>0</v>
      </c>
      <c r="H22" s="403">
        <v>0</v>
      </c>
      <c r="I22" s="262">
        <f t="shared" si="0"/>
        <v>0</v>
      </c>
      <c r="J22" s="262">
        <f t="shared" si="1"/>
        <v>0</v>
      </c>
    </row>
    <row r="23" spans="1:10" ht="13.5">
      <c r="A23" s="263">
        <v>116</v>
      </c>
      <c r="B23" s="29" t="s">
        <v>238</v>
      </c>
      <c r="C23" s="259" t="str">
        <f>VLOOKUP(A23,'3-Ruimtestaat'!B:D,3,FALSE)</f>
        <v>Oostlijn bovengronds</v>
      </c>
      <c r="D23" s="260" t="s">
        <v>1370</v>
      </c>
      <c r="E23" s="261">
        <v>1</v>
      </c>
      <c r="F23" s="261">
        <v>1</v>
      </c>
      <c r="G23" s="403">
        <v>0</v>
      </c>
      <c r="H23" s="403">
        <v>0</v>
      </c>
      <c r="I23" s="262">
        <f t="shared" si="0"/>
        <v>0</v>
      </c>
      <c r="J23" s="262">
        <f t="shared" si="1"/>
        <v>0</v>
      </c>
    </row>
    <row r="24" spans="1:10" ht="13.5">
      <c r="A24" s="263">
        <v>117</v>
      </c>
      <c r="B24" s="29" t="s">
        <v>297</v>
      </c>
      <c r="C24" s="259" t="str">
        <f>VLOOKUP(A24,'3-Ruimtestaat'!B:D,3,FALSE)</f>
        <v>Oostlijn bovengronds</v>
      </c>
      <c r="D24" s="260" t="s">
        <v>1370</v>
      </c>
      <c r="E24" s="261">
        <v>2</v>
      </c>
      <c r="F24" s="261">
        <v>1</v>
      </c>
      <c r="G24" s="403">
        <v>0</v>
      </c>
      <c r="H24" s="403">
        <v>0</v>
      </c>
      <c r="I24" s="262">
        <f t="shared" si="0"/>
        <v>0</v>
      </c>
      <c r="J24" s="262">
        <f t="shared" si="1"/>
        <v>0</v>
      </c>
    </row>
    <row r="25" spans="1:10" ht="13.5">
      <c r="A25" s="263">
        <v>118</v>
      </c>
      <c r="B25" s="29" t="s">
        <v>198</v>
      </c>
      <c r="C25" s="259" t="str">
        <f>VLOOKUP(A25,'3-Ruimtestaat'!B:D,3,FALSE)</f>
        <v>Oostlijn bovengronds</v>
      </c>
      <c r="D25" s="260" t="s">
        <v>1370</v>
      </c>
      <c r="E25" s="261">
        <v>1</v>
      </c>
      <c r="F25" s="261">
        <v>1</v>
      </c>
      <c r="G25" s="403">
        <v>0</v>
      </c>
      <c r="H25" s="403">
        <v>0</v>
      </c>
      <c r="I25" s="262">
        <f t="shared" si="0"/>
        <v>0</v>
      </c>
      <c r="J25" s="262">
        <f t="shared" si="1"/>
        <v>0</v>
      </c>
    </row>
    <row r="26" spans="1:10" ht="13.5">
      <c r="A26" s="263">
        <v>119</v>
      </c>
      <c r="B26" s="29" t="s">
        <v>311</v>
      </c>
      <c r="C26" s="259" t="str">
        <f>VLOOKUP(A26,'3-Ruimtestaat'!B:D,3,FALSE)</f>
        <v>Oostlijn bovengronds</v>
      </c>
      <c r="D26" s="260" t="s">
        <v>1370</v>
      </c>
      <c r="E26" s="261">
        <v>3</v>
      </c>
      <c r="F26" s="261">
        <v>1</v>
      </c>
      <c r="G26" s="403">
        <v>0</v>
      </c>
      <c r="H26" s="403">
        <v>0</v>
      </c>
      <c r="I26" s="262">
        <f t="shared" si="0"/>
        <v>0</v>
      </c>
      <c r="J26" s="262">
        <f t="shared" si="1"/>
        <v>0</v>
      </c>
    </row>
    <row r="27" spans="1:10" ht="13.5">
      <c r="A27" s="263">
        <v>120</v>
      </c>
      <c r="B27" s="29" t="s">
        <v>301</v>
      </c>
      <c r="C27" s="259" t="str">
        <f>VLOOKUP(A27,'3-Ruimtestaat'!B:D,3,FALSE)</f>
        <v>Oostlijn bovengronds</v>
      </c>
      <c r="D27" s="260" t="s">
        <v>1370</v>
      </c>
      <c r="E27" s="261">
        <v>3</v>
      </c>
      <c r="F27" s="261">
        <v>1</v>
      </c>
      <c r="G27" s="403">
        <v>0</v>
      </c>
      <c r="H27" s="403">
        <v>0</v>
      </c>
      <c r="I27" s="262">
        <f t="shared" si="0"/>
        <v>0</v>
      </c>
      <c r="J27" s="262">
        <f t="shared" si="1"/>
        <v>0</v>
      </c>
    </row>
    <row r="28" spans="1:10" ht="13.5">
      <c r="A28" s="263">
        <v>121</v>
      </c>
      <c r="B28" s="29" t="s">
        <v>181</v>
      </c>
      <c r="C28" s="259" t="str">
        <f>VLOOKUP(A28,'3-Ruimtestaat'!B:D,3,FALSE)</f>
        <v>Oostlijn bovengronds</v>
      </c>
      <c r="D28" s="260" t="s">
        <v>1370</v>
      </c>
      <c r="E28" s="261">
        <v>1</v>
      </c>
      <c r="F28" s="261">
        <v>1</v>
      </c>
      <c r="G28" s="403">
        <v>0</v>
      </c>
      <c r="H28" s="403">
        <v>0</v>
      </c>
      <c r="I28" s="262">
        <f t="shared" si="0"/>
        <v>0</v>
      </c>
      <c r="J28" s="262">
        <f t="shared" si="1"/>
        <v>0</v>
      </c>
    </row>
    <row r="29" spans="1:10" ht="13.5">
      <c r="A29" s="263">
        <v>1002</v>
      </c>
      <c r="B29" s="29" t="s">
        <v>1071</v>
      </c>
      <c r="C29" s="259" t="str">
        <f>VLOOKUP(A29,'3-Ruimtestaat'!B:D,3,FALSE)</f>
        <v>Ijtram</v>
      </c>
      <c r="D29" s="260" t="s">
        <v>1370</v>
      </c>
      <c r="E29" s="261">
        <v>2</v>
      </c>
      <c r="F29" s="261">
        <v>1</v>
      </c>
      <c r="G29" s="403">
        <v>0</v>
      </c>
      <c r="H29" s="403">
        <v>0</v>
      </c>
      <c r="I29" s="262">
        <f t="shared" si="0"/>
        <v>0</v>
      </c>
      <c r="J29" s="262">
        <f t="shared" si="1"/>
        <v>0</v>
      </c>
    </row>
    <row r="30" spans="1:10" ht="13.5">
      <c r="A30" s="58">
        <v>302</v>
      </c>
      <c r="B30" s="59" t="s">
        <v>1410</v>
      </c>
      <c r="C30" s="259" t="str">
        <f>VLOOKUP(A30,'3-Ruimtestaat'!B:D,3,FALSE)</f>
        <v>Ringlijn</v>
      </c>
      <c r="D30" s="264" t="s">
        <v>1370</v>
      </c>
      <c r="E30" s="261">
        <v>1</v>
      </c>
      <c r="F30" s="261">
        <v>1</v>
      </c>
      <c r="G30" s="403">
        <v>0</v>
      </c>
      <c r="H30" s="403">
        <v>0</v>
      </c>
      <c r="I30" s="265">
        <f t="shared" si="0"/>
        <v>0</v>
      </c>
      <c r="J30" s="262">
        <f t="shared" si="1"/>
        <v>0</v>
      </c>
    </row>
    <row r="31" spans="1:10">
      <c r="A31" s="58">
        <v>304</v>
      </c>
      <c r="B31" s="60" t="s">
        <v>1414</v>
      </c>
      <c r="C31" s="259" t="str">
        <f>VLOOKUP(A31,'3-Ruimtestaat'!B:D,3,FALSE)</f>
        <v>Ringlijn</v>
      </c>
      <c r="D31" s="264" t="s">
        <v>1370</v>
      </c>
      <c r="E31" s="261">
        <v>1</v>
      </c>
      <c r="F31" s="261">
        <v>1</v>
      </c>
      <c r="G31" s="403">
        <v>0</v>
      </c>
      <c r="H31" s="403">
        <v>0</v>
      </c>
      <c r="I31" s="265">
        <f t="shared" si="0"/>
        <v>0</v>
      </c>
      <c r="J31" s="262">
        <f t="shared" si="1"/>
        <v>0</v>
      </c>
    </row>
    <row r="32" spans="1:10" ht="13.5">
      <c r="A32" s="58">
        <v>305</v>
      </c>
      <c r="B32" s="59" t="s">
        <v>1417</v>
      </c>
      <c r="C32" s="259" t="str">
        <f>VLOOKUP(A32,'3-Ruimtestaat'!B:D,3,FALSE)</f>
        <v>Ringlijn</v>
      </c>
      <c r="D32" s="264" t="s">
        <v>1370</v>
      </c>
      <c r="E32" s="261">
        <v>1</v>
      </c>
      <c r="F32" s="261">
        <v>1</v>
      </c>
      <c r="G32" s="403">
        <v>0</v>
      </c>
      <c r="H32" s="403">
        <v>0</v>
      </c>
      <c r="I32" s="265">
        <f t="shared" si="0"/>
        <v>0</v>
      </c>
      <c r="J32" s="262">
        <f t="shared" si="1"/>
        <v>0</v>
      </c>
    </row>
    <row r="33" spans="1:10" ht="13.5">
      <c r="A33" s="58">
        <v>306</v>
      </c>
      <c r="B33" s="59" t="s">
        <v>1418</v>
      </c>
      <c r="C33" s="259" t="str">
        <f>VLOOKUP(A33,'3-Ruimtestaat'!B:D,3,FALSE)</f>
        <v>Ringlijn</v>
      </c>
      <c r="D33" s="264" t="s">
        <v>1370</v>
      </c>
      <c r="E33" s="261">
        <v>1</v>
      </c>
      <c r="F33" s="261">
        <v>1</v>
      </c>
      <c r="G33" s="403">
        <v>0</v>
      </c>
      <c r="H33" s="403">
        <v>0</v>
      </c>
      <c r="I33" s="265">
        <f t="shared" si="0"/>
        <v>0</v>
      </c>
      <c r="J33" s="262">
        <f t="shared" si="1"/>
        <v>0</v>
      </c>
    </row>
    <row r="34" spans="1:10" ht="13.5">
      <c r="A34" s="58">
        <v>307</v>
      </c>
      <c r="B34" s="59" t="s">
        <v>1412</v>
      </c>
      <c r="C34" s="259" t="str">
        <f>VLOOKUP(A34,'3-Ruimtestaat'!B:D,3,FALSE)</f>
        <v>Ringlijn</v>
      </c>
      <c r="D34" s="264" t="s">
        <v>1370</v>
      </c>
      <c r="E34" s="261">
        <v>1</v>
      </c>
      <c r="F34" s="261">
        <v>1</v>
      </c>
      <c r="G34" s="403">
        <v>0</v>
      </c>
      <c r="H34" s="403">
        <v>0</v>
      </c>
      <c r="I34" s="265">
        <f t="shared" si="0"/>
        <v>0</v>
      </c>
      <c r="J34" s="262">
        <f t="shared" si="1"/>
        <v>0</v>
      </c>
    </row>
    <row r="35" spans="1:10" ht="13.5">
      <c r="A35" s="58">
        <v>308</v>
      </c>
      <c r="B35" s="59" t="s">
        <v>1419</v>
      </c>
      <c r="C35" s="259" t="str">
        <f>VLOOKUP(A35,'3-Ruimtestaat'!B:D,3,FALSE)</f>
        <v>Ringlijn</v>
      </c>
      <c r="D35" s="264" t="s">
        <v>1370</v>
      </c>
      <c r="E35" s="261">
        <v>1</v>
      </c>
      <c r="F35" s="261">
        <v>1</v>
      </c>
      <c r="G35" s="403">
        <v>0</v>
      </c>
      <c r="H35" s="403">
        <v>0</v>
      </c>
      <c r="I35" s="265">
        <f t="shared" si="0"/>
        <v>0</v>
      </c>
      <c r="J35" s="262">
        <f t="shared" si="1"/>
        <v>0</v>
      </c>
    </row>
    <row r="36" spans="1:10" ht="13.5">
      <c r="A36" s="58">
        <v>309</v>
      </c>
      <c r="B36" s="59" t="s">
        <v>1415</v>
      </c>
      <c r="C36" s="259" t="str">
        <f>VLOOKUP(A36,'3-Ruimtestaat'!B:D,3,FALSE)</f>
        <v>Ringlijn</v>
      </c>
      <c r="D36" s="264" t="s">
        <v>1370</v>
      </c>
      <c r="E36" s="261">
        <v>1</v>
      </c>
      <c r="F36" s="261">
        <v>1</v>
      </c>
      <c r="G36" s="403">
        <v>0</v>
      </c>
      <c r="H36" s="403">
        <v>0</v>
      </c>
      <c r="I36" s="265">
        <f t="shared" si="0"/>
        <v>0</v>
      </c>
      <c r="J36" s="262">
        <f t="shared" si="1"/>
        <v>0</v>
      </c>
    </row>
    <row r="37" spans="1:10" ht="13.5">
      <c r="A37" s="58">
        <v>310</v>
      </c>
      <c r="B37" s="59" t="s">
        <v>1416</v>
      </c>
      <c r="C37" s="259" t="str">
        <f>VLOOKUP(A37,'3-Ruimtestaat'!B:D,3,FALSE)</f>
        <v>Ringlijn</v>
      </c>
      <c r="D37" s="264" t="s">
        <v>1370</v>
      </c>
      <c r="E37" s="261">
        <v>1</v>
      </c>
      <c r="F37" s="261">
        <v>1</v>
      </c>
      <c r="G37" s="403">
        <v>0</v>
      </c>
      <c r="H37" s="403">
        <v>0</v>
      </c>
      <c r="I37" s="265">
        <f t="shared" si="0"/>
        <v>0</v>
      </c>
      <c r="J37" s="262">
        <f t="shared" si="1"/>
        <v>0</v>
      </c>
    </row>
    <row r="38" spans="1:10" ht="13.5">
      <c r="A38" s="409">
        <v>311</v>
      </c>
      <c r="B38" s="410" t="s">
        <v>1413</v>
      </c>
      <c r="C38" s="411" t="str">
        <f>VLOOKUP(A38,'3-Ruimtestaat'!B:D,3,FALSE)</f>
        <v>Ringlijn</v>
      </c>
      <c r="D38" s="412" t="s">
        <v>1370</v>
      </c>
      <c r="E38" s="413">
        <v>1</v>
      </c>
      <c r="F38" s="413">
        <v>1</v>
      </c>
      <c r="G38" s="403">
        <v>0</v>
      </c>
      <c r="H38" s="403">
        <v>0</v>
      </c>
      <c r="I38" s="414">
        <f t="shared" si="0"/>
        <v>0</v>
      </c>
      <c r="J38" s="262">
        <f t="shared" si="1"/>
        <v>0</v>
      </c>
    </row>
    <row r="39" spans="1:10" ht="13.5">
      <c r="A39" s="415" t="s">
        <v>5</v>
      </c>
      <c r="B39" s="416"/>
      <c r="C39" s="416"/>
      <c r="D39" s="416"/>
      <c r="E39" s="416"/>
      <c r="F39" s="417"/>
      <c r="G39" s="417"/>
      <c r="H39" s="417"/>
      <c r="I39" s="418"/>
      <c r="J39" s="408">
        <f>SUM(J16:J38)</f>
        <v>0</v>
      </c>
    </row>
  </sheetData>
  <autoFilter ref="A15:J15" xr:uid="{F4D34306-0F5A-40F0-ADF4-49EE431F54CD}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93"/>
  <sheetViews>
    <sheetView showGridLines="0" topLeftCell="B1" zoomScaleNormal="100" workbookViewId="0">
      <pane ySplit="10" topLeftCell="A11" activePane="bottomLeft" state="frozen"/>
      <selection activeCell="F32" sqref="F32"/>
      <selection pane="bottomLeft" activeCell="J1" sqref="J1"/>
    </sheetView>
  </sheetViews>
  <sheetFormatPr defaultColWidth="9.140625" defaultRowHeight="13.5"/>
  <cols>
    <col min="1" max="1" width="31.85546875" style="119" customWidth="1"/>
    <col min="2" max="2" width="25.5703125" style="230" customWidth="1"/>
    <col min="3" max="3" width="20.85546875" style="118" bestFit="1" customWidth="1"/>
    <col min="4" max="4" width="18.28515625" style="118" customWidth="1"/>
    <col min="5" max="6" width="15.7109375" style="165" customWidth="1"/>
    <col min="7" max="7" width="15.7109375" style="166" customWidth="1"/>
    <col min="8" max="9" width="15.7109375" style="167" customWidth="1"/>
    <col min="10" max="10" width="21" style="168" customWidth="1"/>
    <col min="11" max="11" width="19.5703125" style="169" customWidth="1"/>
    <col min="12" max="12" width="17.42578125" style="168" customWidth="1"/>
    <col min="13" max="13" width="15.7109375" style="168" customWidth="1"/>
    <col min="14" max="14" width="9.140625" style="119"/>
    <col min="15" max="15" width="13.140625" style="119" bestFit="1" customWidth="1"/>
    <col min="16" max="16384" width="9.140625" style="119"/>
  </cols>
  <sheetData>
    <row r="1" spans="1:12" ht="14.25">
      <c r="A1" s="382" t="s">
        <v>2</v>
      </c>
      <c r="B1" s="164"/>
    </row>
    <row r="2" spans="1:12" ht="14.25">
      <c r="A2" s="164"/>
      <c r="B2" s="164"/>
      <c r="C2" s="170"/>
      <c r="D2" s="170"/>
      <c r="E2" s="171"/>
      <c r="F2" s="171"/>
      <c r="G2" s="172"/>
    </row>
    <row r="3" spans="1:12" ht="17.25">
      <c r="A3" s="369" t="s">
        <v>3</v>
      </c>
      <c r="B3" s="371" t="str">
        <f>'1-Inschrijfstaat'!B3</f>
        <v>GVB Infra B.V.</v>
      </c>
      <c r="C3" s="170"/>
      <c r="D3" s="170"/>
      <c r="E3" s="171"/>
      <c r="F3" s="171"/>
      <c r="G3" s="172"/>
    </row>
    <row r="4" spans="1:12" ht="17.25">
      <c r="A4" s="369" t="s">
        <v>1098</v>
      </c>
      <c r="B4" s="385" t="str">
        <f ca="1">MID(CELL("bestandsnaam",$C$9),SEARCH("]",CELL("bestandsnaam",$C$9),1)+1,256)</f>
        <v xml:space="preserve">6-Ballastbed </v>
      </c>
      <c r="C4" s="170"/>
      <c r="D4" s="170"/>
      <c r="E4" s="171"/>
      <c r="F4" s="171"/>
      <c r="G4" s="172"/>
    </row>
    <row r="5" spans="1:12" ht="17.25">
      <c r="A5" s="369" t="s">
        <v>4</v>
      </c>
      <c r="B5" s="371" t="str">
        <f>'1-Inschrijfstaat'!B5</f>
        <v>Diverse</v>
      </c>
      <c r="C5" s="170"/>
      <c r="D5" s="170"/>
      <c r="E5" s="170"/>
      <c r="F5" s="170"/>
      <c r="G5" s="174"/>
      <c r="H5" s="175"/>
      <c r="I5" s="175"/>
    </row>
    <row r="6" spans="1:12" ht="17.25">
      <c r="A6" s="370" t="s">
        <v>9</v>
      </c>
      <c r="B6" s="371" t="str">
        <f>'1-Inschrijfstaat'!B6</f>
        <v>2021-03</v>
      </c>
      <c r="C6" s="170"/>
      <c r="D6" s="170"/>
      <c r="E6" s="171"/>
      <c r="F6" s="171"/>
      <c r="G6" s="172"/>
    </row>
    <row r="7" spans="1:12" ht="17.25">
      <c r="A7" s="369" t="s">
        <v>6</v>
      </c>
      <c r="B7" s="371" t="str">
        <f>'1-Inschrijfstaat'!B7:D7</f>
        <v>Naam dienstverlener</v>
      </c>
      <c r="C7" s="170"/>
      <c r="D7" s="170"/>
      <c r="E7" s="547"/>
      <c r="F7" s="170"/>
      <c r="G7" s="174"/>
      <c r="H7" s="175"/>
      <c r="I7" s="175"/>
      <c r="J7" s="170"/>
      <c r="K7" s="170"/>
      <c r="L7" s="170"/>
    </row>
    <row r="8" spans="1:12" ht="15.75">
      <c r="A8" s="369" t="s">
        <v>7</v>
      </c>
      <c r="B8" s="15" t="str">
        <f>'1-Inschrijfstaat'!B8</f>
        <v>1 juni 2021</v>
      </c>
      <c r="C8" s="170"/>
      <c r="D8" s="170"/>
      <c r="E8" s="171"/>
      <c r="F8" s="171"/>
      <c r="G8" s="172"/>
    </row>
    <row r="9" spans="1:12" ht="15.75">
      <c r="A9" s="359" t="s">
        <v>0</v>
      </c>
      <c r="B9" s="48" t="str">
        <f>'1-Inschrijfstaat'!B9</f>
        <v>2 Technische schoonmaak</v>
      </c>
      <c r="C9" s="170"/>
      <c r="D9" s="170"/>
      <c r="E9" s="171"/>
      <c r="F9" s="171"/>
      <c r="G9" s="172"/>
    </row>
    <row r="10" spans="1:12" ht="17.25">
      <c r="A10" s="370" t="s">
        <v>1087</v>
      </c>
      <c r="B10" s="423" t="s">
        <v>2069</v>
      </c>
      <c r="C10" s="170"/>
      <c r="D10" s="170"/>
      <c r="E10" s="171"/>
      <c r="F10" s="171"/>
      <c r="G10" s="172"/>
    </row>
    <row r="11" spans="1:12" ht="17.25">
      <c r="A11" s="100"/>
      <c r="B11" s="92"/>
      <c r="C11" s="170"/>
      <c r="D11" s="170"/>
      <c r="E11" s="171"/>
      <c r="F11" s="171"/>
      <c r="G11" s="172"/>
    </row>
    <row r="12" spans="1:12">
      <c r="A12" s="176"/>
      <c r="B12" s="170"/>
      <c r="C12" s="170"/>
      <c r="D12" s="170"/>
      <c r="E12" s="171"/>
      <c r="F12" s="171"/>
      <c r="G12" s="172"/>
    </row>
    <row r="13" spans="1:12">
      <c r="A13" s="386" t="s">
        <v>1711</v>
      </c>
      <c r="B13" s="387" t="s">
        <v>2061</v>
      </c>
      <c r="C13" s="387" t="s">
        <v>1708</v>
      </c>
      <c r="D13" s="170"/>
      <c r="E13" s="171"/>
      <c r="F13" s="171"/>
      <c r="G13" s="172"/>
    </row>
    <row r="14" spans="1:12">
      <c r="A14" s="177" t="s">
        <v>1709</v>
      </c>
      <c r="B14" s="605" t="s">
        <v>2063</v>
      </c>
      <c r="C14" s="384">
        <v>0</v>
      </c>
      <c r="D14" s="172"/>
      <c r="E14" s="171"/>
      <c r="F14" s="171"/>
      <c r="G14" s="172"/>
    </row>
    <row r="15" spans="1:12">
      <c r="A15" s="178" t="s">
        <v>1710</v>
      </c>
      <c r="B15" s="605" t="s">
        <v>2063</v>
      </c>
      <c r="C15" s="384">
        <v>0</v>
      </c>
      <c r="D15" s="172"/>
      <c r="E15" s="171"/>
      <c r="F15" s="171"/>
      <c r="G15" s="172"/>
    </row>
    <row r="16" spans="1:12" ht="14.25" thickBot="1">
      <c r="A16" s="179"/>
      <c r="B16" s="180"/>
      <c r="C16" s="181"/>
      <c r="D16" s="170"/>
      <c r="E16" s="171"/>
      <c r="F16" s="171"/>
      <c r="G16" s="172"/>
    </row>
    <row r="17" spans="1:13" ht="51.75">
      <c r="A17" s="419" t="s">
        <v>1317</v>
      </c>
      <c r="B17" s="420" t="s">
        <v>2022</v>
      </c>
      <c r="C17" s="420" t="s">
        <v>2023</v>
      </c>
      <c r="D17" s="420" t="s">
        <v>2024</v>
      </c>
      <c r="E17" s="421" t="s">
        <v>2025</v>
      </c>
      <c r="F17" s="171"/>
      <c r="G17" s="119"/>
      <c r="H17" s="119"/>
      <c r="I17" s="119"/>
      <c r="J17" s="119"/>
      <c r="K17" s="119"/>
      <c r="L17" s="119"/>
    </row>
    <row r="18" spans="1:13">
      <c r="A18" s="182">
        <v>1</v>
      </c>
      <c r="B18" s="422">
        <v>0</v>
      </c>
      <c r="C18" s="422">
        <v>0</v>
      </c>
      <c r="D18" s="422">
        <v>0</v>
      </c>
      <c r="E18" s="422">
        <v>0</v>
      </c>
      <c r="F18" s="171"/>
      <c r="G18" s="167"/>
      <c r="H18" s="119"/>
      <c r="I18" s="119"/>
      <c r="J18" s="119"/>
      <c r="K18" s="119"/>
      <c r="L18" s="119"/>
    </row>
    <row r="19" spans="1:13">
      <c r="A19" s="182">
        <v>2</v>
      </c>
      <c r="B19" s="422">
        <v>0</v>
      </c>
      <c r="C19" s="422">
        <v>0</v>
      </c>
      <c r="D19" s="422">
        <v>0</v>
      </c>
      <c r="E19" s="422">
        <v>0</v>
      </c>
      <c r="F19" s="171"/>
      <c r="G19" s="167"/>
      <c r="H19" s="119"/>
      <c r="I19" s="119"/>
      <c r="J19" s="119"/>
      <c r="K19" s="119"/>
      <c r="L19" s="119"/>
    </row>
    <row r="20" spans="1:13">
      <c r="A20" s="182">
        <v>6</v>
      </c>
      <c r="B20" s="422">
        <v>0</v>
      </c>
      <c r="C20" s="422">
        <v>0</v>
      </c>
      <c r="D20" s="422">
        <v>0</v>
      </c>
      <c r="E20" s="422">
        <v>0</v>
      </c>
      <c r="F20" s="171"/>
      <c r="G20" s="167"/>
      <c r="H20" s="119"/>
      <c r="I20" s="119"/>
      <c r="J20" s="119"/>
      <c r="K20" s="119"/>
      <c r="L20" s="119"/>
    </row>
    <row r="21" spans="1:13">
      <c r="A21" s="182">
        <v>12</v>
      </c>
      <c r="B21" s="422">
        <v>0</v>
      </c>
      <c r="C21" s="422">
        <v>0</v>
      </c>
      <c r="D21" s="422">
        <v>0</v>
      </c>
      <c r="E21" s="422">
        <v>0</v>
      </c>
      <c r="F21" s="171"/>
      <c r="G21" s="167"/>
      <c r="H21" s="119"/>
      <c r="I21" s="119"/>
      <c r="J21" s="119"/>
      <c r="K21" s="119"/>
      <c r="L21" s="119"/>
    </row>
    <row r="22" spans="1:13" ht="14.25" thickBot="1">
      <c r="A22" s="182">
        <v>13</v>
      </c>
      <c r="B22" s="422">
        <v>0</v>
      </c>
      <c r="C22" s="422">
        <v>0</v>
      </c>
      <c r="D22" s="422">
        <v>0</v>
      </c>
      <c r="E22" s="422">
        <v>0</v>
      </c>
      <c r="F22" s="171"/>
      <c r="G22" s="167"/>
      <c r="H22" s="119"/>
      <c r="I22" s="119"/>
      <c r="J22" s="119"/>
      <c r="K22" s="119"/>
      <c r="L22" s="119"/>
    </row>
    <row r="23" spans="1:13" ht="51">
      <c r="A23" s="170"/>
      <c r="B23" s="180"/>
      <c r="C23" s="170"/>
      <c r="D23" s="170"/>
      <c r="E23" s="171"/>
      <c r="F23" s="171"/>
      <c r="G23" s="172"/>
      <c r="K23" s="434" t="s">
        <v>1366</v>
      </c>
    </row>
    <row r="24" spans="1:13" ht="14.25" thickBot="1">
      <c r="A24" s="170" t="s">
        <v>1140</v>
      </c>
      <c r="B24" s="170"/>
      <c r="C24" s="171"/>
      <c r="D24" s="171"/>
      <c r="E24" s="183"/>
      <c r="F24" s="184"/>
      <c r="G24" s="185"/>
      <c r="H24" s="186"/>
      <c r="I24" s="186"/>
      <c r="K24" s="435">
        <v>0</v>
      </c>
      <c r="L24" s="187"/>
    </row>
    <row r="25" spans="1:13" ht="51.75" thickBot="1">
      <c r="A25" s="424" t="s">
        <v>290</v>
      </c>
      <c r="B25" s="425" t="s">
        <v>291</v>
      </c>
      <c r="C25" s="426" t="s">
        <v>13</v>
      </c>
      <c r="D25" s="426" t="s">
        <v>2013</v>
      </c>
      <c r="E25" s="427" t="s">
        <v>2014</v>
      </c>
      <c r="F25" s="428" t="s">
        <v>2015</v>
      </c>
      <c r="G25" s="429" t="s">
        <v>2016</v>
      </c>
      <c r="H25" s="430" t="s">
        <v>2017</v>
      </c>
      <c r="I25" s="431" t="s">
        <v>2018</v>
      </c>
      <c r="J25" s="432" t="s">
        <v>2019</v>
      </c>
      <c r="K25" s="431" t="s">
        <v>2020</v>
      </c>
      <c r="L25" s="433" t="s">
        <v>2021</v>
      </c>
      <c r="M25" s="119"/>
    </row>
    <row r="26" spans="1:13">
      <c r="A26" s="188">
        <v>101</v>
      </c>
      <c r="B26" s="189" t="s">
        <v>1408</v>
      </c>
      <c r="C26" s="190" t="s">
        <v>180</v>
      </c>
      <c r="D26" s="191">
        <v>400</v>
      </c>
      <c r="E26" s="191">
        <v>13</v>
      </c>
      <c r="F26" s="192">
        <f t="shared" ref="F26:F73" si="0">VLOOKUP(E26,$A$17:$E$22,2,FALSE)</f>
        <v>0</v>
      </c>
      <c r="G26" s="193">
        <f t="shared" ref="G26:G46" si="1">IF(E26="NVT"," ",H26/E26)</f>
        <v>0</v>
      </c>
      <c r="H26" s="194">
        <f t="shared" ref="H26:H46" si="2">IF(E26="n.v.t.","",D26*E26*F26)</f>
        <v>0</v>
      </c>
      <c r="I26" s="195">
        <f t="shared" ref="I26:I73" si="3">$C$14</f>
        <v>0</v>
      </c>
      <c r="J26" s="196">
        <f t="shared" ref="J26" si="4">H26*$K$24</f>
        <v>0</v>
      </c>
      <c r="K26" s="195">
        <f t="shared" ref="K26:K73" si="5">J26*$C$15</f>
        <v>0</v>
      </c>
      <c r="L26" s="195">
        <f t="shared" ref="L26" si="6">(H26*I26)+K26</f>
        <v>0</v>
      </c>
      <c r="M26" s="119"/>
    </row>
    <row r="27" spans="1:13">
      <c r="A27" s="197">
        <v>102</v>
      </c>
      <c r="B27" s="198" t="s">
        <v>850</v>
      </c>
      <c r="C27" s="199" t="s">
        <v>180</v>
      </c>
      <c r="D27" s="200">
        <v>400</v>
      </c>
      <c r="E27" s="191">
        <v>13</v>
      </c>
      <c r="F27" s="192">
        <f t="shared" si="0"/>
        <v>0</v>
      </c>
      <c r="G27" s="193">
        <f t="shared" si="1"/>
        <v>0</v>
      </c>
      <c r="H27" s="194">
        <f t="shared" si="2"/>
        <v>0</v>
      </c>
      <c r="I27" s="195">
        <f t="shared" si="3"/>
        <v>0</v>
      </c>
      <c r="J27" s="196">
        <f t="shared" ref="J27:J46" si="7">H27*$K$24</f>
        <v>0</v>
      </c>
      <c r="K27" s="195">
        <f t="shared" si="5"/>
        <v>0</v>
      </c>
      <c r="L27" s="195">
        <f t="shared" ref="L27:L46" si="8">(H27*I27)+K27</f>
        <v>0</v>
      </c>
      <c r="M27" s="119"/>
    </row>
    <row r="28" spans="1:13">
      <c r="A28" s="197">
        <v>103</v>
      </c>
      <c r="B28" s="198" t="s">
        <v>718</v>
      </c>
      <c r="C28" s="199" t="s">
        <v>180</v>
      </c>
      <c r="D28" s="200">
        <v>362</v>
      </c>
      <c r="E28" s="191">
        <v>13</v>
      </c>
      <c r="F28" s="192">
        <f t="shared" si="0"/>
        <v>0</v>
      </c>
      <c r="G28" s="193">
        <f t="shared" si="1"/>
        <v>0</v>
      </c>
      <c r="H28" s="194">
        <f t="shared" si="2"/>
        <v>0</v>
      </c>
      <c r="I28" s="195">
        <f t="shared" si="3"/>
        <v>0</v>
      </c>
      <c r="J28" s="196">
        <f t="shared" si="7"/>
        <v>0</v>
      </c>
      <c r="K28" s="195">
        <f t="shared" si="5"/>
        <v>0</v>
      </c>
      <c r="L28" s="195">
        <f t="shared" si="8"/>
        <v>0</v>
      </c>
      <c r="M28" s="119"/>
    </row>
    <row r="29" spans="1:13">
      <c r="A29" s="197">
        <v>104</v>
      </c>
      <c r="B29" s="198" t="s">
        <v>165</v>
      </c>
      <c r="C29" s="199" t="s">
        <v>180</v>
      </c>
      <c r="D29" s="200">
        <v>308</v>
      </c>
      <c r="E29" s="191">
        <v>13</v>
      </c>
      <c r="F29" s="192">
        <f t="shared" si="0"/>
        <v>0</v>
      </c>
      <c r="G29" s="193">
        <f t="shared" si="1"/>
        <v>0</v>
      </c>
      <c r="H29" s="194">
        <f t="shared" si="2"/>
        <v>0</v>
      </c>
      <c r="I29" s="195">
        <f t="shared" si="3"/>
        <v>0</v>
      </c>
      <c r="J29" s="196">
        <f t="shared" si="7"/>
        <v>0</v>
      </c>
      <c r="K29" s="195">
        <f t="shared" si="5"/>
        <v>0</v>
      </c>
      <c r="L29" s="195">
        <f t="shared" si="8"/>
        <v>0</v>
      </c>
      <c r="M29" s="119"/>
    </row>
    <row r="30" spans="1:13">
      <c r="A30" s="197">
        <v>105</v>
      </c>
      <c r="B30" s="198" t="s">
        <v>851</v>
      </c>
      <c r="C30" s="199" t="s">
        <v>180</v>
      </c>
      <c r="D30" s="200">
        <v>372</v>
      </c>
      <c r="E30" s="191">
        <v>13</v>
      </c>
      <c r="F30" s="192">
        <f t="shared" si="0"/>
        <v>0</v>
      </c>
      <c r="G30" s="193">
        <f t="shared" si="1"/>
        <v>0</v>
      </c>
      <c r="H30" s="194">
        <f t="shared" si="2"/>
        <v>0</v>
      </c>
      <c r="I30" s="195">
        <f t="shared" si="3"/>
        <v>0</v>
      </c>
      <c r="J30" s="196">
        <f t="shared" si="7"/>
        <v>0</v>
      </c>
      <c r="K30" s="195">
        <f t="shared" si="5"/>
        <v>0</v>
      </c>
      <c r="L30" s="195">
        <f t="shared" si="8"/>
        <v>0</v>
      </c>
      <c r="M30" s="119"/>
    </row>
    <row r="31" spans="1:13">
      <c r="A31" s="197">
        <v>106</v>
      </c>
      <c r="B31" s="198" t="s">
        <v>852</v>
      </c>
      <c r="C31" s="199" t="s">
        <v>22</v>
      </c>
      <c r="D31" s="200">
        <v>416</v>
      </c>
      <c r="E31" s="201">
        <v>12</v>
      </c>
      <c r="F31" s="192">
        <f t="shared" si="0"/>
        <v>0</v>
      </c>
      <c r="G31" s="202">
        <f t="shared" si="1"/>
        <v>0</v>
      </c>
      <c r="H31" s="194">
        <f t="shared" si="2"/>
        <v>0</v>
      </c>
      <c r="I31" s="195">
        <f t="shared" si="3"/>
        <v>0</v>
      </c>
      <c r="J31" s="196">
        <f t="shared" si="7"/>
        <v>0</v>
      </c>
      <c r="K31" s="195">
        <f t="shared" si="5"/>
        <v>0</v>
      </c>
      <c r="L31" s="195">
        <f t="shared" si="8"/>
        <v>0</v>
      </c>
      <c r="M31" s="119"/>
    </row>
    <row r="32" spans="1:13">
      <c r="A32" s="197">
        <v>107</v>
      </c>
      <c r="B32" s="198" t="s">
        <v>289</v>
      </c>
      <c r="C32" s="199" t="s">
        <v>22</v>
      </c>
      <c r="D32" s="200">
        <v>720</v>
      </c>
      <c r="E32" s="201">
        <v>12</v>
      </c>
      <c r="F32" s="192">
        <f t="shared" si="0"/>
        <v>0</v>
      </c>
      <c r="G32" s="202">
        <f t="shared" si="1"/>
        <v>0</v>
      </c>
      <c r="H32" s="194">
        <f t="shared" si="2"/>
        <v>0</v>
      </c>
      <c r="I32" s="195">
        <f t="shared" si="3"/>
        <v>0</v>
      </c>
      <c r="J32" s="196">
        <f t="shared" si="7"/>
        <v>0</v>
      </c>
      <c r="K32" s="195">
        <f t="shared" si="5"/>
        <v>0</v>
      </c>
      <c r="L32" s="195">
        <f t="shared" si="8"/>
        <v>0</v>
      </c>
      <c r="M32" s="119"/>
    </row>
    <row r="33" spans="1:13">
      <c r="A33" s="197">
        <v>108</v>
      </c>
      <c r="B33" s="198" t="s">
        <v>255</v>
      </c>
      <c r="C33" s="199" t="s">
        <v>22</v>
      </c>
      <c r="D33" s="200">
        <v>720</v>
      </c>
      <c r="E33" s="201">
        <v>12</v>
      </c>
      <c r="F33" s="192">
        <f t="shared" si="0"/>
        <v>0</v>
      </c>
      <c r="G33" s="202">
        <f t="shared" si="1"/>
        <v>0</v>
      </c>
      <c r="H33" s="194">
        <f t="shared" si="2"/>
        <v>0</v>
      </c>
      <c r="I33" s="195">
        <f t="shared" si="3"/>
        <v>0</v>
      </c>
      <c r="J33" s="196">
        <f t="shared" si="7"/>
        <v>0</v>
      </c>
      <c r="K33" s="195">
        <f t="shared" si="5"/>
        <v>0</v>
      </c>
      <c r="L33" s="195">
        <f t="shared" si="8"/>
        <v>0</v>
      </c>
      <c r="M33" s="119"/>
    </row>
    <row r="34" spans="1:13">
      <c r="A34" s="197">
        <v>109</v>
      </c>
      <c r="B34" s="198" t="s">
        <v>853</v>
      </c>
      <c r="C34" s="199" t="s">
        <v>22</v>
      </c>
      <c r="D34" s="200">
        <v>418</v>
      </c>
      <c r="E34" s="201">
        <v>6</v>
      </c>
      <c r="F34" s="192">
        <f t="shared" si="0"/>
        <v>0</v>
      </c>
      <c r="G34" s="202">
        <f t="shared" si="1"/>
        <v>0</v>
      </c>
      <c r="H34" s="194">
        <f t="shared" si="2"/>
        <v>0</v>
      </c>
      <c r="I34" s="195">
        <f t="shared" si="3"/>
        <v>0</v>
      </c>
      <c r="J34" s="196">
        <f t="shared" si="7"/>
        <v>0</v>
      </c>
      <c r="K34" s="195">
        <f t="shared" si="5"/>
        <v>0</v>
      </c>
      <c r="L34" s="195">
        <f t="shared" si="8"/>
        <v>0</v>
      </c>
      <c r="M34" s="119"/>
    </row>
    <row r="35" spans="1:13">
      <c r="A35" s="197">
        <v>110</v>
      </c>
      <c r="B35" s="198" t="s">
        <v>103</v>
      </c>
      <c r="C35" s="199" t="s">
        <v>22</v>
      </c>
      <c r="D35" s="200">
        <v>376</v>
      </c>
      <c r="E35" s="201">
        <v>6</v>
      </c>
      <c r="F35" s="192">
        <f t="shared" si="0"/>
        <v>0</v>
      </c>
      <c r="G35" s="202">
        <f t="shared" si="1"/>
        <v>0</v>
      </c>
      <c r="H35" s="194">
        <f t="shared" si="2"/>
        <v>0</v>
      </c>
      <c r="I35" s="195">
        <f t="shared" si="3"/>
        <v>0</v>
      </c>
      <c r="J35" s="196">
        <f t="shared" si="7"/>
        <v>0</v>
      </c>
      <c r="K35" s="195">
        <f t="shared" si="5"/>
        <v>0</v>
      </c>
      <c r="L35" s="195">
        <f t="shared" si="8"/>
        <v>0</v>
      </c>
      <c r="M35" s="119"/>
    </row>
    <row r="36" spans="1:13">
      <c r="A36" s="197">
        <v>111</v>
      </c>
      <c r="B36" s="198" t="s">
        <v>854</v>
      </c>
      <c r="C36" s="199" t="s">
        <v>22</v>
      </c>
      <c r="D36" s="200">
        <v>412</v>
      </c>
      <c r="E36" s="201">
        <v>6</v>
      </c>
      <c r="F36" s="192">
        <f t="shared" si="0"/>
        <v>0</v>
      </c>
      <c r="G36" s="202">
        <f t="shared" si="1"/>
        <v>0</v>
      </c>
      <c r="H36" s="194">
        <f t="shared" si="2"/>
        <v>0</v>
      </c>
      <c r="I36" s="195">
        <f t="shared" si="3"/>
        <v>0</v>
      </c>
      <c r="J36" s="196">
        <f t="shared" si="7"/>
        <v>0</v>
      </c>
      <c r="K36" s="195">
        <f t="shared" si="5"/>
        <v>0</v>
      </c>
      <c r="L36" s="195">
        <f t="shared" si="8"/>
        <v>0</v>
      </c>
      <c r="M36" s="119"/>
    </row>
    <row r="37" spans="1:13">
      <c r="A37" s="197">
        <v>112</v>
      </c>
      <c r="B37" s="198" t="s">
        <v>140</v>
      </c>
      <c r="C37" s="199" t="s">
        <v>22</v>
      </c>
      <c r="D37" s="200">
        <v>374</v>
      </c>
      <c r="E37" s="201">
        <v>6</v>
      </c>
      <c r="F37" s="192">
        <f t="shared" si="0"/>
        <v>0</v>
      </c>
      <c r="G37" s="202">
        <f t="shared" si="1"/>
        <v>0</v>
      </c>
      <c r="H37" s="194">
        <f t="shared" si="2"/>
        <v>0</v>
      </c>
      <c r="I37" s="195">
        <f t="shared" si="3"/>
        <v>0</v>
      </c>
      <c r="J37" s="196">
        <f t="shared" si="7"/>
        <v>0</v>
      </c>
      <c r="K37" s="195">
        <f t="shared" si="5"/>
        <v>0</v>
      </c>
      <c r="L37" s="195">
        <f t="shared" si="8"/>
        <v>0</v>
      </c>
      <c r="M37" s="119"/>
    </row>
    <row r="38" spans="1:13">
      <c r="A38" s="197">
        <v>113</v>
      </c>
      <c r="B38" s="198" t="s">
        <v>855</v>
      </c>
      <c r="C38" s="199" t="s">
        <v>22</v>
      </c>
      <c r="D38" s="200">
        <v>376</v>
      </c>
      <c r="E38" s="201">
        <v>6</v>
      </c>
      <c r="F38" s="192">
        <f t="shared" si="0"/>
        <v>0</v>
      </c>
      <c r="G38" s="202">
        <f t="shared" si="1"/>
        <v>0</v>
      </c>
      <c r="H38" s="194">
        <f t="shared" si="2"/>
        <v>0</v>
      </c>
      <c r="I38" s="195">
        <f t="shared" si="3"/>
        <v>0</v>
      </c>
      <c r="J38" s="196">
        <f t="shared" si="7"/>
        <v>0</v>
      </c>
      <c r="K38" s="195">
        <f t="shared" si="5"/>
        <v>0</v>
      </c>
      <c r="L38" s="195">
        <f t="shared" si="8"/>
        <v>0</v>
      </c>
      <c r="M38" s="119"/>
    </row>
    <row r="39" spans="1:13">
      <c r="A39" s="197">
        <v>114</v>
      </c>
      <c r="B39" s="198" t="s">
        <v>21</v>
      </c>
      <c r="C39" s="199" t="s">
        <v>22</v>
      </c>
      <c r="D39" s="200">
        <v>350</v>
      </c>
      <c r="E39" s="201">
        <v>6</v>
      </c>
      <c r="F39" s="192">
        <f t="shared" si="0"/>
        <v>0</v>
      </c>
      <c r="G39" s="202">
        <f t="shared" si="1"/>
        <v>0</v>
      </c>
      <c r="H39" s="194">
        <f t="shared" si="2"/>
        <v>0</v>
      </c>
      <c r="I39" s="195">
        <f t="shared" si="3"/>
        <v>0</v>
      </c>
      <c r="J39" s="196">
        <f t="shared" si="7"/>
        <v>0</v>
      </c>
      <c r="K39" s="195">
        <f t="shared" si="5"/>
        <v>0</v>
      </c>
      <c r="L39" s="195">
        <f t="shared" si="8"/>
        <v>0</v>
      </c>
      <c r="M39" s="119"/>
    </row>
    <row r="40" spans="1:13">
      <c r="A40" s="197">
        <v>115</v>
      </c>
      <c r="B40" s="198" t="s">
        <v>73</v>
      </c>
      <c r="C40" s="199" t="s">
        <v>22</v>
      </c>
      <c r="D40" s="200">
        <v>320</v>
      </c>
      <c r="E40" s="201">
        <v>6</v>
      </c>
      <c r="F40" s="192">
        <f t="shared" si="0"/>
        <v>0</v>
      </c>
      <c r="G40" s="202">
        <f t="shared" si="1"/>
        <v>0</v>
      </c>
      <c r="H40" s="194">
        <f t="shared" si="2"/>
        <v>0</v>
      </c>
      <c r="I40" s="195">
        <f t="shared" si="3"/>
        <v>0</v>
      </c>
      <c r="J40" s="196">
        <f t="shared" si="7"/>
        <v>0</v>
      </c>
      <c r="K40" s="195">
        <f t="shared" si="5"/>
        <v>0</v>
      </c>
      <c r="L40" s="195">
        <f t="shared" si="8"/>
        <v>0</v>
      </c>
      <c r="M40" s="119"/>
    </row>
    <row r="41" spans="1:13">
      <c r="A41" s="203">
        <v>116</v>
      </c>
      <c r="B41" s="204" t="s">
        <v>238</v>
      </c>
      <c r="C41" s="199" t="s">
        <v>22</v>
      </c>
      <c r="D41" s="200">
        <v>382</v>
      </c>
      <c r="E41" s="201">
        <v>6</v>
      </c>
      <c r="F41" s="192">
        <f t="shared" si="0"/>
        <v>0</v>
      </c>
      <c r="G41" s="202">
        <f t="shared" si="1"/>
        <v>0</v>
      </c>
      <c r="H41" s="194">
        <f t="shared" si="2"/>
        <v>0</v>
      </c>
      <c r="I41" s="195">
        <f t="shared" si="3"/>
        <v>0</v>
      </c>
      <c r="J41" s="196">
        <f t="shared" si="7"/>
        <v>0</v>
      </c>
      <c r="K41" s="195">
        <f t="shared" si="5"/>
        <v>0</v>
      </c>
      <c r="L41" s="195">
        <f t="shared" si="8"/>
        <v>0</v>
      </c>
      <c r="M41" s="119"/>
    </row>
    <row r="42" spans="1:13">
      <c r="A42" s="203">
        <v>117</v>
      </c>
      <c r="B42" s="204" t="s">
        <v>212</v>
      </c>
      <c r="C42" s="199" t="s">
        <v>22</v>
      </c>
      <c r="D42" s="200">
        <v>368</v>
      </c>
      <c r="E42" s="201">
        <v>6</v>
      </c>
      <c r="F42" s="192">
        <f t="shared" si="0"/>
        <v>0</v>
      </c>
      <c r="G42" s="202">
        <f t="shared" si="1"/>
        <v>0</v>
      </c>
      <c r="H42" s="194">
        <f t="shared" si="2"/>
        <v>0</v>
      </c>
      <c r="I42" s="195">
        <f t="shared" si="3"/>
        <v>0</v>
      </c>
      <c r="J42" s="196">
        <f t="shared" si="7"/>
        <v>0</v>
      </c>
      <c r="K42" s="195">
        <f t="shared" si="5"/>
        <v>0</v>
      </c>
      <c r="L42" s="195">
        <f t="shared" si="8"/>
        <v>0</v>
      </c>
      <c r="M42" s="119"/>
    </row>
    <row r="43" spans="1:13">
      <c r="A43" s="203">
        <v>118</v>
      </c>
      <c r="B43" s="204" t="s">
        <v>198</v>
      </c>
      <c r="C43" s="199" t="s">
        <v>22</v>
      </c>
      <c r="D43" s="200">
        <v>362</v>
      </c>
      <c r="E43" s="201">
        <v>6</v>
      </c>
      <c r="F43" s="192">
        <f t="shared" si="0"/>
        <v>0</v>
      </c>
      <c r="G43" s="202">
        <f t="shared" si="1"/>
        <v>0</v>
      </c>
      <c r="H43" s="194">
        <f t="shared" si="2"/>
        <v>0</v>
      </c>
      <c r="I43" s="195">
        <f t="shared" si="3"/>
        <v>0</v>
      </c>
      <c r="J43" s="196">
        <f t="shared" si="7"/>
        <v>0</v>
      </c>
      <c r="K43" s="195">
        <f t="shared" si="5"/>
        <v>0</v>
      </c>
      <c r="L43" s="195">
        <f t="shared" si="8"/>
        <v>0</v>
      </c>
      <c r="M43" s="119"/>
    </row>
    <row r="44" spans="1:13">
      <c r="A44" s="197">
        <v>119</v>
      </c>
      <c r="B44" s="198" t="s">
        <v>311</v>
      </c>
      <c r="C44" s="199" t="s">
        <v>22</v>
      </c>
      <c r="D44" s="200">
        <v>358</v>
      </c>
      <c r="E44" s="201">
        <v>6</v>
      </c>
      <c r="F44" s="192">
        <f t="shared" si="0"/>
        <v>0</v>
      </c>
      <c r="G44" s="202">
        <f t="shared" si="1"/>
        <v>0</v>
      </c>
      <c r="H44" s="194">
        <f t="shared" si="2"/>
        <v>0</v>
      </c>
      <c r="I44" s="195">
        <f t="shared" si="3"/>
        <v>0</v>
      </c>
      <c r="J44" s="196">
        <f t="shared" si="7"/>
        <v>0</v>
      </c>
      <c r="K44" s="195">
        <f t="shared" si="5"/>
        <v>0</v>
      </c>
      <c r="L44" s="195">
        <f t="shared" si="8"/>
        <v>0</v>
      </c>
      <c r="M44" s="119"/>
    </row>
    <row r="45" spans="1:13">
      <c r="A45" s="197">
        <v>120</v>
      </c>
      <c r="B45" s="198" t="s">
        <v>301</v>
      </c>
      <c r="C45" s="199" t="s">
        <v>22</v>
      </c>
      <c r="D45" s="200">
        <v>382</v>
      </c>
      <c r="E45" s="201">
        <v>6</v>
      </c>
      <c r="F45" s="192">
        <f t="shared" si="0"/>
        <v>0</v>
      </c>
      <c r="G45" s="202">
        <f t="shared" si="1"/>
        <v>0</v>
      </c>
      <c r="H45" s="194">
        <f t="shared" si="2"/>
        <v>0</v>
      </c>
      <c r="I45" s="195">
        <f t="shared" si="3"/>
        <v>0</v>
      </c>
      <c r="J45" s="196">
        <f t="shared" si="7"/>
        <v>0</v>
      </c>
      <c r="K45" s="195">
        <f t="shared" si="5"/>
        <v>0</v>
      </c>
      <c r="L45" s="195">
        <f t="shared" si="8"/>
        <v>0</v>
      </c>
      <c r="M45" s="119"/>
    </row>
    <row r="46" spans="1:13">
      <c r="A46" s="197">
        <v>121</v>
      </c>
      <c r="B46" s="198" t="s">
        <v>181</v>
      </c>
      <c r="C46" s="199" t="s">
        <v>22</v>
      </c>
      <c r="D46" s="200">
        <v>368</v>
      </c>
      <c r="E46" s="201">
        <v>6</v>
      </c>
      <c r="F46" s="192">
        <f t="shared" si="0"/>
        <v>0</v>
      </c>
      <c r="G46" s="202">
        <f t="shared" si="1"/>
        <v>0</v>
      </c>
      <c r="H46" s="194">
        <f t="shared" si="2"/>
        <v>0</v>
      </c>
      <c r="I46" s="195">
        <f t="shared" si="3"/>
        <v>0</v>
      </c>
      <c r="J46" s="196">
        <f t="shared" si="7"/>
        <v>0</v>
      </c>
      <c r="K46" s="195">
        <f t="shared" si="5"/>
        <v>0</v>
      </c>
      <c r="L46" s="195">
        <f t="shared" si="8"/>
        <v>0</v>
      </c>
      <c r="M46" s="119"/>
    </row>
    <row r="47" spans="1:13">
      <c r="A47" s="205">
        <v>201</v>
      </c>
      <c r="B47" s="206" t="s">
        <v>1554</v>
      </c>
      <c r="C47" s="207" t="s">
        <v>1420</v>
      </c>
      <c r="D47" s="208">
        <v>217</v>
      </c>
      <c r="E47" s="201">
        <v>6</v>
      </c>
      <c r="F47" s="192">
        <f t="shared" si="0"/>
        <v>0</v>
      </c>
      <c r="G47" s="202">
        <f t="shared" ref="G47:G62" si="9">IF(E47="NVT"," ",H47/E47)</f>
        <v>0</v>
      </c>
      <c r="H47" s="194">
        <f t="shared" ref="H47:H62" si="10">IF(E47="n.v.t.","",D47*E47*F47)</f>
        <v>0</v>
      </c>
      <c r="I47" s="195">
        <f t="shared" si="3"/>
        <v>0</v>
      </c>
      <c r="J47" s="196">
        <f t="shared" ref="J47:J62" si="11">H47*$K$24</f>
        <v>0</v>
      </c>
      <c r="K47" s="195">
        <f t="shared" si="5"/>
        <v>0</v>
      </c>
      <c r="L47" s="195">
        <f t="shared" ref="L47:L62" si="12">(H47*I47)+K47</f>
        <v>0</v>
      </c>
      <c r="M47" s="119"/>
    </row>
    <row r="48" spans="1:13">
      <c r="A48" s="205">
        <v>202</v>
      </c>
      <c r="B48" s="206" t="s">
        <v>1421</v>
      </c>
      <c r="C48" s="207" t="s">
        <v>1420</v>
      </c>
      <c r="D48" s="208">
        <v>240</v>
      </c>
      <c r="E48" s="201">
        <v>6</v>
      </c>
      <c r="F48" s="192">
        <f t="shared" si="0"/>
        <v>0</v>
      </c>
      <c r="G48" s="202">
        <f t="shared" si="9"/>
        <v>0</v>
      </c>
      <c r="H48" s="194">
        <f t="shared" si="10"/>
        <v>0</v>
      </c>
      <c r="I48" s="195">
        <f t="shared" si="3"/>
        <v>0</v>
      </c>
      <c r="J48" s="196">
        <f t="shared" si="11"/>
        <v>0</v>
      </c>
      <c r="K48" s="195">
        <f t="shared" si="5"/>
        <v>0</v>
      </c>
      <c r="L48" s="195">
        <f t="shared" si="12"/>
        <v>0</v>
      </c>
      <c r="M48" s="119"/>
    </row>
    <row r="49" spans="1:13">
      <c r="A49" s="205">
        <v>203</v>
      </c>
      <c r="B49" s="206" t="s">
        <v>1422</v>
      </c>
      <c r="C49" s="207" t="s">
        <v>1420</v>
      </c>
      <c r="D49" s="208">
        <v>180</v>
      </c>
      <c r="E49" s="201">
        <v>6</v>
      </c>
      <c r="F49" s="192">
        <f t="shared" si="0"/>
        <v>0</v>
      </c>
      <c r="G49" s="202">
        <f t="shared" si="9"/>
        <v>0</v>
      </c>
      <c r="H49" s="194">
        <f t="shared" si="10"/>
        <v>0</v>
      </c>
      <c r="I49" s="195">
        <f t="shared" si="3"/>
        <v>0</v>
      </c>
      <c r="J49" s="196">
        <f t="shared" si="11"/>
        <v>0</v>
      </c>
      <c r="K49" s="195">
        <f t="shared" si="5"/>
        <v>0</v>
      </c>
      <c r="L49" s="195">
        <f t="shared" si="12"/>
        <v>0</v>
      </c>
      <c r="M49" s="119"/>
    </row>
    <row r="50" spans="1:13">
      <c r="A50" s="205">
        <v>204</v>
      </c>
      <c r="B50" s="206" t="s">
        <v>1423</v>
      </c>
      <c r="C50" s="207" t="s">
        <v>1420</v>
      </c>
      <c r="D50" s="208">
        <v>196</v>
      </c>
      <c r="E50" s="201">
        <v>6</v>
      </c>
      <c r="F50" s="192">
        <f t="shared" si="0"/>
        <v>0</v>
      </c>
      <c r="G50" s="202">
        <f t="shared" si="9"/>
        <v>0</v>
      </c>
      <c r="H50" s="194">
        <f t="shared" si="10"/>
        <v>0</v>
      </c>
      <c r="I50" s="195">
        <f t="shared" si="3"/>
        <v>0</v>
      </c>
      <c r="J50" s="196">
        <f t="shared" si="11"/>
        <v>0</v>
      </c>
      <c r="K50" s="195">
        <f t="shared" si="5"/>
        <v>0</v>
      </c>
      <c r="L50" s="195">
        <f t="shared" si="12"/>
        <v>0</v>
      </c>
      <c r="M50" s="119"/>
    </row>
    <row r="51" spans="1:13">
      <c r="A51" s="205">
        <v>205</v>
      </c>
      <c r="B51" s="206" t="s">
        <v>1424</v>
      </c>
      <c r="C51" s="207" t="s">
        <v>1420</v>
      </c>
      <c r="D51" s="208">
        <v>196</v>
      </c>
      <c r="E51" s="201">
        <v>6</v>
      </c>
      <c r="F51" s="192">
        <f t="shared" si="0"/>
        <v>0</v>
      </c>
      <c r="G51" s="202">
        <f t="shared" si="9"/>
        <v>0</v>
      </c>
      <c r="H51" s="194">
        <f t="shared" si="10"/>
        <v>0</v>
      </c>
      <c r="I51" s="195">
        <f t="shared" si="3"/>
        <v>0</v>
      </c>
      <c r="J51" s="196">
        <f t="shared" si="11"/>
        <v>0</v>
      </c>
      <c r="K51" s="195">
        <f t="shared" si="5"/>
        <v>0</v>
      </c>
      <c r="L51" s="195">
        <f t="shared" si="12"/>
        <v>0</v>
      </c>
      <c r="M51" s="119"/>
    </row>
    <row r="52" spans="1:13">
      <c r="A52" s="205">
        <v>206</v>
      </c>
      <c r="B52" s="206" t="s">
        <v>1425</v>
      </c>
      <c r="C52" s="207" t="s">
        <v>1420</v>
      </c>
      <c r="D52" s="208">
        <v>172</v>
      </c>
      <c r="E52" s="201">
        <v>6</v>
      </c>
      <c r="F52" s="192">
        <f t="shared" si="0"/>
        <v>0</v>
      </c>
      <c r="G52" s="202">
        <f t="shared" si="9"/>
        <v>0</v>
      </c>
      <c r="H52" s="194">
        <f t="shared" si="10"/>
        <v>0</v>
      </c>
      <c r="I52" s="195">
        <f t="shared" si="3"/>
        <v>0</v>
      </c>
      <c r="J52" s="196">
        <f t="shared" si="11"/>
        <v>0</v>
      </c>
      <c r="K52" s="195">
        <f t="shared" si="5"/>
        <v>0</v>
      </c>
      <c r="L52" s="195">
        <f t="shared" si="12"/>
        <v>0</v>
      </c>
      <c r="M52" s="119"/>
    </row>
    <row r="53" spans="1:13">
      <c r="A53" s="205">
        <v>207</v>
      </c>
      <c r="B53" s="206" t="s">
        <v>1426</v>
      </c>
      <c r="C53" s="207" t="s">
        <v>1420</v>
      </c>
      <c r="D53" s="208">
        <v>172</v>
      </c>
      <c r="E53" s="201">
        <v>6</v>
      </c>
      <c r="F53" s="192">
        <f t="shared" si="0"/>
        <v>0</v>
      </c>
      <c r="G53" s="202">
        <f t="shared" si="9"/>
        <v>0</v>
      </c>
      <c r="H53" s="194">
        <f t="shared" si="10"/>
        <v>0</v>
      </c>
      <c r="I53" s="195">
        <f t="shared" si="3"/>
        <v>0</v>
      </c>
      <c r="J53" s="196">
        <f t="shared" si="11"/>
        <v>0</v>
      </c>
      <c r="K53" s="195">
        <f t="shared" si="5"/>
        <v>0</v>
      </c>
      <c r="L53" s="195">
        <f t="shared" si="12"/>
        <v>0</v>
      </c>
      <c r="M53" s="119"/>
    </row>
    <row r="54" spans="1:13">
      <c r="A54" s="205">
        <v>208</v>
      </c>
      <c r="B54" s="206" t="s">
        <v>1689</v>
      </c>
      <c r="C54" s="207" t="s">
        <v>1420</v>
      </c>
      <c r="D54" s="208">
        <v>174</v>
      </c>
      <c r="E54" s="201">
        <v>6</v>
      </c>
      <c r="F54" s="192">
        <f t="shared" si="0"/>
        <v>0</v>
      </c>
      <c r="G54" s="202">
        <f t="shared" si="9"/>
        <v>0</v>
      </c>
      <c r="H54" s="194">
        <f t="shared" si="10"/>
        <v>0</v>
      </c>
      <c r="I54" s="195">
        <f t="shared" si="3"/>
        <v>0</v>
      </c>
      <c r="J54" s="196">
        <f t="shared" si="11"/>
        <v>0</v>
      </c>
      <c r="K54" s="195">
        <f t="shared" si="5"/>
        <v>0</v>
      </c>
      <c r="L54" s="195">
        <f t="shared" si="12"/>
        <v>0</v>
      </c>
      <c r="M54" s="119"/>
    </row>
    <row r="55" spans="1:13">
      <c r="A55" s="205">
        <v>209</v>
      </c>
      <c r="B55" s="206" t="s">
        <v>1690</v>
      </c>
      <c r="C55" s="207" t="s">
        <v>1420</v>
      </c>
      <c r="D55" s="208">
        <v>314</v>
      </c>
      <c r="E55" s="201">
        <v>6</v>
      </c>
      <c r="F55" s="192">
        <f t="shared" si="0"/>
        <v>0</v>
      </c>
      <c r="G55" s="202">
        <f t="shared" si="9"/>
        <v>0</v>
      </c>
      <c r="H55" s="194">
        <f t="shared" si="10"/>
        <v>0</v>
      </c>
      <c r="I55" s="195">
        <f t="shared" si="3"/>
        <v>0</v>
      </c>
      <c r="J55" s="196">
        <f t="shared" si="11"/>
        <v>0</v>
      </c>
      <c r="K55" s="195">
        <f t="shared" si="5"/>
        <v>0</v>
      </c>
      <c r="L55" s="195">
        <f t="shared" si="12"/>
        <v>0</v>
      </c>
      <c r="M55" s="119"/>
    </row>
    <row r="56" spans="1:13">
      <c r="A56" s="205">
        <v>210</v>
      </c>
      <c r="B56" s="206" t="s">
        <v>1691</v>
      </c>
      <c r="C56" s="207" t="s">
        <v>1420</v>
      </c>
      <c r="D56" s="208">
        <v>196</v>
      </c>
      <c r="E56" s="201">
        <v>6</v>
      </c>
      <c r="F56" s="192">
        <f t="shared" si="0"/>
        <v>0</v>
      </c>
      <c r="G56" s="202">
        <f t="shared" si="9"/>
        <v>0</v>
      </c>
      <c r="H56" s="194">
        <f t="shared" si="10"/>
        <v>0</v>
      </c>
      <c r="I56" s="195">
        <f t="shared" si="3"/>
        <v>0</v>
      </c>
      <c r="J56" s="196">
        <f t="shared" si="11"/>
        <v>0</v>
      </c>
      <c r="K56" s="195">
        <f t="shared" si="5"/>
        <v>0</v>
      </c>
      <c r="L56" s="195">
        <f t="shared" si="12"/>
        <v>0</v>
      </c>
      <c r="M56" s="119"/>
    </row>
    <row r="57" spans="1:13">
      <c r="A57" s="205">
        <v>211</v>
      </c>
      <c r="B57" s="206" t="s">
        <v>1692</v>
      </c>
      <c r="C57" s="207" t="s">
        <v>1420</v>
      </c>
      <c r="D57" s="208">
        <v>160</v>
      </c>
      <c r="E57" s="201">
        <v>6</v>
      </c>
      <c r="F57" s="192">
        <f t="shared" si="0"/>
        <v>0</v>
      </c>
      <c r="G57" s="202">
        <f t="shared" si="9"/>
        <v>0</v>
      </c>
      <c r="H57" s="194">
        <f t="shared" si="10"/>
        <v>0</v>
      </c>
      <c r="I57" s="195">
        <f t="shared" si="3"/>
        <v>0</v>
      </c>
      <c r="J57" s="196">
        <f t="shared" si="11"/>
        <v>0</v>
      </c>
      <c r="K57" s="195">
        <f t="shared" si="5"/>
        <v>0</v>
      </c>
      <c r="L57" s="195">
        <f t="shared" si="12"/>
        <v>0</v>
      </c>
      <c r="M57" s="119"/>
    </row>
    <row r="58" spans="1:13">
      <c r="A58" s="205">
        <v>212</v>
      </c>
      <c r="B58" s="206" t="s">
        <v>1693</v>
      </c>
      <c r="C58" s="207" t="s">
        <v>1420</v>
      </c>
      <c r="D58" s="208">
        <v>188</v>
      </c>
      <c r="E58" s="201">
        <v>6</v>
      </c>
      <c r="F58" s="192">
        <f t="shared" si="0"/>
        <v>0</v>
      </c>
      <c r="G58" s="202">
        <f t="shared" si="9"/>
        <v>0</v>
      </c>
      <c r="H58" s="194">
        <f t="shared" si="10"/>
        <v>0</v>
      </c>
      <c r="I58" s="195">
        <f t="shared" si="3"/>
        <v>0</v>
      </c>
      <c r="J58" s="196">
        <f t="shared" si="11"/>
        <v>0</v>
      </c>
      <c r="K58" s="195">
        <f t="shared" si="5"/>
        <v>0</v>
      </c>
      <c r="L58" s="195">
        <f t="shared" si="12"/>
        <v>0</v>
      </c>
      <c r="M58" s="119"/>
    </row>
    <row r="59" spans="1:13">
      <c r="A59" s="205">
        <v>213</v>
      </c>
      <c r="B59" s="206" t="s">
        <v>1694</v>
      </c>
      <c r="C59" s="207" t="s">
        <v>1420</v>
      </c>
      <c r="D59" s="208">
        <v>188</v>
      </c>
      <c r="E59" s="201">
        <v>6</v>
      </c>
      <c r="F59" s="192">
        <f t="shared" si="0"/>
        <v>0</v>
      </c>
      <c r="G59" s="202">
        <f t="shared" si="9"/>
        <v>0</v>
      </c>
      <c r="H59" s="194">
        <f t="shared" si="10"/>
        <v>0</v>
      </c>
      <c r="I59" s="195">
        <f t="shared" si="3"/>
        <v>0</v>
      </c>
      <c r="J59" s="196">
        <f t="shared" si="11"/>
        <v>0</v>
      </c>
      <c r="K59" s="195">
        <f t="shared" si="5"/>
        <v>0</v>
      </c>
      <c r="L59" s="195">
        <f t="shared" si="12"/>
        <v>0</v>
      </c>
      <c r="M59" s="119"/>
    </row>
    <row r="60" spans="1:13">
      <c r="A60" s="205">
        <v>214</v>
      </c>
      <c r="B60" s="206" t="s">
        <v>1695</v>
      </c>
      <c r="C60" s="207" t="s">
        <v>1420</v>
      </c>
      <c r="D60" s="208">
        <v>188</v>
      </c>
      <c r="E60" s="201">
        <v>6</v>
      </c>
      <c r="F60" s="192">
        <f t="shared" si="0"/>
        <v>0</v>
      </c>
      <c r="G60" s="202">
        <f t="shared" si="9"/>
        <v>0</v>
      </c>
      <c r="H60" s="194">
        <f t="shared" si="10"/>
        <v>0</v>
      </c>
      <c r="I60" s="195">
        <f t="shared" si="3"/>
        <v>0</v>
      </c>
      <c r="J60" s="196">
        <f t="shared" si="11"/>
        <v>0</v>
      </c>
      <c r="K60" s="195">
        <f t="shared" si="5"/>
        <v>0</v>
      </c>
      <c r="L60" s="195">
        <f t="shared" si="12"/>
        <v>0</v>
      </c>
      <c r="M60" s="119"/>
    </row>
    <row r="61" spans="1:13">
      <c r="A61" s="205">
        <v>215</v>
      </c>
      <c r="B61" s="206" t="s">
        <v>1696</v>
      </c>
      <c r="C61" s="207" t="s">
        <v>1420</v>
      </c>
      <c r="D61" s="208">
        <v>188</v>
      </c>
      <c r="E61" s="201">
        <v>6</v>
      </c>
      <c r="F61" s="192">
        <f t="shared" si="0"/>
        <v>0</v>
      </c>
      <c r="G61" s="202">
        <f t="shared" si="9"/>
        <v>0</v>
      </c>
      <c r="H61" s="194">
        <f t="shared" si="10"/>
        <v>0</v>
      </c>
      <c r="I61" s="195">
        <f t="shared" si="3"/>
        <v>0</v>
      </c>
      <c r="J61" s="196">
        <f t="shared" si="11"/>
        <v>0</v>
      </c>
      <c r="K61" s="195">
        <f t="shared" si="5"/>
        <v>0</v>
      </c>
      <c r="L61" s="195">
        <f t="shared" si="12"/>
        <v>0</v>
      </c>
      <c r="M61" s="119"/>
    </row>
    <row r="62" spans="1:13">
      <c r="A62" s="209">
        <v>301</v>
      </c>
      <c r="B62" s="210" t="s">
        <v>1427</v>
      </c>
      <c r="C62" s="211" t="s">
        <v>1411</v>
      </c>
      <c r="D62" s="201">
        <v>290</v>
      </c>
      <c r="E62" s="201">
        <v>6</v>
      </c>
      <c r="F62" s="192">
        <f t="shared" si="0"/>
        <v>0</v>
      </c>
      <c r="G62" s="202">
        <f t="shared" si="9"/>
        <v>0</v>
      </c>
      <c r="H62" s="194">
        <f t="shared" si="10"/>
        <v>0</v>
      </c>
      <c r="I62" s="195">
        <f t="shared" si="3"/>
        <v>0</v>
      </c>
      <c r="J62" s="196">
        <f t="shared" si="11"/>
        <v>0</v>
      </c>
      <c r="K62" s="195">
        <f t="shared" si="5"/>
        <v>0</v>
      </c>
      <c r="L62" s="195">
        <f t="shared" si="12"/>
        <v>0</v>
      </c>
      <c r="M62" s="119"/>
    </row>
    <row r="63" spans="1:13">
      <c r="A63" s="209">
        <v>302</v>
      </c>
      <c r="B63" s="210" t="s">
        <v>1410</v>
      </c>
      <c r="C63" s="211" t="s">
        <v>1411</v>
      </c>
      <c r="D63" s="201">
        <v>290</v>
      </c>
      <c r="E63" s="201">
        <v>6</v>
      </c>
      <c r="F63" s="192">
        <f t="shared" si="0"/>
        <v>0</v>
      </c>
      <c r="G63" s="202">
        <f t="shared" ref="G63:G73" si="13">IF(E63="NVT"," ",H63/E63)</f>
        <v>0</v>
      </c>
      <c r="H63" s="194">
        <f t="shared" ref="H63:H73" si="14">IF(E63="n.v.t.","",D63*E63*F63)</f>
        <v>0</v>
      </c>
      <c r="I63" s="195">
        <f t="shared" si="3"/>
        <v>0</v>
      </c>
      <c r="J63" s="196">
        <f t="shared" ref="J63:J73" si="15">H63*$K$24</f>
        <v>0</v>
      </c>
      <c r="K63" s="195">
        <f t="shared" si="5"/>
        <v>0</v>
      </c>
      <c r="L63" s="195">
        <f t="shared" ref="L63:L73" si="16">(H63*I63)+K63</f>
        <v>0</v>
      </c>
      <c r="M63" s="119"/>
    </row>
    <row r="64" spans="1:13">
      <c r="A64" s="209">
        <v>303</v>
      </c>
      <c r="B64" s="210" t="s">
        <v>133</v>
      </c>
      <c r="C64" s="211" t="s">
        <v>1411</v>
      </c>
      <c r="D64" s="201">
        <v>290</v>
      </c>
      <c r="E64" s="201">
        <v>6</v>
      </c>
      <c r="F64" s="192">
        <f t="shared" si="0"/>
        <v>0</v>
      </c>
      <c r="G64" s="202">
        <f t="shared" si="13"/>
        <v>0</v>
      </c>
      <c r="H64" s="194">
        <f t="shared" si="14"/>
        <v>0</v>
      </c>
      <c r="I64" s="195">
        <f t="shared" si="3"/>
        <v>0</v>
      </c>
      <c r="J64" s="196">
        <f t="shared" si="15"/>
        <v>0</v>
      </c>
      <c r="K64" s="195">
        <f t="shared" si="5"/>
        <v>0</v>
      </c>
      <c r="L64" s="195">
        <f t="shared" si="16"/>
        <v>0</v>
      </c>
      <c r="M64" s="119"/>
    </row>
    <row r="65" spans="1:13">
      <c r="A65" s="209">
        <v>304</v>
      </c>
      <c r="B65" s="210" t="s">
        <v>1414</v>
      </c>
      <c r="C65" s="211" t="s">
        <v>1411</v>
      </c>
      <c r="D65" s="201">
        <v>290</v>
      </c>
      <c r="E65" s="201">
        <v>6</v>
      </c>
      <c r="F65" s="192">
        <f t="shared" si="0"/>
        <v>0</v>
      </c>
      <c r="G65" s="202">
        <f t="shared" si="13"/>
        <v>0</v>
      </c>
      <c r="H65" s="194">
        <f t="shared" si="14"/>
        <v>0</v>
      </c>
      <c r="I65" s="195">
        <f t="shared" si="3"/>
        <v>0</v>
      </c>
      <c r="J65" s="196">
        <f t="shared" si="15"/>
        <v>0</v>
      </c>
      <c r="K65" s="195">
        <f t="shared" si="5"/>
        <v>0</v>
      </c>
      <c r="L65" s="195">
        <f t="shared" si="16"/>
        <v>0</v>
      </c>
      <c r="M65" s="119"/>
    </row>
    <row r="66" spans="1:13">
      <c r="A66" s="209">
        <v>305</v>
      </c>
      <c r="B66" s="210" t="s">
        <v>1417</v>
      </c>
      <c r="C66" s="211" t="s">
        <v>1411</v>
      </c>
      <c r="D66" s="201">
        <v>290</v>
      </c>
      <c r="E66" s="201">
        <v>6</v>
      </c>
      <c r="F66" s="192">
        <f t="shared" si="0"/>
        <v>0</v>
      </c>
      <c r="G66" s="202">
        <f t="shared" si="13"/>
        <v>0</v>
      </c>
      <c r="H66" s="194">
        <f t="shared" si="14"/>
        <v>0</v>
      </c>
      <c r="I66" s="195">
        <f t="shared" si="3"/>
        <v>0</v>
      </c>
      <c r="J66" s="196">
        <f t="shared" si="15"/>
        <v>0</v>
      </c>
      <c r="K66" s="195">
        <f t="shared" si="5"/>
        <v>0</v>
      </c>
      <c r="L66" s="195">
        <f t="shared" si="16"/>
        <v>0</v>
      </c>
      <c r="M66" s="119"/>
    </row>
    <row r="67" spans="1:13">
      <c r="A67" s="209">
        <v>306</v>
      </c>
      <c r="B67" s="210" t="s">
        <v>1418</v>
      </c>
      <c r="C67" s="211" t="s">
        <v>1411</v>
      </c>
      <c r="D67" s="201">
        <v>290</v>
      </c>
      <c r="E67" s="201">
        <v>6</v>
      </c>
      <c r="F67" s="192">
        <f t="shared" si="0"/>
        <v>0</v>
      </c>
      <c r="G67" s="202">
        <f t="shared" si="13"/>
        <v>0</v>
      </c>
      <c r="H67" s="194">
        <f t="shared" si="14"/>
        <v>0</v>
      </c>
      <c r="I67" s="195">
        <f t="shared" si="3"/>
        <v>0</v>
      </c>
      <c r="J67" s="196">
        <f t="shared" si="15"/>
        <v>0</v>
      </c>
      <c r="K67" s="195">
        <f t="shared" si="5"/>
        <v>0</v>
      </c>
      <c r="L67" s="195">
        <f t="shared" si="16"/>
        <v>0</v>
      </c>
      <c r="M67" s="119"/>
    </row>
    <row r="68" spans="1:13">
      <c r="A68" s="211">
        <v>307</v>
      </c>
      <c r="B68" s="210" t="s">
        <v>1412</v>
      </c>
      <c r="C68" s="211" t="s">
        <v>1411</v>
      </c>
      <c r="D68" s="201">
        <v>290</v>
      </c>
      <c r="E68" s="201">
        <v>6</v>
      </c>
      <c r="F68" s="192">
        <f t="shared" si="0"/>
        <v>0</v>
      </c>
      <c r="G68" s="202">
        <f t="shared" si="13"/>
        <v>0</v>
      </c>
      <c r="H68" s="194">
        <f t="shared" si="14"/>
        <v>0</v>
      </c>
      <c r="I68" s="195">
        <f t="shared" si="3"/>
        <v>0</v>
      </c>
      <c r="J68" s="196">
        <f t="shared" si="15"/>
        <v>0</v>
      </c>
      <c r="K68" s="195">
        <f t="shared" si="5"/>
        <v>0</v>
      </c>
      <c r="L68" s="195">
        <f t="shared" si="16"/>
        <v>0</v>
      </c>
      <c r="M68" s="119"/>
    </row>
    <row r="69" spans="1:13">
      <c r="A69" s="211">
        <v>308</v>
      </c>
      <c r="B69" s="210" t="s">
        <v>1419</v>
      </c>
      <c r="C69" s="211" t="s">
        <v>1411</v>
      </c>
      <c r="D69" s="201">
        <v>290</v>
      </c>
      <c r="E69" s="201">
        <v>6</v>
      </c>
      <c r="F69" s="192">
        <f t="shared" si="0"/>
        <v>0</v>
      </c>
      <c r="G69" s="202">
        <f t="shared" si="13"/>
        <v>0</v>
      </c>
      <c r="H69" s="194">
        <f t="shared" si="14"/>
        <v>0</v>
      </c>
      <c r="I69" s="195">
        <f t="shared" si="3"/>
        <v>0</v>
      </c>
      <c r="J69" s="196">
        <f t="shared" si="15"/>
        <v>0</v>
      </c>
      <c r="K69" s="195">
        <f t="shared" si="5"/>
        <v>0</v>
      </c>
      <c r="L69" s="195">
        <f t="shared" si="16"/>
        <v>0</v>
      </c>
      <c r="M69" s="119"/>
    </row>
    <row r="70" spans="1:13">
      <c r="A70" s="211">
        <v>309</v>
      </c>
      <c r="B70" s="210" t="s">
        <v>1415</v>
      </c>
      <c r="C70" s="211" t="s">
        <v>1411</v>
      </c>
      <c r="D70" s="201">
        <v>290</v>
      </c>
      <c r="E70" s="201">
        <v>6</v>
      </c>
      <c r="F70" s="192">
        <f t="shared" si="0"/>
        <v>0</v>
      </c>
      <c r="G70" s="202">
        <f t="shared" si="13"/>
        <v>0</v>
      </c>
      <c r="H70" s="194">
        <f t="shared" si="14"/>
        <v>0</v>
      </c>
      <c r="I70" s="195">
        <f t="shared" si="3"/>
        <v>0</v>
      </c>
      <c r="J70" s="196">
        <f t="shared" si="15"/>
        <v>0</v>
      </c>
      <c r="K70" s="195">
        <f t="shared" si="5"/>
        <v>0</v>
      </c>
      <c r="L70" s="195">
        <f t="shared" si="16"/>
        <v>0</v>
      </c>
      <c r="M70" s="119"/>
    </row>
    <row r="71" spans="1:13">
      <c r="A71" s="209">
        <v>310</v>
      </c>
      <c r="B71" s="210" t="s">
        <v>1428</v>
      </c>
      <c r="C71" s="211" t="s">
        <v>1411</v>
      </c>
      <c r="D71" s="201">
        <v>290</v>
      </c>
      <c r="E71" s="201">
        <v>6</v>
      </c>
      <c r="F71" s="192">
        <f t="shared" si="0"/>
        <v>0</v>
      </c>
      <c r="G71" s="202">
        <f t="shared" si="13"/>
        <v>0</v>
      </c>
      <c r="H71" s="194">
        <f t="shared" si="14"/>
        <v>0</v>
      </c>
      <c r="I71" s="195">
        <f t="shared" si="3"/>
        <v>0</v>
      </c>
      <c r="J71" s="196">
        <f t="shared" si="15"/>
        <v>0</v>
      </c>
      <c r="K71" s="195">
        <f t="shared" si="5"/>
        <v>0</v>
      </c>
      <c r="L71" s="195">
        <f t="shared" si="16"/>
        <v>0</v>
      </c>
      <c r="M71" s="119"/>
    </row>
    <row r="72" spans="1:13">
      <c r="A72" s="209">
        <v>311</v>
      </c>
      <c r="B72" s="210" t="s">
        <v>1413</v>
      </c>
      <c r="C72" s="211" t="s">
        <v>1411</v>
      </c>
      <c r="D72" s="212">
        <v>290</v>
      </c>
      <c r="E72" s="201">
        <v>6</v>
      </c>
      <c r="F72" s="192">
        <f t="shared" si="0"/>
        <v>0</v>
      </c>
      <c r="G72" s="202">
        <f t="shared" si="13"/>
        <v>0</v>
      </c>
      <c r="H72" s="194">
        <f t="shared" si="14"/>
        <v>0</v>
      </c>
      <c r="I72" s="195">
        <f t="shared" si="3"/>
        <v>0</v>
      </c>
      <c r="J72" s="196">
        <f t="shared" si="15"/>
        <v>0</v>
      </c>
      <c r="K72" s="195">
        <f t="shared" si="5"/>
        <v>0</v>
      </c>
      <c r="L72" s="195">
        <f t="shared" si="16"/>
        <v>0</v>
      </c>
      <c r="M72" s="119"/>
    </row>
    <row r="73" spans="1:13">
      <c r="A73" s="209">
        <v>312</v>
      </c>
      <c r="B73" s="210" t="s">
        <v>1429</v>
      </c>
      <c r="C73" s="211" t="s">
        <v>1411</v>
      </c>
      <c r="D73" s="201">
        <v>290</v>
      </c>
      <c r="E73" s="201">
        <v>6</v>
      </c>
      <c r="F73" s="192">
        <f t="shared" si="0"/>
        <v>0</v>
      </c>
      <c r="G73" s="202">
        <f t="shared" si="13"/>
        <v>0</v>
      </c>
      <c r="H73" s="194">
        <f t="shared" si="14"/>
        <v>0</v>
      </c>
      <c r="I73" s="195">
        <f t="shared" si="3"/>
        <v>0</v>
      </c>
      <c r="J73" s="196">
        <f t="shared" si="15"/>
        <v>0</v>
      </c>
      <c r="K73" s="195">
        <f t="shared" si="5"/>
        <v>0</v>
      </c>
      <c r="L73" s="195">
        <f t="shared" si="16"/>
        <v>0</v>
      </c>
      <c r="M73" s="119"/>
    </row>
    <row r="74" spans="1:13">
      <c r="A74" s="213" t="s">
        <v>5</v>
      </c>
      <c r="B74" s="214"/>
      <c r="C74" s="215"/>
      <c r="D74" s="216"/>
      <c r="E74" s="216"/>
      <c r="F74" s="217"/>
      <c r="G74" s="216"/>
      <c r="H74" s="218"/>
      <c r="I74" s="219"/>
      <c r="J74" s="220"/>
      <c r="K74" s="219"/>
      <c r="L74" s="436">
        <f>SUM(L26:L73)</f>
        <v>0</v>
      </c>
      <c r="M74" s="119"/>
    </row>
    <row r="75" spans="1:13" ht="14.25" thickBot="1">
      <c r="A75" s="222"/>
      <c r="B75" s="223"/>
      <c r="C75" s="224"/>
      <c r="D75" s="225"/>
      <c r="E75" s="225"/>
      <c r="F75" s="226"/>
      <c r="G75" s="227"/>
      <c r="H75" s="227"/>
      <c r="I75" s="228"/>
      <c r="J75" s="229"/>
      <c r="K75" s="228"/>
      <c r="L75" s="228"/>
      <c r="M75" s="119"/>
    </row>
    <row r="76" spans="1:13" ht="57" customHeight="1">
      <c r="D76" s="165"/>
      <c r="F76" s="166"/>
      <c r="G76" s="167"/>
      <c r="I76" s="168"/>
      <c r="J76" s="434" t="s">
        <v>1366</v>
      </c>
      <c r="K76" s="168"/>
      <c r="M76" s="119"/>
    </row>
    <row r="77" spans="1:13" ht="14.25" thickBot="1">
      <c r="A77" s="170" t="s">
        <v>1141</v>
      </c>
      <c r="B77" s="170"/>
      <c r="C77" s="170"/>
      <c r="D77" s="171"/>
      <c r="E77" s="171"/>
      <c r="F77" s="172"/>
      <c r="G77" s="167"/>
      <c r="I77" s="168"/>
      <c r="J77" s="435">
        <v>0</v>
      </c>
      <c r="K77" s="168"/>
      <c r="M77" s="119"/>
    </row>
    <row r="78" spans="1:13" ht="51.75" thickBot="1">
      <c r="A78" s="424" t="s">
        <v>290</v>
      </c>
      <c r="B78" s="425" t="s">
        <v>291</v>
      </c>
      <c r="C78" s="426" t="s">
        <v>13</v>
      </c>
      <c r="D78" s="426" t="s">
        <v>2013</v>
      </c>
      <c r="E78" s="427" t="s">
        <v>2014</v>
      </c>
      <c r="F78" s="428" t="s">
        <v>2015</v>
      </c>
      <c r="G78" s="429" t="s">
        <v>2016</v>
      </c>
      <c r="H78" s="430" t="s">
        <v>2017</v>
      </c>
      <c r="I78" s="431" t="s">
        <v>2018</v>
      </c>
      <c r="J78" s="432" t="s">
        <v>2019</v>
      </c>
      <c r="K78" s="431" t="s">
        <v>2020</v>
      </c>
      <c r="L78" s="433" t="s">
        <v>2021</v>
      </c>
      <c r="M78" s="119"/>
    </row>
    <row r="79" spans="1:13">
      <c r="A79" s="188">
        <v>101</v>
      </c>
      <c r="B79" s="189" t="s">
        <v>1408</v>
      </c>
      <c r="C79" s="190" t="s">
        <v>180</v>
      </c>
      <c r="D79" s="191">
        <v>400</v>
      </c>
      <c r="E79" s="191">
        <v>13</v>
      </c>
      <c r="F79" s="192">
        <f t="shared" ref="F79:F111" si="17">VLOOKUP(E79,$A$17:$E$22,3,FALSE)</f>
        <v>0</v>
      </c>
      <c r="G79" s="202">
        <f t="shared" ref="G79:G99" si="18">IF(E79="NVT"," ",H79/E79)</f>
        <v>0</v>
      </c>
      <c r="H79" s="194">
        <f t="shared" ref="H79:H99" si="19">IF(E79="n.v.t.","",D79*E79*F79)</f>
        <v>0</v>
      </c>
      <c r="I79" s="195">
        <f t="shared" ref="I79:I111" si="20">$C$14</f>
        <v>0</v>
      </c>
      <c r="J79" s="196">
        <f t="shared" ref="J79" si="21">$J$77*H79</f>
        <v>0</v>
      </c>
      <c r="K79" s="195">
        <f t="shared" ref="K79:K111" si="22">J79*$C$15</f>
        <v>0</v>
      </c>
      <c r="L79" s="195">
        <f t="shared" ref="L79" si="23">(H79*I79)+K79</f>
        <v>0</v>
      </c>
      <c r="M79" s="119"/>
    </row>
    <row r="80" spans="1:13">
      <c r="A80" s="197">
        <v>102</v>
      </c>
      <c r="B80" s="198" t="s">
        <v>850</v>
      </c>
      <c r="C80" s="199" t="s">
        <v>180</v>
      </c>
      <c r="D80" s="200">
        <v>400</v>
      </c>
      <c r="E80" s="201">
        <v>13</v>
      </c>
      <c r="F80" s="192">
        <f t="shared" si="17"/>
        <v>0</v>
      </c>
      <c r="G80" s="202">
        <f t="shared" si="18"/>
        <v>0</v>
      </c>
      <c r="H80" s="194">
        <f t="shared" si="19"/>
        <v>0</v>
      </c>
      <c r="I80" s="195">
        <f t="shared" si="20"/>
        <v>0</v>
      </c>
      <c r="J80" s="196">
        <f t="shared" ref="J80:J99" si="24">$J$77*H80</f>
        <v>0</v>
      </c>
      <c r="K80" s="195">
        <f t="shared" si="22"/>
        <v>0</v>
      </c>
      <c r="L80" s="195">
        <f t="shared" ref="L80:L99" si="25">(H80*I80)+K80</f>
        <v>0</v>
      </c>
      <c r="M80" s="119"/>
    </row>
    <row r="81" spans="1:13">
      <c r="A81" s="197">
        <v>103</v>
      </c>
      <c r="B81" s="198" t="s">
        <v>718</v>
      </c>
      <c r="C81" s="199" t="s">
        <v>180</v>
      </c>
      <c r="D81" s="200">
        <v>362</v>
      </c>
      <c r="E81" s="201">
        <v>13</v>
      </c>
      <c r="F81" s="192">
        <f t="shared" si="17"/>
        <v>0</v>
      </c>
      <c r="G81" s="202">
        <f t="shared" si="18"/>
        <v>0</v>
      </c>
      <c r="H81" s="194">
        <f t="shared" si="19"/>
        <v>0</v>
      </c>
      <c r="I81" s="195">
        <f t="shared" si="20"/>
        <v>0</v>
      </c>
      <c r="J81" s="196">
        <f t="shared" si="24"/>
        <v>0</v>
      </c>
      <c r="K81" s="195">
        <f t="shared" si="22"/>
        <v>0</v>
      </c>
      <c r="L81" s="195">
        <f t="shared" si="25"/>
        <v>0</v>
      </c>
      <c r="M81" s="119"/>
    </row>
    <row r="82" spans="1:13">
      <c r="A82" s="197">
        <v>104</v>
      </c>
      <c r="B82" s="198" t="s">
        <v>165</v>
      </c>
      <c r="C82" s="199" t="s">
        <v>180</v>
      </c>
      <c r="D82" s="200">
        <v>308</v>
      </c>
      <c r="E82" s="201">
        <v>13</v>
      </c>
      <c r="F82" s="192">
        <f t="shared" si="17"/>
        <v>0</v>
      </c>
      <c r="G82" s="202">
        <f t="shared" si="18"/>
        <v>0</v>
      </c>
      <c r="H82" s="194">
        <f t="shared" si="19"/>
        <v>0</v>
      </c>
      <c r="I82" s="195">
        <f t="shared" si="20"/>
        <v>0</v>
      </c>
      <c r="J82" s="196">
        <f t="shared" si="24"/>
        <v>0</v>
      </c>
      <c r="K82" s="195">
        <f t="shared" si="22"/>
        <v>0</v>
      </c>
      <c r="L82" s="195">
        <f t="shared" si="25"/>
        <v>0</v>
      </c>
      <c r="M82" s="119"/>
    </row>
    <row r="83" spans="1:13">
      <c r="A83" s="197">
        <v>105</v>
      </c>
      <c r="B83" s="198" t="s">
        <v>851</v>
      </c>
      <c r="C83" s="199" t="s">
        <v>180</v>
      </c>
      <c r="D83" s="200">
        <v>372</v>
      </c>
      <c r="E83" s="201">
        <v>13</v>
      </c>
      <c r="F83" s="192">
        <f t="shared" si="17"/>
        <v>0</v>
      </c>
      <c r="G83" s="202">
        <f t="shared" si="18"/>
        <v>0</v>
      </c>
      <c r="H83" s="194">
        <f t="shared" si="19"/>
        <v>0</v>
      </c>
      <c r="I83" s="195">
        <f t="shared" si="20"/>
        <v>0</v>
      </c>
      <c r="J83" s="196">
        <f t="shared" si="24"/>
        <v>0</v>
      </c>
      <c r="K83" s="195">
        <f t="shared" si="22"/>
        <v>0</v>
      </c>
      <c r="L83" s="195">
        <f t="shared" si="25"/>
        <v>0</v>
      </c>
      <c r="M83" s="119"/>
    </row>
    <row r="84" spans="1:13">
      <c r="A84" s="197">
        <v>106</v>
      </c>
      <c r="B84" s="198" t="s">
        <v>852</v>
      </c>
      <c r="C84" s="199" t="s">
        <v>22</v>
      </c>
      <c r="D84" s="200">
        <v>416</v>
      </c>
      <c r="E84" s="201">
        <v>6</v>
      </c>
      <c r="F84" s="192">
        <f t="shared" si="17"/>
        <v>0</v>
      </c>
      <c r="G84" s="202">
        <f t="shared" si="18"/>
        <v>0</v>
      </c>
      <c r="H84" s="194">
        <f t="shared" si="19"/>
        <v>0</v>
      </c>
      <c r="I84" s="195">
        <f t="shared" si="20"/>
        <v>0</v>
      </c>
      <c r="J84" s="196">
        <f t="shared" si="24"/>
        <v>0</v>
      </c>
      <c r="K84" s="195">
        <f t="shared" si="22"/>
        <v>0</v>
      </c>
      <c r="L84" s="195">
        <f t="shared" si="25"/>
        <v>0</v>
      </c>
      <c r="M84" s="119"/>
    </row>
    <row r="85" spans="1:13">
      <c r="A85" s="197">
        <v>107</v>
      </c>
      <c r="B85" s="198" t="s">
        <v>289</v>
      </c>
      <c r="C85" s="199" t="s">
        <v>22</v>
      </c>
      <c r="D85" s="200">
        <v>720</v>
      </c>
      <c r="E85" s="201">
        <v>6</v>
      </c>
      <c r="F85" s="192">
        <f t="shared" si="17"/>
        <v>0</v>
      </c>
      <c r="G85" s="202">
        <f t="shared" si="18"/>
        <v>0</v>
      </c>
      <c r="H85" s="194">
        <f t="shared" si="19"/>
        <v>0</v>
      </c>
      <c r="I85" s="195">
        <f t="shared" si="20"/>
        <v>0</v>
      </c>
      <c r="J85" s="196">
        <f t="shared" si="24"/>
        <v>0</v>
      </c>
      <c r="K85" s="195">
        <f t="shared" si="22"/>
        <v>0</v>
      </c>
      <c r="L85" s="195">
        <f t="shared" si="25"/>
        <v>0</v>
      </c>
      <c r="M85" s="119"/>
    </row>
    <row r="86" spans="1:13">
      <c r="A86" s="197">
        <v>108</v>
      </c>
      <c r="B86" s="198" t="s">
        <v>255</v>
      </c>
      <c r="C86" s="199" t="s">
        <v>22</v>
      </c>
      <c r="D86" s="200">
        <v>720</v>
      </c>
      <c r="E86" s="201">
        <v>6</v>
      </c>
      <c r="F86" s="192">
        <f t="shared" si="17"/>
        <v>0</v>
      </c>
      <c r="G86" s="202">
        <f t="shared" si="18"/>
        <v>0</v>
      </c>
      <c r="H86" s="194">
        <f t="shared" si="19"/>
        <v>0</v>
      </c>
      <c r="I86" s="195">
        <f t="shared" si="20"/>
        <v>0</v>
      </c>
      <c r="J86" s="196">
        <f t="shared" si="24"/>
        <v>0</v>
      </c>
      <c r="K86" s="195">
        <f t="shared" si="22"/>
        <v>0</v>
      </c>
      <c r="L86" s="195">
        <f t="shared" si="25"/>
        <v>0</v>
      </c>
      <c r="M86" s="119"/>
    </row>
    <row r="87" spans="1:13">
      <c r="A87" s="197">
        <v>109</v>
      </c>
      <c r="B87" s="198" t="s">
        <v>853</v>
      </c>
      <c r="C87" s="199" t="s">
        <v>22</v>
      </c>
      <c r="D87" s="200">
        <v>418</v>
      </c>
      <c r="E87" s="201">
        <v>6</v>
      </c>
      <c r="F87" s="192">
        <f t="shared" si="17"/>
        <v>0</v>
      </c>
      <c r="G87" s="202">
        <f t="shared" si="18"/>
        <v>0</v>
      </c>
      <c r="H87" s="194">
        <f t="shared" si="19"/>
        <v>0</v>
      </c>
      <c r="I87" s="195">
        <f t="shared" si="20"/>
        <v>0</v>
      </c>
      <c r="J87" s="196">
        <f t="shared" si="24"/>
        <v>0</v>
      </c>
      <c r="K87" s="195">
        <f t="shared" si="22"/>
        <v>0</v>
      </c>
      <c r="L87" s="195">
        <f t="shared" si="25"/>
        <v>0</v>
      </c>
      <c r="M87" s="119"/>
    </row>
    <row r="88" spans="1:13">
      <c r="A88" s="197">
        <v>110</v>
      </c>
      <c r="B88" s="198" t="s">
        <v>103</v>
      </c>
      <c r="C88" s="199" t="s">
        <v>22</v>
      </c>
      <c r="D88" s="231">
        <v>376</v>
      </c>
      <c r="E88" s="201">
        <v>6</v>
      </c>
      <c r="F88" s="192">
        <f t="shared" si="17"/>
        <v>0</v>
      </c>
      <c r="G88" s="202">
        <f t="shared" si="18"/>
        <v>0</v>
      </c>
      <c r="H88" s="194">
        <f t="shared" si="19"/>
        <v>0</v>
      </c>
      <c r="I88" s="195">
        <f t="shared" si="20"/>
        <v>0</v>
      </c>
      <c r="J88" s="196">
        <f t="shared" si="24"/>
        <v>0</v>
      </c>
      <c r="K88" s="195">
        <f t="shared" si="22"/>
        <v>0</v>
      </c>
      <c r="L88" s="195">
        <f t="shared" si="25"/>
        <v>0</v>
      </c>
      <c r="M88" s="119"/>
    </row>
    <row r="89" spans="1:13">
      <c r="A89" s="197">
        <v>111</v>
      </c>
      <c r="B89" s="198" t="s">
        <v>854</v>
      </c>
      <c r="C89" s="199" t="s">
        <v>22</v>
      </c>
      <c r="D89" s="200">
        <v>412</v>
      </c>
      <c r="E89" s="201">
        <v>6</v>
      </c>
      <c r="F89" s="192">
        <f t="shared" si="17"/>
        <v>0</v>
      </c>
      <c r="G89" s="202">
        <f t="shared" si="18"/>
        <v>0</v>
      </c>
      <c r="H89" s="194">
        <f t="shared" si="19"/>
        <v>0</v>
      </c>
      <c r="I89" s="195">
        <f t="shared" si="20"/>
        <v>0</v>
      </c>
      <c r="J89" s="196">
        <f t="shared" si="24"/>
        <v>0</v>
      </c>
      <c r="K89" s="195">
        <f t="shared" si="22"/>
        <v>0</v>
      </c>
      <c r="L89" s="195">
        <f t="shared" si="25"/>
        <v>0</v>
      </c>
      <c r="M89" s="119"/>
    </row>
    <row r="90" spans="1:13">
      <c r="A90" s="197">
        <v>112</v>
      </c>
      <c r="B90" s="198" t="s">
        <v>140</v>
      </c>
      <c r="C90" s="199" t="s">
        <v>22</v>
      </c>
      <c r="D90" s="231">
        <v>374</v>
      </c>
      <c r="E90" s="201">
        <v>6</v>
      </c>
      <c r="F90" s="192">
        <f t="shared" si="17"/>
        <v>0</v>
      </c>
      <c r="G90" s="202">
        <f t="shared" si="18"/>
        <v>0</v>
      </c>
      <c r="H90" s="194">
        <f t="shared" si="19"/>
        <v>0</v>
      </c>
      <c r="I90" s="195">
        <f t="shared" si="20"/>
        <v>0</v>
      </c>
      <c r="J90" s="196">
        <f t="shared" si="24"/>
        <v>0</v>
      </c>
      <c r="K90" s="195">
        <f t="shared" si="22"/>
        <v>0</v>
      </c>
      <c r="L90" s="195">
        <f t="shared" si="25"/>
        <v>0</v>
      </c>
      <c r="M90" s="119"/>
    </row>
    <row r="91" spans="1:13">
      <c r="A91" s="197">
        <v>113</v>
      </c>
      <c r="B91" s="198" t="s">
        <v>855</v>
      </c>
      <c r="C91" s="199" t="s">
        <v>22</v>
      </c>
      <c r="D91" s="200">
        <v>376</v>
      </c>
      <c r="E91" s="201">
        <v>6</v>
      </c>
      <c r="F91" s="192">
        <f t="shared" si="17"/>
        <v>0</v>
      </c>
      <c r="G91" s="202">
        <f t="shared" si="18"/>
        <v>0</v>
      </c>
      <c r="H91" s="194">
        <f t="shared" si="19"/>
        <v>0</v>
      </c>
      <c r="I91" s="195">
        <f t="shared" si="20"/>
        <v>0</v>
      </c>
      <c r="J91" s="196">
        <f t="shared" si="24"/>
        <v>0</v>
      </c>
      <c r="K91" s="195">
        <f t="shared" si="22"/>
        <v>0</v>
      </c>
      <c r="L91" s="195">
        <f t="shared" si="25"/>
        <v>0</v>
      </c>
      <c r="M91" s="119"/>
    </row>
    <row r="92" spans="1:13">
      <c r="A92" s="197">
        <v>114</v>
      </c>
      <c r="B92" s="198" t="s">
        <v>21</v>
      </c>
      <c r="C92" s="199" t="s">
        <v>22</v>
      </c>
      <c r="D92" s="231">
        <v>350</v>
      </c>
      <c r="E92" s="201">
        <v>6</v>
      </c>
      <c r="F92" s="192">
        <f t="shared" si="17"/>
        <v>0</v>
      </c>
      <c r="G92" s="202">
        <f t="shared" si="18"/>
        <v>0</v>
      </c>
      <c r="H92" s="194">
        <f t="shared" si="19"/>
        <v>0</v>
      </c>
      <c r="I92" s="195">
        <f t="shared" si="20"/>
        <v>0</v>
      </c>
      <c r="J92" s="196">
        <f t="shared" si="24"/>
        <v>0</v>
      </c>
      <c r="K92" s="195">
        <f t="shared" si="22"/>
        <v>0</v>
      </c>
      <c r="L92" s="195">
        <f t="shared" si="25"/>
        <v>0</v>
      </c>
      <c r="M92" s="119"/>
    </row>
    <row r="93" spans="1:13">
      <c r="A93" s="197">
        <v>115</v>
      </c>
      <c r="B93" s="198" t="s">
        <v>73</v>
      </c>
      <c r="C93" s="199" t="s">
        <v>22</v>
      </c>
      <c r="D93" s="231">
        <v>320</v>
      </c>
      <c r="E93" s="201">
        <v>6</v>
      </c>
      <c r="F93" s="192">
        <f t="shared" si="17"/>
        <v>0</v>
      </c>
      <c r="G93" s="202">
        <f t="shared" si="18"/>
        <v>0</v>
      </c>
      <c r="H93" s="194">
        <f t="shared" si="19"/>
        <v>0</v>
      </c>
      <c r="I93" s="195">
        <f t="shared" si="20"/>
        <v>0</v>
      </c>
      <c r="J93" s="196">
        <f t="shared" si="24"/>
        <v>0</v>
      </c>
      <c r="K93" s="195">
        <f t="shared" si="22"/>
        <v>0</v>
      </c>
      <c r="L93" s="195">
        <f t="shared" si="25"/>
        <v>0</v>
      </c>
      <c r="M93" s="119"/>
    </row>
    <row r="94" spans="1:13">
      <c r="A94" s="203">
        <v>116</v>
      </c>
      <c r="B94" s="204" t="s">
        <v>238</v>
      </c>
      <c r="C94" s="199" t="s">
        <v>22</v>
      </c>
      <c r="D94" s="200">
        <v>382</v>
      </c>
      <c r="E94" s="201">
        <v>6</v>
      </c>
      <c r="F94" s="192">
        <f t="shared" si="17"/>
        <v>0</v>
      </c>
      <c r="G94" s="202">
        <f t="shared" si="18"/>
        <v>0</v>
      </c>
      <c r="H94" s="194">
        <f t="shared" si="19"/>
        <v>0</v>
      </c>
      <c r="I94" s="195">
        <f t="shared" si="20"/>
        <v>0</v>
      </c>
      <c r="J94" s="196">
        <f t="shared" si="24"/>
        <v>0</v>
      </c>
      <c r="K94" s="195">
        <f t="shared" si="22"/>
        <v>0</v>
      </c>
      <c r="L94" s="195">
        <f t="shared" si="25"/>
        <v>0</v>
      </c>
      <c r="M94" s="119"/>
    </row>
    <row r="95" spans="1:13">
      <c r="A95" s="203">
        <v>117</v>
      </c>
      <c r="B95" s="204" t="s">
        <v>212</v>
      </c>
      <c r="C95" s="199" t="s">
        <v>22</v>
      </c>
      <c r="D95" s="200">
        <v>368</v>
      </c>
      <c r="E95" s="201">
        <v>6</v>
      </c>
      <c r="F95" s="192">
        <f t="shared" si="17"/>
        <v>0</v>
      </c>
      <c r="G95" s="202">
        <f t="shared" si="18"/>
        <v>0</v>
      </c>
      <c r="H95" s="194">
        <f t="shared" si="19"/>
        <v>0</v>
      </c>
      <c r="I95" s="195">
        <f t="shared" si="20"/>
        <v>0</v>
      </c>
      <c r="J95" s="196">
        <f t="shared" si="24"/>
        <v>0</v>
      </c>
      <c r="K95" s="195">
        <f t="shared" si="22"/>
        <v>0</v>
      </c>
      <c r="L95" s="195">
        <f t="shared" si="25"/>
        <v>0</v>
      </c>
      <c r="M95" s="119"/>
    </row>
    <row r="96" spans="1:13">
      <c r="A96" s="203">
        <v>118</v>
      </c>
      <c r="B96" s="204" t="s">
        <v>198</v>
      </c>
      <c r="C96" s="199" t="s">
        <v>22</v>
      </c>
      <c r="D96" s="200">
        <v>362</v>
      </c>
      <c r="E96" s="201">
        <v>6</v>
      </c>
      <c r="F96" s="192">
        <f t="shared" si="17"/>
        <v>0</v>
      </c>
      <c r="G96" s="202">
        <f t="shared" si="18"/>
        <v>0</v>
      </c>
      <c r="H96" s="194">
        <f t="shared" si="19"/>
        <v>0</v>
      </c>
      <c r="I96" s="195">
        <f t="shared" si="20"/>
        <v>0</v>
      </c>
      <c r="J96" s="196">
        <f t="shared" si="24"/>
        <v>0</v>
      </c>
      <c r="K96" s="195">
        <f t="shared" si="22"/>
        <v>0</v>
      </c>
      <c r="L96" s="195">
        <f t="shared" si="25"/>
        <v>0</v>
      </c>
      <c r="M96" s="119"/>
    </row>
    <row r="97" spans="1:13">
      <c r="A97" s="197">
        <v>119</v>
      </c>
      <c r="B97" s="198" t="s">
        <v>311</v>
      </c>
      <c r="C97" s="199" t="s">
        <v>22</v>
      </c>
      <c r="D97" s="231">
        <v>358</v>
      </c>
      <c r="E97" s="201">
        <v>6</v>
      </c>
      <c r="F97" s="192">
        <f t="shared" si="17"/>
        <v>0</v>
      </c>
      <c r="G97" s="202">
        <f t="shared" si="18"/>
        <v>0</v>
      </c>
      <c r="H97" s="194">
        <f t="shared" si="19"/>
        <v>0</v>
      </c>
      <c r="I97" s="195">
        <f t="shared" si="20"/>
        <v>0</v>
      </c>
      <c r="J97" s="196">
        <f t="shared" si="24"/>
        <v>0</v>
      </c>
      <c r="K97" s="195">
        <f t="shared" si="22"/>
        <v>0</v>
      </c>
      <c r="L97" s="195">
        <f t="shared" si="25"/>
        <v>0</v>
      </c>
      <c r="M97" s="119"/>
    </row>
    <row r="98" spans="1:13">
      <c r="A98" s="197">
        <v>120</v>
      </c>
      <c r="B98" s="198" t="s">
        <v>301</v>
      </c>
      <c r="C98" s="199" t="s">
        <v>22</v>
      </c>
      <c r="D98" s="231">
        <v>382</v>
      </c>
      <c r="E98" s="201">
        <v>6</v>
      </c>
      <c r="F98" s="192">
        <f t="shared" si="17"/>
        <v>0</v>
      </c>
      <c r="G98" s="202">
        <f t="shared" si="18"/>
        <v>0</v>
      </c>
      <c r="H98" s="194">
        <f t="shared" si="19"/>
        <v>0</v>
      </c>
      <c r="I98" s="195">
        <f t="shared" si="20"/>
        <v>0</v>
      </c>
      <c r="J98" s="196">
        <f t="shared" si="24"/>
        <v>0</v>
      </c>
      <c r="K98" s="195">
        <f t="shared" si="22"/>
        <v>0</v>
      </c>
      <c r="L98" s="195">
        <f t="shared" si="25"/>
        <v>0</v>
      </c>
      <c r="M98" s="119"/>
    </row>
    <row r="99" spans="1:13">
      <c r="A99" s="197">
        <v>121</v>
      </c>
      <c r="B99" s="198" t="s">
        <v>181</v>
      </c>
      <c r="C99" s="199" t="s">
        <v>22</v>
      </c>
      <c r="D99" s="200">
        <v>368</v>
      </c>
      <c r="E99" s="201">
        <v>6</v>
      </c>
      <c r="F99" s="192">
        <f t="shared" si="17"/>
        <v>0</v>
      </c>
      <c r="G99" s="202">
        <f t="shared" si="18"/>
        <v>0</v>
      </c>
      <c r="H99" s="194">
        <f t="shared" si="19"/>
        <v>0</v>
      </c>
      <c r="I99" s="195">
        <f t="shared" si="20"/>
        <v>0</v>
      </c>
      <c r="J99" s="196">
        <f t="shared" si="24"/>
        <v>0</v>
      </c>
      <c r="K99" s="195">
        <f t="shared" si="22"/>
        <v>0</v>
      </c>
      <c r="L99" s="195">
        <f t="shared" si="25"/>
        <v>0</v>
      </c>
      <c r="M99" s="119"/>
    </row>
    <row r="100" spans="1:13">
      <c r="A100" s="209">
        <v>301</v>
      </c>
      <c r="B100" s="210" t="s">
        <v>1427</v>
      </c>
      <c r="C100" s="211" t="s">
        <v>1411</v>
      </c>
      <c r="D100" s="212">
        <v>290</v>
      </c>
      <c r="E100" s="201">
        <v>6</v>
      </c>
      <c r="F100" s="192">
        <f t="shared" si="17"/>
        <v>0</v>
      </c>
      <c r="G100" s="202">
        <f t="shared" ref="G100:G111" si="26">IF(E100="NVT"," ",H100/E100)</f>
        <v>0</v>
      </c>
      <c r="H100" s="194">
        <f t="shared" ref="H100:H111" si="27">IF(E100="n.v.t.","",D100*E100*F100)</f>
        <v>0</v>
      </c>
      <c r="I100" s="195">
        <f t="shared" si="20"/>
        <v>0</v>
      </c>
      <c r="J100" s="196">
        <f t="shared" ref="J100:J111" si="28">$J$77*H100</f>
        <v>0</v>
      </c>
      <c r="K100" s="195">
        <f t="shared" si="22"/>
        <v>0</v>
      </c>
      <c r="L100" s="195">
        <f t="shared" ref="L100:L111" si="29">(H100*I100)+K100</f>
        <v>0</v>
      </c>
      <c r="M100" s="119"/>
    </row>
    <row r="101" spans="1:13">
      <c r="A101" s="209">
        <v>302</v>
      </c>
      <c r="B101" s="210" t="s">
        <v>1410</v>
      </c>
      <c r="C101" s="211" t="s">
        <v>1411</v>
      </c>
      <c r="D101" s="212">
        <v>290</v>
      </c>
      <c r="E101" s="201">
        <v>6</v>
      </c>
      <c r="F101" s="192">
        <f t="shared" si="17"/>
        <v>0</v>
      </c>
      <c r="G101" s="202">
        <f t="shared" si="26"/>
        <v>0</v>
      </c>
      <c r="H101" s="194">
        <f t="shared" si="27"/>
        <v>0</v>
      </c>
      <c r="I101" s="195">
        <f t="shared" si="20"/>
        <v>0</v>
      </c>
      <c r="J101" s="196">
        <f t="shared" si="28"/>
        <v>0</v>
      </c>
      <c r="K101" s="195">
        <f t="shared" si="22"/>
        <v>0</v>
      </c>
      <c r="L101" s="195">
        <f t="shared" si="29"/>
        <v>0</v>
      </c>
      <c r="M101" s="119"/>
    </row>
    <row r="102" spans="1:13">
      <c r="A102" s="209">
        <v>303</v>
      </c>
      <c r="B102" s="210" t="s">
        <v>133</v>
      </c>
      <c r="C102" s="211" t="s">
        <v>1411</v>
      </c>
      <c r="D102" s="212">
        <v>290</v>
      </c>
      <c r="E102" s="201">
        <v>6</v>
      </c>
      <c r="F102" s="192">
        <f t="shared" si="17"/>
        <v>0</v>
      </c>
      <c r="G102" s="202">
        <f t="shared" si="26"/>
        <v>0</v>
      </c>
      <c r="H102" s="194">
        <f t="shared" si="27"/>
        <v>0</v>
      </c>
      <c r="I102" s="195">
        <f t="shared" si="20"/>
        <v>0</v>
      </c>
      <c r="J102" s="196">
        <f t="shared" si="28"/>
        <v>0</v>
      </c>
      <c r="K102" s="195">
        <f t="shared" si="22"/>
        <v>0</v>
      </c>
      <c r="L102" s="195">
        <f t="shared" si="29"/>
        <v>0</v>
      </c>
      <c r="M102" s="119"/>
    </row>
    <row r="103" spans="1:13">
      <c r="A103" s="209">
        <v>304</v>
      </c>
      <c r="B103" s="210" t="s">
        <v>1414</v>
      </c>
      <c r="C103" s="211" t="s">
        <v>1411</v>
      </c>
      <c r="D103" s="212">
        <v>290</v>
      </c>
      <c r="E103" s="201">
        <v>6</v>
      </c>
      <c r="F103" s="192">
        <f t="shared" si="17"/>
        <v>0</v>
      </c>
      <c r="G103" s="202">
        <f t="shared" si="26"/>
        <v>0</v>
      </c>
      <c r="H103" s="194">
        <f t="shared" si="27"/>
        <v>0</v>
      </c>
      <c r="I103" s="195">
        <f t="shared" si="20"/>
        <v>0</v>
      </c>
      <c r="J103" s="196">
        <f t="shared" si="28"/>
        <v>0</v>
      </c>
      <c r="K103" s="195">
        <f t="shared" si="22"/>
        <v>0</v>
      </c>
      <c r="L103" s="195">
        <f t="shared" si="29"/>
        <v>0</v>
      </c>
      <c r="M103" s="119"/>
    </row>
    <row r="104" spans="1:13">
      <c r="A104" s="209">
        <v>305</v>
      </c>
      <c r="B104" s="210" t="s">
        <v>1417</v>
      </c>
      <c r="C104" s="211" t="s">
        <v>1411</v>
      </c>
      <c r="D104" s="201">
        <v>290</v>
      </c>
      <c r="E104" s="201">
        <v>6</v>
      </c>
      <c r="F104" s="192">
        <f t="shared" si="17"/>
        <v>0</v>
      </c>
      <c r="G104" s="202">
        <f t="shared" si="26"/>
        <v>0</v>
      </c>
      <c r="H104" s="194">
        <f t="shared" si="27"/>
        <v>0</v>
      </c>
      <c r="I104" s="195">
        <f t="shared" si="20"/>
        <v>0</v>
      </c>
      <c r="J104" s="196">
        <f t="shared" si="28"/>
        <v>0</v>
      </c>
      <c r="K104" s="195">
        <f t="shared" si="22"/>
        <v>0</v>
      </c>
      <c r="L104" s="195">
        <f t="shared" si="29"/>
        <v>0</v>
      </c>
      <c r="M104" s="119"/>
    </row>
    <row r="105" spans="1:13">
      <c r="A105" s="209">
        <v>306</v>
      </c>
      <c r="B105" s="210" t="s">
        <v>1418</v>
      </c>
      <c r="C105" s="211" t="s">
        <v>1411</v>
      </c>
      <c r="D105" s="212">
        <v>290</v>
      </c>
      <c r="E105" s="201">
        <v>6</v>
      </c>
      <c r="F105" s="192">
        <f t="shared" si="17"/>
        <v>0</v>
      </c>
      <c r="G105" s="202">
        <f t="shared" si="26"/>
        <v>0</v>
      </c>
      <c r="H105" s="194">
        <f t="shared" si="27"/>
        <v>0</v>
      </c>
      <c r="I105" s="195">
        <f t="shared" si="20"/>
        <v>0</v>
      </c>
      <c r="J105" s="196">
        <f t="shared" si="28"/>
        <v>0</v>
      </c>
      <c r="K105" s="195">
        <f t="shared" si="22"/>
        <v>0</v>
      </c>
      <c r="L105" s="195">
        <f t="shared" si="29"/>
        <v>0</v>
      </c>
      <c r="M105" s="119"/>
    </row>
    <row r="106" spans="1:13">
      <c r="A106" s="211">
        <v>307</v>
      </c>
      <c r="B106" s="210" t="s">
        <v>1412</v>
      </c>
      <c r="C106" s="211" t="s">
        <v>1411</v>
      </c>
      <c r="D106" s="212">
        <v>290</v>
      </c>
      <c r="E106" s="201">
        <v>6</v>
      </c>
      <c r="F106" s="192">
        <f t="shared" si="17"/>
        <v>0</v>
      </c>
      <c r="G106" s="202">
        <f t="shared" si="26"/>
        <v>0</v>
      </c>
      <c r="H106" s="194">
        <f t="shared" si="27"/>
        <v>0</v>
      </c>
      <c r="I106" s="195">
        <f t="shared" si="20"/>
        <v>0</v>
      </c>
      <c r="J106" s="196">
        <f t="shared" si="28"/>
        <v>0</v>
      </c>
      <c r="K106" s="195">
        <f t="shared" si="22"/>
        <v>0</v>
      </c>
      <c r="L106" s="195">
        <f t="shared" si="29"/>
        <v>0</v>
      </c>
      <c r="M106" s="119"/>
    </row>
    <row r="107" spans="1:13">
      <c r="A107" s="211">
        <v>308</v>
      </c>
      <c r="B107" s="210" t="s">
        <v>1419</v>
      </c>
      <c r="C107" s="211" t="s">
        <v>1411</v>
      </c>
      <c r="D107" s="201">
        <v>290</v>
      </c>
      <c r="E107" s="201">
        <v>6</v>
      </c>
      <c r="F107" s="192">
        <f t="shared" si="17"/>
        <v>0</v>
      </c>
      <c r="G107" s="202">
        <f t="shared" si="26"/>
        <v>0</v>
      </c>
      <c r="H107" s="194">
        <f t="shared" si="27"/>
        <v>0</v>
      </c>
      <c r="I107" s="195">
        <f t="shared" si="20"/>
        <v>0</v>
      </c>
      <c r="J107" s="196">
        <f t="shared" si="28"/>
        <v>0</v>
      </c>
      <c r="K107" s="195">
        <f t="shared" si="22"/>
        <v>0</v>
      </c>
      <c r="L107" s="195">
        <f t="shared" si="29"/>
        <v>0</v>
      </c>
      <c r="M107" s="119"/>
    </row>
    <row r="108" spans="1:13">
      <c r="A108" s="211">
        <v>309</v>
      </c>
      <c r="B108" s="210" t="s">
        <v>1415</v>
      </c>
      <c r="C108" s="211" t="s">
        <v>1411</v>
      </c>
      <c r="D108" s="201">
        <v>290</v>
      </c>
      <c r="E108" s="201">
        <v>6</v>
      </c>
      <c r="F108" s="192">
        <f t="shared" si="17"/>
        <v>0</v>
      </c>
      <c r="G108" s="202">
        <f t="shared" si="26"/>
        <v>0</v>
      </c>
      <c r="H108" s="194">
        <f t="shared" si="27"/>
        <v>0</v>
      </c>
      <c r="I108" s="195">
        <f t="shared" si="20"/>
        <v>0</v>
      </c>
      <c r="J108" s="196">
        <f t="shared" si="28"/>
        <v>0</v>
      </c>
      <c r="K108" s="195">
        <f t="shared" si="22"/>
        <v>0</v>
      </c>
      <c r="L108" s="195">
        <f t="shared" si="29"/>
        <v>0</v>
      </c>
      <c r="M108" s="119"/>
    </row>
    <row r="109" spans="1:13">
      <c r="A109" s="209">
        <v>310</v>
      </c>
      <c r="B109" s="210" t="s">
        <v>1428</v>
      </c>
      <c r="C109" s="211" t="s">
        <v>1411</v>
      </c>
      <c r="D109" s="201">
        <v>290</v>
      </c>
      <c r="E109" s="201">
        <v>6</v>
      </c>
      <c r="F109" s="192">
        <f t="shared" si="17"/>
        <v>0</v>
      </c>
      <c r="G109" s="202">
        <f t="shared" si="26"/>
        <v>0</v>
      </c>
      <c r="H109" s="194">
        <f t="shared" si="27"/>
        <v>0</v>
      </c>
      <c r="I109" s="195">
        <f t="shared" si="20"/>
        <v>0</v>
      </c>
      <c r="J109" s="196">
        <f t="shared" si="28"/>
        <v>0</v>
      </c>
      <c r="K109" s="195">
        <f t="shared" si="22"/>
        <v>0</v>
      </c>
      <c r="L109" s="195">
        <f t="shared" si="29"/>
        <v>0</v>
      </c>
      <c r="M109" s="119"/>
    </row>
    <row r="110" spans="1:13">
      <c r="A110" s="209">
        <v>311</v>
      </c>
      <c r="B110" s="210" t="s">
        <v>1413</v>
      </c>
      <c r="C110" s="211" t="s">
        <v>1411</v>
      </c>
      <c r="D110" s="212">
        <v>290</v>
      </c>
      <c r="E110" s="201">
        <v>6</v>
      </c>
      <c r="F110" s="192">
        <f t="shared" si="17"/>
        <v>0</v>
      </c>
      <c r="G110" s="202">
        <f t="shared" si="26"/>
        <v>0</v>
      </c>
      <c r="H110" s="194">
        <f t="shared" si="27"/>
        <v>0</v>
      </c>
      <c r="I110" s="195">
        <f t="shared" si="20"/>
        <v>0</v>
      </c>
      <c r="J110" s="196">
        <f t="shared" si="28"/>
        <v>0</v>
      </c>
      <c r="K110" s="195">
        <f t="shared" si="22"/>
        <v>0</v>
      </c>
      <c r="L110" s="195">
        <f t="shared" si="29"/>
        <v>0</v>
      </c>
      <c r="M110" s="119"/>
    </row>
    <row r="111" spans="1:13">
      <c r="A111" s="209">
        <v>312</v>
      </c>
      <c r="B111" s="210" t="s">
        <v>1429</v>
      </c>
      <c r="C111" s="211" t="s">
        <v>1411</v>
      </c>
      <c r="D111" s="212">
        <v>290</v>
      </c>
      <c r="E111" s="201">
        <v>6</v>
      </c>
      <c r="F111" s="192">
        <f t="shared" si="17"/>
        <v>0</v>
      </c>
      <c r="G111" s="202">
        <f t="shared" si="26"/>
        <v>0</v>
      </c>
      <c r="H111" s="194">
        <f t="shared" si="27"/>
        <v>0</v>
      </c>
      <c r="I111" s="195">
        <f t="shared" si="20"/>
        <v>0</v>
      </c>
      <c r="J111" s="196">
        <f t="shared" si="28"/>
        <v>0</v>
      </c>
      <c r="K111" s="195">
        <f t="shared" si="22"/>
        <v>0</v>
      </c>
      <c r="L111" s="195">
        <f t="shared" si="29"/>
        <v>0</v>
      </c>
      <c r="M111" s="119"/>
    </row>
    <row r="112" spans="1:13" s="239" customFormat="1" ht="12.75">
      <c r="A112" s="213" t="s">
        <v>1143</v>
      </c>
      <c r="B112" s="232"/>
      <c r="C112" s="233"/>
      <c r="D112" s="234"/>
      <c r="E112" s="234"/>
      <c r="F112" s="235"/>
      <c r="G112" s="236"/>
      <c r="H112" s="236"/>
      <c r="I112" s="237"/>
      <c r="J112" s="238"/>
      <c r="K112" s="237"/>
      <c r="L112" s="221">
        <f>SUM(L79:L111)</f>
        <v>0</v>
      </c>
    </row>
    <row r="113" spans="1:13" ht="14.25" thickBot="1">
      <c r="D113" s="165"/>
      <c r="F113" s="166"/>
      <c r="G113" s="167"/>
      <c r="I113" s="168"/>
      <c r="J113" s="169"/>
      <c r="K113" s="168"/>
      <c r="M113" s="119"/>
    </row>
    <row r="114" spans="1:13" ht="54" customHeight="1">
      <c r="D114" s="165"/>
      <c r="F114" s="166"/>
      <c r="G114" s="167"/>
      <c r="I114" s="168"/>
      <c r="J114" s="434" t="s">
        <v>1366</v>
      </c>
      <c r="K114" s="168"/>
      <c r="M114" s="119"/>
    </row>
    <row r="115" spans="1:13" ht="14.25" thickBot="1">
      <c r="A115" s="239" t="s">
        <v>1142</v>
      </c>
      <c r="B115" s="118"/>
      <c r="C115" s="240"/>
      <c r="D115" s="241"/>
      <c r="E115" s="242"/>
      <c r="F115" s="243"/>
      <c r="G115" s="244"/>
      <c r="H115" s="244"/>
      <c r="I115" s="168"/>
      <c r="J115" s="435">
        <v>0</v>
      </c>
      <c r="K115" s="168"/>
      <c r="M115" s="119"/>
    </row>
    <row r="116" spans="1:13" ht="51.75" thickBot="1">
      <c r="A116" s="424" t="s">
        <v>290</v>
      </c>
      <c r="B116" s="425" t="s">
        <v>291</v>
      </c>
      <c r="C116" s="426" t="s">
        <v>13</v>
      </c>
      <c r="D116" s="426" t="s">
        <v>2013</v>
      </c>
      <c r="E116" s="427" t="s">
        <v>2014</v>
      </c>
      <c r="F116" s="428" t="s">
        <v>2015</v>
      </c>
      <c r="G116" s="429" t="s">
        <v>2016</v>
      </c>
      <c r="H116" s="430" t="s">
        <v>2017</v>
      </c>
      <c r="I116" s="431" t="s">
        <v>2018</v>
      </c>
      <c r="J116" s="432" t="s">
        <v>2019</v>
      </c>
      <c r="K116" s="431" t="s">
        <v>2020</v>
      </c>
      <c r="L116" s="433" t="s">
        <v>2021</v>
      </c>
      <c r="M116" s="119"/>
    </row>
    <row r="117" spans="1:13">
      <c r="A117" s="188">
        <v>101</v>
      </c>
      <c r="B117" s="189" t="s">
        <v>1408</v>
      </c>
      <c r="C117" s="190" t="s">
        <v>180</v>
      </c>
      <c r="D117" s="191">
        <v>400</v>
      </c>
      <c r="E117" s="201">
        <v>2</v>
      </c>
      <c r="F117" s="192">
        <f t="shared" ref="F117:F164" si="30">VLOOKUP(E117,$A$17:$E$22,4,FALSE)</f>
        <v>0</v>
      </c>
      <c r="G117" s="202">
        <f t="shared" ref="G117:G137" si="31">IF(E117="NVT"," ",H117/E117)</f>
        <v>0</v>
      </c>
      <c r="H117" s="194">
        <f t="shared" ref="H117:H137" si="32">IF(E117="n.v.t.","",D117*E117*F117)</f>
        <v>0</v>
      </c>
      <c r="I117" s="195">
        <f t="shared" ref="I117:I164" si="33">$C$14</f>
        <v>0</v>
      </c>
      <c r="J117" s="196">
        <f t="shared" ref="J117" si="34">$J$115*H117</f>
        <v>0</v>
      </c>
      <c r="K117" s="195">
        <f t="shared" ref="K117:K164" si="35">J117*$C$15</f>
        <v>0</v>
      </c>
      <c r="L117" s="195">
        <f t="shared" ref="L117" si="36">(H117*I117)+K117</f>
        <v>0</v>
      </c>
      <c r="M117" s="119"/>
    </row>
    <row r="118" spans="1:13">
      <c r="A118" s="197">
        <v>102</v>
      </c>
      <c r="B118" s="198" t="s">
        <v>850</v>
      </c>
      <c r="C118" s="199" t="s">
        <v>180</v>
      </c>
      <c r="D118" s="200">
        <v>400</v>
      </c>
      <c r="E118" s="201">
        <v>2</v>
      </c>
      <c r="F118" s="192">
        <f t="shared" si="30"/>
        <v>0</v>
      </c>
      <c r="G118" s="202">
        <f t="shared" si="31"/>
        <v>0</v>
      </c>
      <c r="H118" s="194">
        <f t="shared" si="32"/>
        <v>0</v>
      </c>
      <c r="I118" s="195">
        <f t="shared" si="33"/>
        <v>0</v>
      </c>
      <c r="J118" s="196">
        <f t="shared" ref="J118:J137" si="37">$J$115*H118</f>
        <v>0</v>
      </c>
      <c r="K118" s="195">
        <f t="shared" si="35"/>
        <v>0</v>
      </c>
      <c r="L118" s="195">
        <f t="shared" ref="L118:L137" si="38">(H118*I118)+K118</f>
        <v>0</v>
      </c>
      <c r="M118" s="119"/>
    </row>
    <row r="119" spans="1:13">
      <c r="A119" s="197">
        <v>103</v>
      </c>
      <c r="B119" s="198" t="s">
        <v>718</v>
      </c>
      <c r="C119" s="199" t="s">
        <v>180</v>
      </c>
      <c r="D119" s="200">
        <v>362</v>
      </c>
      <c r="E119" s="201">
        <v>2</v>
      </c>
      <c r="F119" s="192">
        <f t="shared" si="30"/>
        <v>0</v>
      </c>
      <c r="G119" s="202">
        <f t="shared" si="31"/>
        <v>0</v>
      </c>
      <c r="H119" s="194">
        <f t="shared" si="32"/>
        <v>0</v>
      </c>
      <c r="I119" s="195">
        <f t="shared" si="33"/>
        <v>0</v>
      </c>
      <c r="J119" s="196">
        <f t="shared" si="37"/>
        <v>0</v>
      </c>
      <c r="K119" s="195">
        <f t="shared" si="35"/>
        <v>0</v>
      </c>
      <c r="L119" s="195">
        <f t="shared" si="38"/>
        <v>0</v>
      </c>
      <c r="M119" s="119"/>
    </row>
    <row r="120" spans="1:13">
      <c r="A120" s="197">
        <v>104</v>
      </c>
      <c r="B120" s="198" t="s">
        <v>165</v>
      </c>
      <c r="C120" s="199" t="s">
        <v>180</v>
      </c>
      <c r="D120" s="200">
        <v>308</v>
      </c>
      <c r="E120" s="201">
        <v>2</v>
      </c>
      <c r="F120" s="192">
        <f t="shared" si="30"/>
        <v>0</v>
      </c>
      <c r="G120" s="202">
        <f t="shared" si="31"/>
        <v>0</v>
      </c>
      <c r="H120" s="194">
        <f t="shared" si="32"/>
        <v>0</v>
      </c>
      <c r="I120" s="195">
        <f t="shared" si="33"/>
        <v>0</v>
      </c>
      <c r="J120" s="196">
        <f t="shared" si="37"/>
        <v>0</v>
      </c>
      <c r="K120" s="195">
        <f t="shared" si="35"/>
        <v>0</v>
      </c>
      <c r="L120" s="195">
        <f t="shared" si="38"/>
        <v>0</v>
      </c>
      <c r="M120" s="119"/>
    </row>
    <row r="121" spans="1:13">
      <c r="A121" s="197">
        <v>105</v>
      </c>
      <c r="B121" s="198" t="s">
        <v>851</v>
      </c>
      <c r="C121" s="199" t="s">
        <v>180</v>
      </c>
      <c r="D121" s="200">
        <v>372</v>
      </c>
      <c r="E121" s="201">
        <v>2</v>
      </c>
      <c r="F121" s="192">
        <f t="shared" si="30"/>
        <v>0</v>
      </c>
      <c r="G121" s="202">
        <f t="shared" si="31"/>
        <v>0</v>
      </c>
      <c r="H121" s="194">
        <f t="shared" si="32"/>
        <v>0</v>
      </c>
      <c r="I121" s="195">
        <f t="shared" si="33"/>
        <v>0</v>
      </c>
      <c r="J121" s="196">
        <f t="shared" si="37"/>
        <v>0</v>
      </c>
      <c r="K121" s="195">
        <f t="shared" si="35"/>
        <v>0</v>
      </c>
      <c r="L121" s="195">
        <f t="shared" si="38"/>
        <v>0</v>
      </c>
      <c r="M121" s="119"/>
    </row>
    <row r="122" spans="1:13">
      <c r="A122" s="197">
        <v>106</v>
      </c>
      <c r="B122" s="198" t="s">
        <v>852</v>
      </c>
      <c r="C122" s="199" t="s">
        <v>22</v>
      </c>
      <c r="D122" s="200">
        <v>416</v>
      </c>
      <c r="E122" s="201">
        <v>2</v>
      </c>
      <c r="F122" s="192">
        <f t="shared" si="30"/>
        <v>0</v>
      </c>
      <c r="G122" s="202">
        <f t="shared" si="31"/>
        <v>0</v>
      </c>
      <c r="H122" s="194">
        <f t="shared" si="32"/>
        <v>0</v>
      </c>
      <c r="I122" s="195">
        <f t="shared" si="33"/>
        <v>0</v>
      </c>
      <c r="J122" s="196">
        <f t="shared" si="37"/>
        <v>0</v>
      </c>
      <c r="K122" s="195">
        <f t="shared" si="35"/>
        <v>0</v>
      </c>
      <c r="L122" s="195">
        <f t="shared" si="38"/>
        <v>0</v>
      </c>
      <c r="M122" s="119"/>
    </row>
    <row r="123" spans="1:13">
      <c r="A123" s="197">
        <v>107</v>
      </c>
      <c r="B123" s="198" t="s">
        <v>289</v>
      </c>
      <c r="C123" s="199" t="s">
        <v>22</v>
      </c>
      <c r="D123" s="200">
        <v>720</v>
      </c>
      <c r="E123" s="201">
        <v>2</v>
      </c>
      <c r="F123" s="192">
        <f t="shared" si="30"/>
        <v>0</v>
      </c>
      <c r="G123" s="202">
        <f t="shared" si="31"/>
        <v>0</v>
      </c>
      <c r="H123" s="194">
        <f t="shared" si="32"/>
        <v>0</v>
      </c>
      <c r="I123" s="195">
        <f t="shared" si="33"/>
        <v>0</v>
      </c>
      <c r="J123" s="196">
        <f t="shared" si="37"/>
        <v>0</v>
      </c>
      <c r="K123" s="195">
        <f t="shared" si="35"/>
        <v>0</v>
      </c>
      <c r="L123" s="195">
        <f t="shared" si="38"/>
        <v>0</v>
      </c>
      <c r="M123" s="119"/>
    </row>
    <row r="124" spans="1:13">
      <c r="A124" s="197">
        <v>108</v>
      </c>
      <c r="B124" s="198" t="s">
        <v>255</v>
      </c>
      <c r="C124" s="199" t="s">
        <v>22</v>
      </c>
      <c r="D124" s="200">
        <v>720</v>
      </c>
      <c r="E124" s="201">
        <v>2</v>
      </c>
      <c r="F124" s="192">
        <f t="shared" si="30"/>
        <v>0</v>
      </c>
      <c r="G124" s="202">
        <f t="shared" si="31"/>
        <v>0</v>
      </c>
      <c r="H124" s="194">
        <f t="shared" si="32"/>
        <v>0</v>
      </c>
      <c r="I124" s="195">
        <f t="shared" si="33"/>
        <v>0</v>
      </c>
      <c r="J124" s="196">
        <f t="shared" si="37"/>
        <v>0</v>
      </c>
      <c r="K124" s="195">
        <f t="shared" si="35"/>
        <v>0</v>
      </c>
      <c r="L124" s="195">
        <f t="shared" si="38"/>
        <v>0</v>
      </c>
      <c r="M124" s="119"/>
    </row>
    <row r="125" spans="1:13">
      <c r="A125" s="197">
        <v>109</v>
      </c>
      <c r="B125" s="198" t="s">
        <v>853</v>
      </c>
      <c r="C125" s="199" t="s">
        <v>22</v>
      </c>
      <c r="D125" s="200">
        <v>418</v>
      </c>
      <c r="E125" s="201">
        <v>2</v>
      </c>
      <c r="F125" s="192">
        <f t="shared" si="30"/>
        <v>0</v>
      </c>
      <c r="G125" s="202">
        <f t="shared" si="31"/>
        <v>0</v>
      </c>
      <c r="H125" s="194">
        <f t="shared" si="32"/>
        <v>0</v>
      </c>
      <c r="I125" s="195">
        <f t="shared" si="33"/>
        <v>0</v>
      </c>
      <c r="J125" s="196">
        <f t="shared" si="37"/>
        <v>0</v>
      </c>
      <c r="K125" s="195">
        <f t="shared" si="35"/>
        <v>0</v>
      </c>
      <c r="L125" s="195">
        <f t="shared" si="38"/>
        <v>0</v>
      </c>
      <c r="M125" s="119"/>
    </row>
    <row r="126" spans="1:13">
      <c r="A126" s="197">
        <v>110</v>
      </c>
      <c r="B126" s="198" t="s">
        <v>103</v>
      </c>
      <c r="C126" s="199" t="s">
        <v>22</v>
      </c>
      <c r="D126" s="231">
        <v>376</v>
      </c>
      <c r="E126" s="201">
        <v>2</v>
      </c>
      <c r="F126" s="192">
        <f t="shared" si="30"/>
        <v>0</v>
      </c>
      <c r="G126" s="202">
        <f t="shared" si="31"/>
        <v>0</v>
      </c>
      <c r="H126" s="194">
        <f t="shared" si="32"/>
        <v>0</v>
      </c>
      <c r="I126" s="195">
        <f t="shared" si="33"/>
        <v>0</v>
      </c>
      <c r="J126" s="196">
        <f t="shared" si="37"/>
        <v>0</v>
      </c>
      <c r="K126" s="195">
        <f t="shared" si="35"/>
        <v>0</v>
      </c>
      <c r="L126" s="195">
        <f t="shared" si="38"/>
        <v>0</v>
      </c>
      <c r="M126" s="119"/>
    </row>
    <row r="127" spans="1:13">
      <c r="A127" s="197">
        <v>111</v>
      </c>
      <c r="B127" s="198" t="s">
        <v>854</v>
      </c>
      <c r="C127" s="199" t="s">
        <v>22</v>
      </c>
      <c r="D127" s="200">
        <v>412</v>
      </c>
      <c r="E127" s="201">
        <v>2</v>
      </c>
      <c r="F127" s="192">
        <f t="shared" si="30"/>
        <v>0</v>
      </c>
      <c r="G127" s="202">
        <f t="shared" si="31"/>
        <v>0</v>
      </c>
      <c r="H127" s="194">
        <f t="shared" si="32"/>
        <v>0</v>
      </c>
      <c r="I127" s="195">
        <f t="shared" si="33"/>
        <v>0</v>
      </c>
      <c r="J127" s="196">
        <f t="shared" si="37"/>
        <v>0</v>
      </c>
      <c r="K127" s="195">
        <f t="shared" si="35"/>
        <v>0</v>
      </c>
      <c r="L127" s="195">
        <f t="shared" si="38"/>
        <v>0</v>
      </c>
      <c r="M127" s="119"/>
    </row>
    <row r="128" spans="1:13">
      <c r="A128" s="197">
        <v>112</v>
      </c>
      <c r="B128" s="198" t="s">
        <v>140</v>
      </c>
      <c r="C128" s="199" t="s">
        <v>22</v>
      </c>
      <c r="D128" s="231">
        <v>374</v>
      </c>
      <c r="E128" s="201">
        <v>2</v>
      </c>
      <c r="F128" s="192">
        <f t="shared" si="30"/>
        <v>0</v>
      </c>
      <c r="G128" s="202">
        <f t="shared" si="31"/>
        <v>0</v>
      </c>
      <c r="H128" s="194">
        <f t="shared" si="32"/>
        <v>0</v>
      </c>
      <c r="I128" s="195">
        <f t="shared" si="33"/>
        <v>0</v>
      </c>
      <c r="J128" s="196">
        <f t="shared" si="37"/>
        <v>0</v>
      </c>
      <c r="K128" s="195">
        <f t="shared" si="35"/>
        <v>0</v>
      </c>
      <c r="L128" s="195">
        <f t="shared" si="38"/>
        <v>0</v>
      </c>
      <c r="M128" s="119"/>
    </row>
    <row r="129" spans="1:13">
      <c r="A129" s="197">
        <v>113</v>
      </c>
      <c r="B129" s="198" t="s">
        <v>855</v>
      </c>
      <c r="C129" s="199" t="s">
        <v>22</v>
      </c>
      <c r="D129" s="200">
        <v>376</v>
      </c>
      <c r="E129" s="201">
        <v>2</v>
      </c>
      <c r="F129" s="192">
        <f t="shared" si="30"/>
        <v>0</v>
      </c>
      <c r="G129" s="202">
        <f t="shared" si="31"/>
        <v>0</v>
      </c>
      <c r="H129" s="194">
        <f t="shared" si="32"/>
        <v>0</v>
      </c>
      <c r="I129" s="195">
        <f t="shared" si="33"/>
        <v>0</v>
      </c>
      <c r="J129" s="196">
        <f t="shared" si="37"/>
        <v>0</v>
      </c>
      <c r="K129" s="195">
        <f t="shared" si="35"/>
        <v>0</v>
      </c>
      <c r="L129" s="195">
        <f t="shared" si="38"/>
        <v>0</v>
      </c>
      <c r="M129" s="119"/>
    </row>
    <row r="130" spans="1:13">
      <c r="A130" s="197">
        <v>114</v>
      </c>
      <c r="B130" s="198" t="s">
        <v>21</v>
      </c>
      <c r="C130" s="199" t="s">
        <v>22</v>
      </c>
      <c r="D130" s="231">
        <v>350</v>
      </c>
      <c r="E130" s="201">
        <v>2</v>
      </c>
      <c r="F130" s="192">
        <f t="shared" si="30"/>
        <v>0</v>
      </c>
      <c r="G130" s="202">
        <f t="shared" si="31"/>
        <v>0</v>
      </c>
      <c r="H130" s="194">
        <f t="shared" si="32"/>
        <v>0</v>
      </c>
      <c r="I130" s="195">
        <f t="shared" si="33"/>
        <v>0</v>
      </c>
      <c r="J130" s="196">
        <f t="shared" si="37"/>
        <v>0</v>
      </c>
      <c r="K130" s="195">
        <f t="shared" si="35"/>
        <v>0</v>
      </c>
      <c r="L130" s="195">
        <f t="shared" si="38"/>
        <v>0</v>
      </c>
      <c r="M130" s="119"/>
    </row>
    <row r="131" spans="1:13">
      <c r="A131" s="197">
        <v>115</v>
      </c>
      <c r="B131" s="198" t="s">
        <v>73</v>
      </c>
      <c r="C131" s="199" t="s">
        <v>22</v>
      </c>
      <c r="D131" s="231">
        <v>320</v>
      </c>
      <c r="E131" s="201">
        <v>2</v>
      </c>
      <c r="F131" s="192">
        <f t="shared" si="30"/>
        <v>0</v>
      </c>
      <c r="G131" s="202">
        <f t="shared" si="31"/>
        <v>0</v>
      </c>
      <c r="H131" s="194">
        <f t="shared" si="32"/>
        <v>0</v>
      </c>
      <c r="I131" s="195">
        <f t="shared" si="33"/>
        <v>0</v>
      </c>
      <c r="J131" s="196">
        <f t="shared" si="37"/>
        <v>0</v>
      </c>
      <c r="K131" s="195">
        <f t="shared" si="35"/>
        <v>0</v>
      </c>
      <c r="L131" s="195">
        <f t="shared" si="38"/>
        <v>0</v>
      </c>
      <c r="M131" s="119"/>
    </row>
    <row r="132" spans="1:13">
      <c r="A132" s="203">
        <v>116</v>
      </c>
      <c r="B132" s="204" t="s">
        <v>238</v>
      </c>
      <c r="C132" s="199" t="s">
        <v>22</v>
      </c>
      <c r="D132" s="200">
        <v>382</v>
      </c>
      <c r="E132" s="201">
        <v>2</v>
      </c>
      <c r="F132" s="192">
        <f t="shared" si="30"/>
        <v>0</v>
      </c>
      <c r="G132" s="202">
        <f t="shared" si="31"/>
        <v>0</v>
      </c>
      <c r="H132" s="194">
        <f t="shared" si="32"/>
        <v>0</v>
      </c>
      <c r="I132" s="195">
        <f t="shared" si="33"/>
        <v>0</v>
      </c>
      <c r="J132" s="196">
        <f t="shared" si="37"/>
        <v>0</v>
      </c>
      <c r="K132" s="195">
        <f t="shared" si="35"/>
        <v>0</v>
      </c>
      <c r="L132" s="195">
        <f t="shared" si="38"/>
        <v>0</v>
      </c>
      <c r="M132" s="119"/>
    </row>
    <row r="133" spans="1:13">
      <c r="A133" s="203">
        <v>117</v>
      </c>
      <c r="B133" s="204" t="s">
        <v>212</v>
      </c>
      <c r="C133" s="199" t="s">
        <v>22</v>
      </c>
      <c r="D133" s="200">
        <v>368</v>
      </c>
      <c r="E133" s="201">
        <v>2</v>
      </c>
      <c r="F133" s="192">
        <f t="shared" si="30"/>
        <v>0</v>
      </c>
      <c r="G133" s="202">
        <f t="shared" si="31"/>
        <v>0</v>
      </c>
      <c r="H133" s="194">
        <f t="shared" si="32"/>
        <v>0</v>
      </c>
      <c r="I133" s="195">
        <f t="shared" si="33"/>
        <v>0</v>
      </c>
      <c r="J133" s="196">
        <f t="shared" si="37"/>
        <v>0</v>
      </c>
      <c r="K133" s="195">
        <f t="shared" si="35"/>
        <v>0</v>
      </c>
      <c r="L133" s="195">
        <f t="shared" si="38"/>
        <v>0</v>
      </c>
      <c r="M133" s="119"/>
    </row>
    <row r="134" spans="1:13">
      <c r="A134" s="203">
        <v>118</v>
      </c>
      <c r="B134" s="204" t="s">
        <v>198</v>
      </c>
      <c r="C134" s="199" t="s">
        <v>22</v>
      </c>
      <c r="D134" s="200">
        <v>362</v>
      </c>
      <c r="E134" s="201">
        <v>2</v>
      </c>
      <c r="F134" s="192">
        <f t="shared" si="30"/>
        <v>0</v>
      </c>
      <c r="G134" s="202">
        <f t="shared" si="31"/>
        <v>0</v>
      </c>
      <c r="H134" s="194">
        <f t="shared" si="32"/>
        <v>0</v>
      </c>
      <c r="I134" s="195">
        <f t="shared" si="33"/>
        <v>0</v>
      </c>
      <c r="J134" s="196">
        <f t="shared" si="37"/>
        <v>0</v>
      </c>
      <c r="K134" s="195">
        <f t="shared" si="35"/>
        <v>0</v>
      </c>
      <c r="L134" s="195">
        <f t="shared" si="38"/>
        <v>0</v>
      </c>
      <c r="M134" s="119"/>
    </row>
    <row r="135" spans="1:13">
      <c r="A135" s="197">
        <v>119</v>
      </c>
      <c r="B135" s="198" t="s">
        <v>311</v>
      </c>
      <c r="C135" s="199" t="s">
        <v>22</v>
      </c>
      <c r="D135" s="231">
        <v>358</v>
      </c>
      <c r="E135" s="201">
        <v>2</v>
      </c>
      <c r="F135" s="192">
        <f t="shared" si="30"/>
        <v>0</v>
      </c>
      <c r="G135" s="202">
        <f t="shared" si="31"/>
        <v>0</v>
      </c>
      <c r="H135" s="194">
        <f t="shared" si="32"/>
        <v>0</v>
      </c>
      <c r="I135" s="195">
        <f t="shared" si="33"/>
        <v>0</v>
      </c>
      <c r="J135" s="196">
        <f t="shared" si="37"/>
        <v>0</v>
      </c>
      <c r="K135" s="195">
        <f t="shared" si="35"/>
        <v>0</v>
      </c>
      <c r="L135" s="195">
        <f t="shared" si="38"/>
        <v>0</v>
      </c>
      <c r="M135" s="119"/>
    </row>
    <row r="136" spans="1:13">
      <c r="A136" s="197">
        <v>120</v>
      </c>
      <c r="B136" s="198" t="s">
        <v>301</v>
      </c>
      <c r="C136" s="199" t="s">
        <v>22</v>
      </c>
      <c r="D136" s="231">
        <v>382</v>
      </c>
      <c r="E136" s="201">
        <v>2</v>
      </c>
      <c r="F136" s="192">
        <f t="shared" si="30"/>
        <v>0</v>
      </c>
      <c r="G136" s="202">
        <f t="shared" si="31"/>
        <v>0</v>
      </c>
      <c r="H136" s="194">
        <f t="shared" si="32"/>
        <v>0</v>
      </c>
      <c r="I136" s="195">
        <f t="shared" si="33"/>
        <v>0</v>
      </c>
      <c r="J136" s="196">
        <f t="shared" si="37"/>
        <v>0</v>
      </c>
      <c r="K136" s="195">
        <f t="shared" si="35"/>
        <v>0</v>
      </c>
      <c r="L136" s="195">
        <f t="shared" si="38"/>
        <v>0</v>
      </c>
      <c r="M136" s="119"/>
    </row>
    <row r="137" spans="1:13">
      <c r="A137" s="197">
        <v>121</v>
      </c>
      <c r="B137" s="198" t="s">
        <v>181</v>
      </c>
      <c r="C137" s="199" t="s">
        <v>22</v>
      </c>
      <c r="D137" s="200">
        <v>368</v>
      </c>
      <c r="E137" s="201">
        <v>2</v>
      </c>
      <c r="F137" s="192">
        <f t="shared" si="30"/>
        <v>0</v>
      </c>
      <c r="G137" s="202">
        <f t="shared" si="31"/>
        <v>0</v>
      </c>
      <c r="H137" s="194">
        <f t="shared" si="32"/>
        <v>0</v>
      </c>
      <c r="I137" s="195">
        <f t="shared" si="33"/>
        <v>0</v>
      </c>
      <c r="J137" s="196">
        <f t="shared" si="37"/>
        <v>0</v>
      </c>
      <c r="K137" s="195">
        <f t="shared" si="35"/>
        <v>0</v>
      </c>
      <c r="L137" s="195">
        <f t="shared" si="38"/>
        <v>0</v>
      </c>
      <c r="M137" s="119"/>
    </row>
    <row r="138" spans="1:13">
      <c r="A138" s="205">
        <v>201</v>
      </c>
      <c r="B138" s="206" t="s">
        <v>1554</v>
      </c>
      <c r="C138" s="207" t="s">
        <v>1420</v>
      </c>
      <c r="D138" s="208">
        <v>217</v>
      </c>
      <c r="E138" s="208">
        <v>2</v>
      </c>
      <c r="F138" s="192">
        <f t="shared" si="30"/>
        <v>0</v>
      </c>
      <c r="G138" s="202">
        <f t="shared" ref="G138:G153" si="39">IF(E138="NVT"," ",H138/E138)</f>
        <v>0</v>
      </c>
      <c r="H138" s="194">
        <f t="shared" ref="H138:H153" si="40">IF(E138="n.v.t.","",D138*E138*F138)</f>
        <v>0</v>
      </c>
      <c r="I138" s="195">
        <f t="shared" si="33"/>
        <v>0</v>
      </c>
      <c r="J138" s="196">
        <f t="shared" ref="J138:J153" si="41">$J$115*H138</f>
        <v>0</v>
      </c>
      <c r="K138" s="195">
        <f t="shared" si="35"/>
        <v>0</v>
      </c>
      <c r="L138" s="195">
        <f t="shared" ref="L138:L153" si="42">(H138*I138)+K138</f>
        <v>0</v>
      </c>
      <c r="M138" s="119"/>
    </row>
    <row r="139" spans="1:13">
      <c r="A139" s="205">
        <v>202</v>
      </c>
      <c r="B139" s="206" t="s">
        <v>1421</v>
      </c>
      <c r="C139" s="207" t="s">
        <v>1420</v>
      </c>
      <c r="D139" s="208">
        <v>240</v>
      </c>
      <c r="E139" s="208">
        <v>2</v>
      </c>
      <c r="F139" s="192">
        <f t="shared" si="30"/>
        <v>0</v>
      </c>
      <c r="G139" s="202">
        <f t="shared" si="39"/>
        <v>0</v>
      </c>
      <c r="H139" s="194">
        <f t="shared" si="40"/>
        <v>0</v>
      </c>
      <c r="I139" s="195">
        <f t="shared" si="33"/>
        <v>0</v>
      </c>
      <c r="J139" s="196">
        <f t="shared" si="41"/>
        <v>0</v>
      </c>
      <c r="K139" s="195">
        <f t="shared" si="35"/>
        <v>0</v>
      </c>
      <c r="L139" s="195">
        <f t="shared" si="42"/>
        <v>0</v>
      </c>
      <c r="M139" s="119"/>
    </row>
    <row r="140" spans="1:13">
      <c r="A140" s="205">
        <v>203</v>
      </c>
      <c r="B140" s="206" t="s">
        <v>1422</v>
      </c>
      <c r="C140" s="207" t="s">
        <v>1420</v>
      </c>
      <c r="D140" s="208">
        <v>180</v>
      </c>
      <c r="E140" s="208">
        <v>2</v>
      </c>
      <c r="F140" s="192">
        <f t="shared" si="30"/>
        <v>0</v>
      </c>
      <c r="G140" s="202">
        <f t="shared" si="39"/>
        <v>0</v>
      </c>
      <c r="H140" s="194">
        <f t="shared" si="40"/>
        <v>0</v>
      </c>
      <c r="I140" s="195">
        <f t="shared" si="33"/>
        <v>0</v>
      </c>
      <c r="J140" s="196">
        <f t="shared" si="41"/>
        <v>0</v>
      </c>
      <c r="K140" s="195">
        <f t="shared" si="35"/>
        <v>0</v>
      </c>
      <c r="L140" s="195">
        <f t="shared" si="42"/>
        <v>0</v>
      </c>
      <c r="M140" s="119"/>
    </row>
    <row r="141" spans="1:13">
      <c r="A141" s="205">
        <v>204</v>
      </c>
      <c r="B141" s="206" t="s">
        <v>1423</v>
      </c>
      <c r="C141" s="207" t="s">
        <v>1420</v>
      </c>
      <c r="D141" s="208">
        <v>196</v>
      </c>
      <c r="E141" s="208">
        <v>2</v>
      </c>
      <c r="F141" s="192">
        <f t="shared" si="30"/>
        <v>0</v>
      </c>
      <c r="G141" s="202">
        <f t="shared" si="39"/>
        <v>0</v>
      </c>
      <c r="H141" s="194">
        <f t="shared" si="40"/>
        <v>0</v>
      </c>
      <c r="I141" s="195">
        <f t="shared" si="33"/>
        <v>0</v>
      </c>
      <c r="J141" s="196">
        <f t="shared" si="41"/>
        <v>0</v>
      </c>
      <c r="K141" s="195">
        <f t="shared" si="35"/>
        <v>0</v>
      </c>
      <c r="L141" s="195">
        <f t="shared" si="42"/>
        <v>0</v>
      </c>
      <c r="M141" s="119"/>
    </row>
    <row r="142" spans="1:13">
      <c r="A142" s="205">
        <v>205</v>
      </c>
      <c r="B142" s="206" t="s">
        <v>1424</v>
      </c>
      <c r="C142" s="207" t="s">
        <v>1420</v>
      </c>
      <c r="D142" s="208">
        <v>196</v>
      </c>
      <c r="E142" s="208">
        <v>2</v>
      </c>
      <c r="F142" s="192">
        <f t="shared" si="30"/>
        <v>0</v>
      </c>
      <c r="G142" s="202">
        <f t="shared" si="39"/>
        <v>0</v>
      </c>
      <c r="H142" s="194">
        <f t="shared" si="40"/>
        <v>0</v>
      </c>
      <c r="I142" s="195">
        <f t="shared" si="33"/>
        <v>0</v>
      </c>
      <c r="J142" s="196">
        <f t="shared" si="41"/>
        <v>0</v>
      </c>
      <c r="K142" s="195">
        <f t="shared" si="35"/>
        <v>0</v>
      </c>
      <c r="L142" s="195">
        <f t="shared" si="42"/>
        <v>0</v>
      </c>
      <c r="M142" s="119"/>
    </row>
    <row r="143" spans="1:13">
      <c r="A143" s="205">
        <v>206</v>
      </c>
      <c r="B143" s="206" t="s">
        <v>1425</v>
      </c>
      <c r="C143" s="207" t="s">
        <v>1420</v>
      </c>
      <c r="D143" s="208">
        <v>172</v>
      </c>
      <c r="E143" s="208">
        <v>2</v>
      </c>
      <c r="F143" s="192">
        <f t="shared" si="30"/>
        <v>0</v>
      </c>
      <c r="G143" s="202">
        <f t="shared" si="39"/>
        <v>0</v>
      </c>
      <c r="H143" s="194">
        <f t="shared" si="40"/>
        <v>0</v>
      </c>
      <c r="I143" s="195">
        <f t="shared" si="33"/>
        <v>0</v>
      </c>
      <c r="J143" s="196">
        <f t="shared" si="41"/>
        <v>0</v>
      </c>
      <c r="K143" s="195">
        <f t="shared" si="35"/>
        <v>0</v>
      </c>
      <c r="L143" s="195">
        <f t="shared" si="42"/>
        <v>0</v>
      </c>
      <c r="M143" s="119"/>
    </row>
    <row r="144" spans="1:13">
      <c r="A144" s="205">
        <v>207</v>
      </c>
      <c r="B144" s="206" t="s">
        <v>1426</v>
      </c>
      <c r="C144" s="207" t="s">
        <v>1420</v>
      </c>
      <c r="D144" s="208">
        <v>172</v>
      </c>
      <c r="E144" s="208">
        <v>2</v>
      </c>
      <c r="F144" s="192">
        <f t="shared" si="30"/>
        <v>0</v>
      </c>
      <c r="G144" s="202">
        <f t="shared" si="39"/>
        <v>0</v>
      </c>
      <c r="H144" s="194">
        <f t="shared" si="40"/>
        <v>0</v>
      </c>
      <c r="I144" s="195">
        <f t="shared" si="33"/>
        <v>0</v>
      </c>
      <c r="J144" s="196">
        <f t="shared" si="41"/>
        <v>0</v>
      </c>
      <c r="K144" s="195">
        <f t="shared" si="35"/>
        <v>0</v>
      </c>
      <c r="L144" s="195">
        <f t="shared" si="42"/>
        <v>0</v>
      </c>
      <c r="M144" s="119"/>
    </row>
    <row r="145" spans="1:13">
      <c r="A145" s="205">
        <v>208</v>
      </c>
      <c r="B145" s="206" t="s">
        <v>1689</v>
      </c>
      <c r="C145" s="207" t="s">
        <v>1420</v>
      </c>
      <c r="D145" s="208">
        <v>174</v>
      </c>
      <c r="E145" s="208">
        <v>2</v>
      </c>
      <c r="F145" s="192">
        <f t="shared" si="30"/>
        <v>0</v>
      </c>
      <c r="G145" s="202">
        <f t="shared" si="39"/>
        <v>0</v>
      </c>
      <c r="H145" s="194">
        <f t="shared" si="40"/>
        <v>0</v>
      </c>
      <c r="I145" s="195">
        <f t="shared" si="33"/>
        <v>0</v>
      </c>
      <c r="J145" s="196">
        <f t="shared" si="41"/>
        <v>0</v>
      </c>
      <c r="K145" s="195">
        <f t="shared" si="35"/>
        <v>0</v>
      </c>
      <c r="L145" s="195">
        <f t="shared" si="42"/>
        <v>0</v>
      </c>
      <c r="M145" s="119"/>
    </row>
    <row r="146" spans="1:13">
      <c r="A146" s="205">
        <v>209</v>
      </c>
      <c r="B146" s="206" t="s">
        <v>1690</v>
      </c>
      <c r="C146" s="207" t="s">
        <v>1420</v>
      </c>
      <c r="D146" s="208">
        <v>314</v>
      </c>
      <c r="E146" s="208">
        <v>2</v>
      </c>
      <c r="F146" s="192">
        <f t="shared" si="30"/>
        <v>0</v>
      </c>
      <c r="G146" s="202">
        <f t="shared" si="39"/>
        <v>0</v>
      </c>
      <c r="H146" s="194">
        <f t="shared" si="40"/>
        <v>0</v>
      </c>
      <c r="I146" s="195">
        <f t="shared" si="33"/>
        <v>0</v>
      </c>
      <c r="J146" s="196">
        <f t="shared" si="41"/>
        <v>0</v>
      </c>
      <c r="K146" s="195">
        <f t="shared" si="35"/>
        <v>0</v>
      </c>
      <c r="L146" s="195">
        <f t="shared" si="42"/>
        <v>0</v>
      </c>
      <c r="M146" s="119"/>
    </row>
    <row r="147" spans="1:13">
      <c r="A147" s="205">
        <v>210</v>
      </c>
      <c r="B147" s="206" t="s">
        <v>1691</v>
      </c>
      <c r="C147" s="207" t="s">
        <v>1420</v>
      </c>
      <c r="D147" s="208">
        <v>196</v>
      </c>
      <c r="E147" s="208">
        <v>2</v>
      </c>
      <c r="F147" s="192">
        <f t="shared" si="30"/>
        <v>0</v>
      </c>
      <c r="G147" s="202">
        <f t="shared" si="39"/>
        <v>0</v>
      </c>
      <c r="H147" s="194">
        <f t="shared" si="40"/>
        <v>0</v>
      </c>
      <c r="I147" s="195">
        <f t="shared" si="33"/>
        <v>0</v>
      </c>
      <c r="J147" s="196">
        <f t="shared" si="41"/>
        <v>0</v>
      </c>
      <c r="K147" s="195">
        <f t="shared" si="35"/>
        <v>0</v>
      </c>
      <c r="L147" s="195">
        <f t="shared" si="42"/>
        <v>0</v>
      </c>
      <c r="M147" s="119"/>
    </row>
    <row r="148" spans="1:13">
      <c r="A148" s="205">
        <v>211</v>
      </c>
      <c r="B148" s="206" t="s">
        <v>1692</v>
      </c>
      <c r="C148" s="207" t="s">
        <v>1420</v>
      </c>
      <c r="D148" s="208">
        <v>160</v>
      </c>
      <c r="E148" s="208">
        <v>2</v>
      </c>
      <c r="F148" s="192">
        <f t="shared" si="30"/>
        <v>0</v>
      </c>
      <c r="G148" s="202">
        <f t="shared" si="39"/>
        <v>0</v>
      </c>
      <c r="H148" s="194">
        <f t="shared" si="40"/>
        <v>0</v>
      </c>
      <c r="I148" s="195">
        <f t="shared" si="33"/>
        <v>0</v>
      </c>
      <c r="J148" s="196">
        <f t="shared" si="41"/>
        <v>0</v>
      </c>
      <c r="K148" s="195">
        <f t="shared" si="35"/>
        <v>0</v>
      </c>
      <c r="L148" s="195">
        <f t="shared" si="42"/>
        <v>0</v>
      </c>
      <c r="M148" s="119"/>
    </row>
    <row r="149" spans="1:13">
      <c r="A149" s="205">
        <v>212</v>
      </c>
      <c r="B149" s="206" t="s">
        <v>1693</v>
      </c>
      <c r="C149" s="207" t="s">
        <v>1420</v>
      </c>
      <c r="D149" s="208">
        <v>188</v>
      </c>
      <c r="E149" s="208">
        <v>2</v>
      </c>
      <c r="F149" s="192">
        <f t="shared" si="30"/>
        <v>0</v>
      </c>
      <c r="G149" s="202">
        <f t="shared" si="39"/>
        <v>0</v>
      </c>
      <c r="H149" s="194">
        <f t="shared" si="40"/>
        <v>0</v>
      </c>
      <c r="I149" s="195">
        <f t="shared" si="33"/>
        <v>0</v>
      </c>
      <c r="J149" s="196">
        <f t="shared" si="41"/>
        <v>0</v>
      </c>
      <c r="K149" s="195">
        <f t="shared" si="35"/>
        <v>0</v>
      </c>
      <c r="L149" s="195">
        <f t="shared" si="42"/>
        <v>0</v>
      </c>
      <c r="M149" s="119"/>
    </row>
    <row r="150" spans="1:13">
      <c r="A150" s="209">
        <v>213</v>
      </c>
      <c r="B150" s="210" t="s">
        <v>1694</v>
      </c>
      <c r="C150" s="211" t="s">
        <v>1420</v>
      </c>
      <c r="D150" s="201">
        <v>188</v>
      </c>
      <c r="E150" s="201">
        <v>2</v>
      </c>
      <c r="F150" s="192">
        <f t="shared" si="30"/>
        <v>0</v>
      </c>
      <c r="G150" s="202">
        <f t="shared" si="39"/>
        <v>0</v>
      </c>
      <c r="H150" s="194">
        <f t="shared" si="40"/>
        <v>0</v>
      </c>
      <c r="I150" s="195">
        <f t="shared" si="33"/>
        <v>0</v>
      </c>
      <c r="J150" s="196">
        <f t="shared" si="41"/>
        <v>0</v>
      </c>
      <c r="K150" s="195">
        <f t="shared" si="35"/>
        <v>0</v>
      </c>
      <c r="L150" s="195">
        <f t="shared" si="42"/>
        <v>0</v>
      </c>
      <c r="M150" s="119"/>
    </row>
    <row r="151" spans="1:13">
      <c r="A151" s="209">
        <v>214</v>
      </c>
      <c r="B151" s="210" t="s">
        <v>1695</v>
      </c>
      <c r="C151" s="211" t="s">
        <v>1420</v>
      </c>
      <c r="D151" s="201">
        <v>188</v>
      </c>
      <c r="E151" s="201">
        <v>2</v>
      </c>
      <c r="F151" s="192">
        <f t="shared" si="30"/>
        <v>0</v>
      </c>
      <c r="G151" s="202">
        <f t="shared" si="39"/>
        <v>0</v>
      </c>
      <c r="H151" s="194">
        <f t="shared" si="40"/>
        <v>0</v>
      </c>
      <c r="I151" s="195">
        <f t="shared" si="33"/>
        <v>0</v>
      </c>
      <c r="J151" s="196">
        <f t="shared" si="41"/>
        <v>0</v>
      </c>
      <c r="K151" s="195">
        <f t="shared" si="35"/>
        <v>0</v>
      </c>
      <c r="L151" s="195">
        <f t="shared" si="42"/>
        <v>0</v>
      </c>
      <c r="M151" s="119"/>
    </row>
    <row r="152" spans="1:13">
      <c r="A152" s="209">
        <v>215</v>
      </c>
      <c r="B152" s="245" t="s">
        <v>1696</v>
      </c>
      <c r="C152" s="211" t="s">
        <v>1420</v>
      </c>
      <c r="D152" s="201">
        <v>188</v>
      </c>
      <c r="E152" s="201">
        <v>2</v>
      </c>
      <c r="F152" s="192">
        <f t="shared" si="30"/>
        <v>0</v>
      </c>
      <c r="G152" s="202">
        <f t="shared" si="39"/>
        <v>0</v>
      </c>
      <c r="H152" s="194">
        <f t="shared" si="40"/>
        <v>0</v>
      </c>
      <c r="I152" s="195">
        <f t="shared" si="33"/>
        <v>0</v>
      </c>
      <c r="J152" s="196">
        <f t="shared" si="41"/>
        <v>0</v>
      </c>
      <c r="K152" s="195">
        <f t="shared" si="35"/>
        <v>0</v>
      </c>
      <c r="L152" s="195">
        <f t="shared" si="42"/>
        <v>0</v>
      </c>
      <c r="M152" s="119"/>
    </row>
    <row r="153" spans="1:13">
      <c r="A153" s="209">
        <v>301</v>
      </c>
      <c r="B153" s="210" t="s">
        <v>1427</v>
      </c>
      <c r="C153" s="211" t="s">
        <v>1411</v>
      </c>
      <c r="D153" s="212">
        <v>290</v>
      </c>
      <c r="E153" s="201">
        <v>2</v>
      </c>
      <c r="F153" s="192">
        <f t="shared" si="30"/>
        <v>0</v>
      </c>
      <c r="G153" s="202">
        <f t="shared" si="39"/>
        <v>0</v>
      </c>
      <c r="H153" s="194">
        <f t="shared" si="40"/>
        <v>0</v>
      </c>
      <c r="I153" s="195">
        <f t="shared" si="33"/>
        <v>0</v>
      </c>
      <c r="J153" s="196">
        <f t="shared" si="41"/>
        <v>0</v>
      </c>
      <c r="K153" s="195">
        <f t="shared" si="35"/>
        <v>0</v>
      </c>
      <c r="L153" s="195">
        <f t="shared" si="42"/>
        <v>0</v>
      </c>
      <c r="M153" s="119"/>
    </row>
    <row r="154" spans="1:13">
      <c r="A154" s="209">
        <v>302</v>
      </c>
      <c r="B154" s="210" t="s">
        <v>1410</v>
      </c>
      <c r="C154" s="211" t="s">
        <v>1411</v>
      </c>
      <c r="D154" s="212">
        <v>290</v>
      </c>
      <c r="E154" s="201">
        <v>2</v>
      </c>
      <c r="F154" s="192">
        <f t="shared" si="30"/>
        <v>0</v>
      </c>
      <c r="G154" s="202">
        <f t="shared" ref="G154:G164" si="43">IF(E154="NVT"," ",H154/E154)</f>
        <v>0</v>
      </c>
      <c r="H154" s="194">
        <f t="shared" ref="H154:H164" si="44">IF(E154="n.v.t.","",D154*E154*F154)</f>
        <v>0</v>
      </c>
      <c r="I154" s="195">
        <f t="shared" si="33"/>
        <v>0</v>
      </c>
      <c r="J154" s="196">
        <f t="shared" ref="J154:J164" si="45">$J$115*H154</f>
        <v>0</v>
      </c>
      <c r="K154" s="195">
        <f t="shared" si="35"/>
        <v>0</v>
      </c>
      <c r="L154" s="195">
        <f t="shared" ref="L154:L164" si="46">(H154*I154)+K154</f>
        <v>0</v>
      </c>
      <c r="M154" s="119"/>
    </row>
    <row r="155" spans="1:13">
      <c r="A155" s="209">
        <v>303</v>
      </c>
      <c r="B155" s="210" t="s">
        <v>133</v>
      </c>
      <c r="C155" s="211" t="s">
        <v>1411</v>
      </c>
      <c r="D155" s="212">
        <v>290</v>
      </c>
      <c r="E155" s="201">
        <v>2</v>
      </c>
      <c r="F155" s="192">
        <f t="shared" si="30"/>
        <v>0</v>
      </c>
      <c r="G155" s="202">
        <f t="shared" si="43"/>
        <v>0</v>
      </c>
      <c r="H155" s="194">
        <f t="shared" si="44"/>
        <v>0</v>
      </c>
      <c r="I155" s="195">
        <f t="shared" si="33"/>
        <v>0</v>
      </c>
      <c r="J155" s="196">
        <f t="shared" si="45"/>
        <v>0</v>
      </c>
      <c r="K155" s="195">
        <f t="shared" si="35"/>
        <v>0</v>
      </c>
      <c r="L155" s="195">
        <f t="shared" si="46"/>
        <v>0</v>
      </c>
      <c r="M155" s="119"/>
    </row>
    <row r="156" spans="1:13">
      <c r="A156" s="209">
        <v>304</v>
      </c>
      <c r="B156" s="210" t="s">
        <v>1414</v>
      </c>
      <c r="C156" s="211" t="s">
        <v>1411</v>
      </c>
      <c r="D156" s="212">
        <v>290</v>
      </c>
      <c r="E156" s="201">
        <v>2</v>
      </c>
      <c r="F156" s="192">
        <f t="shared" si="30"/>
        <v>0</v>
      </c>
      <c r="G156" s="202">
        <f t="shared" si="43"/>
        <v>0</v>
      </c>
      <c r="H156" s="194">
        <f t="shared" si="44"/>
        <v>0</v>
      </c>
      <c r="I156" s="195">
        <f t="shared" si="33"/>
        <v>0</v>
      </c>
      <c r="J156" s="196">
        <f t="shared" si="45"/>
        <v>0</v>
      </c>
      <c r="K156" s="195">
        <f t="shared" si="35"/>
        <v>0</v>
      </c>
      <c r="L156" s="195">
        <f t="shared" si="46"/>
        <v>0</v>
      </c>
      <c r="M156" s="119"/>
    </row>
    <row r="157" spans="1:13">
      <c r="A157" s="209">
        <v>305</v>
      </c>
      <c r="B157" s="210" t="s">
        <v>1417</v>
      </c>
      <c r="C157" s="211" t="s">
        <v>1411</v>
      </c>
      <c r="D157" s="201">
        <v>290</v>
      </c>
      <c r="E157" s="201">
        <v>2</v>
      </c>
      <c r="F157" s="192">
        <f t="shared" si="30"/>
        <v>0</v>
      </c>
      <c r="G157" s="202">
        <f t="shared" si="43"/>
        <v>0</v>
      </c>
      <c r="H157" s="194">
        <f t="shared" si="44"/>
        <v>0</v>
      </c>
      <c r="I157" s="195">
        <f t="shared" si="33"/>
        <v>0</v>
      </c>
      <c r="J157" s="196">
        <f t="shared" si="45"/>
        <v>0</v>
      </c>
      <c r="K157" s="195">
        <f t="shared" si="35"/>
        <v>0</v>
      </c>
      <c r="L157" s="195">
        <f t="shared" si="46"/>
        <v>0</v>
      </c>
      <c r="M157" s="119"/>
    </row>
    <row r="158" spans="1:13">
      <c r="A158" s="209">
        <v>306</v>
      </c>
      <c r="B158" s="210" t="s">
        <v>1418</v>
      </c>
      <c r="C158" s="211" t="s">
        <v>1411</v>
      </c>
      <c r="D158" s="212">
        <v>290</v>
      </c>
      <c r="E158" s="201">
        <v>2</v>
      </c>
      <c r="F158" s="192">
        <f t="shared" si="30"/>
        <v>0</v>
      </c>
      <c r="G158" s="202">
        <f t="shared" si="43"/>
        <v>0</v>
      </c>
      <c r="H158" s="194">
        <f t="shared" si="44"/>
        <v>0</v>
      </c>
      <c r="I158" s="195">
        <f t="shared" si="33"/>
        <v>0</v>
      </c>
      <c r="J158" s="196">
        <f t="shared" si="45"/>
        <v>0</v>
      </c>
      <c r="K158" s="195">
        <f t="shared" si="35"/>
        <v>0</v>
      </c>
      <c r="L158" s="195">
        <f t="shared" si="46"/>
        <v>0</v>
      </c>
      <c r="M158" s="119"/>
    </row>
    <row r="159" spans="1:13">
      <c r="A159" s="211">
        <v>307</v>
      </c>
      <c r="B159" s="210" t="s">
        <v>1412</v>
      </c>
      <c r="C159" s="211" t="s">
        <v>1411</v>
      </c>
      <c r="D159" s="212">
        <v>290</v>
      </c>
      <c r="E159" s="201">
        <v>2</v>
      </c>
      <c r="F159" s="192">
        <f t="shared" si="30"/>
        <v>0</v>
      </c>
      <c r="G159" s="202">
        <f t="shared" si="43"/>
        <v>0</v>
      </c>
      <c r="H159" s="194">
        <f t="shared" si="44"/>
        <v>0</v>
      </c>
      <c r="I159" s="195">
        <f t="shared" si="33"/>
        <v>0</v>
      </c>
      <c r="J159" s="196">
        <f t="shared" si="45"/>
        <v>0</v>
      </c>
      <c r="K159" s="195">
        <f t="shared" si="35"/>
        <v>0</v>
      </c>
      <c r="L159" s="195">
        <f t="shared" si="46"/>
        <v>0</v>
      </c>
      <c r="M159" s="119"/>
    </row>
    <row r="160" spans="1:13">
      <c r="A160" s="211">
        <v>308</v>
      </c>
      <c r="B160" s="210" t="s">
        <v>1419</v>
      </c>
      <c r="C160" s="211" t="s">
        <v>1411</v>
      </c>
      <c r="D160" s="201">
        <v>290</v>
      </c>
      <c r="E160" s="201">
        <v>2</v>
      </c>
      <c r="F160" s="192">
        <f t="shared" si="30"/>
        <v>0</v>
      </c>
      <c r="G160" s="202">
        <f t="shared" si="43"/>
        <v>0</v>
      </c>
      <c r="H160" s="194">
        <f t="shared" si="44"/>
        <v>0</v>
      </c>
      <c r="I160" s="195">
        <f t="shared" si="33"/>
        <v>0</v>
      </c>
      <c r="J160" s="196">
        <f t="shared" si="45"/>
        <v>0</v>
      </c>
      <c r="K160" s="195">
        <f t="shared" si="35"/>
        <v>0</v>
      </c>
      <c r="L160" s="195">
        <f t="shared" si="46"/>
        <v>0</v>
      </c>
      <c r="M160" s="119"/>
    </row>
    <row r="161" spans="1:13">
      <c r="A161" s="211">
        <v>309</v>
      </c>
      <c r="B161" s="210" t="s">
        <v>1415</v>
      </c>
      <c r="C161" s="211" t="s">
        <v>1411</v>
      </c>
      <c r="D161" s="201">
        <v>290</v>
      </c>
      <c r="E161" s="201">
        <v>2</v>
      </c>
      <c r="F161" s="192">
        <f t="shared" si="30"/>
        <v>0</v>
      </c>
      <c r="G161" s="202">
        <f t="shared" si="43"/>
        <v>0</v>
      </c>
      <c r="H161" s="194">
        <f t="shared" si="44"/>
        <v>0</v>
      </c>
      <c r="I161" s="195">
        <f t="shared" si="33"/>
        <v>0</v>
      </c>
      <c r="J161" s="196">
        <f t="shared" si="45"/>
        <v>0</v>
      </c>
      <c r="K161" s="195">
        <f t="shared" si="35"/>
        <v>0</v>
      </c>
      <c r="L161" s="195">
        <f t="shared" si="46"/>
        <v>0</v>
      </c>
      <c r="M161" s="119"/>
    </row>
    <row r="162" spans="1:13">
      <c r="A162" s="209">
        <v>310</v>
      </c>
      <c r="B162" s="210" t="s">
        <v>1428</v>
      </c>
      <c r="C162" s="211" t="s">
        <v>1411</v>
      </c>
      <c r="D162" s="201">
        <v>290</v>
      </c>
      <c r="E162" s="201">
        <v>2</v>
      </c>
      <c r="F162" s="192">
        <f t="shared" si="30"/>
        <v>0</v>
      </c>
      <c r="G162" s="202">
        <f t="shared" si="43"/>
        <v>0</v>
      </c>
      <c r="H162" s="194">
        <f t="shared" si="44"/>
        <v>0</v>
      </c>
      <c r="I162" s="195">
        <f t="shared" si="33"/>
        <v>0</v>
      </c>
      <c r="J162" s="196">
        <f t="shared" si="45"/>
        <v>0</v>
      </c>
      <c r="K162" s="195">
        <f t="shared" si="35"/>
        <v>0</v>
      </c>
      <c r="L162" s="195">
        <f t="shared" si="46"/>
        <v>0</v>
      </c>
      <c r="M162" s="119"/>
    </row>
    <row r="163" spans="1:13">
      <c r="A163" s="209">
        <v>311</v>
      </c>
      <c r="B163" s="210" t="s">
        <v>1413</v>
      </c>
      <c r="C163" s="211" t="s">
        <v>1411</v>
      </c>
      <c r="D163" s="212">
        <v>290</v>
      </c>
      <c r="E163" s="201">
        <v>2</v>
      </c>
      <c r="F163" s="192">
        <f t="shared" si="30"/>
        <v>0</v>
      </c>
      <c r="G163" s="202">
        <f t="shared" si="43"/>
        <v>0</v>
      </c>
      <c r="H163" s="194">
        <f t="shared" si="44"/>
        <v>0</v>
      </c>
      <c r="I163" s="195">
        <f t="shared" si="33"/>
        <v>0</v>
      </c>
      <c r="J163" s="196">
        <f t="shared" si="45"/>
        <v>0</v>
      </c>
      <c r="K163" s="195">
        <f t="shared" si="35"/>
        <v>0</v>
      </c>
      <c r="L163" s="195">
        <f t="shared" si="46"/>
        <v>0</v>
      </c>
      <c r="M163" s="119"/>
    </row>
    <row r="164" spans="1:13">
      <c r="A164" s="209">
        <v>312</v>
      </c>
      <c r="B164" s="210" t="s">
        <v>1429</v>
      </c>
      <c r="C164" s="211" t="s">
        <v>1411</v>
      </c>
      <c r="D164" s="212">
        <v>290</v>
      </c>
      <c r="E164" s="201">
        <v>2</v>
      </c>
      <c r="F164" s="192">
        <f t="shared" si="30"/>
        <v>0</v>
      </c>
      <c r="G164" s="202">
        <f t="shared" si="43"/>
        <v>0</v>
      </c>
      <c r="H164" s="194">
        <f t="shared" si="44"/>
        <v>0</v>
      </c>
      <c r="I164" s="195">
        <f t="shared" si="33"/>
        <v>0</v>
      </c>
      <c r="J164" s="196">
        <f t="shared" si="45"/>
        <v>0</v>
      </c>
      <c r="K164" s="195">
        <f t="shared" si="35"/>
        <v>0</v>
      </c>
      <c r="L164" s="195">
        <f t="shared" si="46"/>
        <v>0</v>
      </c>
      <c r="M164" s="119"/>
    </row>
    <row r="165" spans="1:13">
      <c r="A165" s="213" t="s">
        <v>1143</v>
      </c>
      <c r="B165" s="232"/>
      <c r="C165" s="233"/>
      <c r="D165" s="234"/>
      <c r="E165" s="234"/>
      <c r="F165" s="235"/>
      <c r="G165" s="236"/>
      <c r="H165" s="236"/>
      <c r="I165" s="237"/>
      <c r="J165" s="238"/>
      <c r="K165" s="237"/>
      <c r="L165" s="221">
        <f>SUM(L117:L164)</f>
        <v>0</v>
      </c>
      <c r="M165" s="119"/>
    </row>
    <row r="166" spans="1:13" ht="14.25" thickBot="1">
      <c r="D166" s="165"/>
      <c r="F166" s="166"/>
      <c r="G166" s="167"/>
      <c r="I166" s="168"/>
      <c r="J166" s="169"/>
      <c r="K166" s="168"/>
      <c r="M166" s="119"/>
    </row>
    <row r="167" spans="1:13" ht="60.75" customHeight="1">
      <c r="D167" s="165"/>
      <c r="F167" s="166"/>
      <c r="G167" s="167"/>
      <c r="I167" s="168"/>
      <c r="J167" s="434" t="s">
        <v>1366</v>
      </c>
      <c r="K167" s="168"/>
      <c r="M167" s="119"/>
    </row>
    <row r="168" spans="1:13" ht="14.25" thickBot="1">
      <c r="A168" s="239" t="s">
        <v>1315</v>
      </c>
      <c r="B168" s="118"/>
      <c r="C168" s="240"/>
      <c r="D168" s="241"/>
      <c r="E168" s="242"/>
      <c r="F168" s="243"/>
      <c r="G168" s="244"/>
      <c r="H168" s="244"/>
      <c r="I168" s="168"/>
      <c r="J168" s="435">
        <v>0</v>
      </c>
      <c r="K168" s="168"/>
      <c r="M168" s="119"/>
    </row>
    <row r="169" spans="1:13" ht="51.75" thickBot="1">
      <c r="A169" s="424" t="s">
        <v>290</v>
      </c>
      <c r="B169" s="425" t="s">
        <v>291</v>
      </c>
      <c r="C169" s="426" t="s">
        <v>13</v>
      </c>
      <c r="D169" s="426" t="s">
        <v>2013</v>
      </c>
      <c r="E169" s="427" t="s">
        <v>2014</v>
      </c>
      <c r="F169" s="428" t="s">
        <v>2015</v>
      </c>
      <c r="G169" s="429" t="s">
        <v>2016</v>
      </c>
      <c r="H169" s="430" t="s">
        <v>2017</v>
      </c>
      <c r="I169" s="431" t="s">
        <v>2018</v>
      </c>
      <c r="J169" s="432" t="s">
        <v>2019</v>
      </c>
      <c r="K169" s="431" t="s">
        <v>2020</v>
      </c>
      <c r="L169" s="433" t="s">
        <v>2021</v>
      </c>
      <c r="M169" s="119"/>
    </row>
    <row r="170" spans="1:13">
      <c r="A170" s="188">
        <v>107</v>
      </c>
      <c r="B170" s="246" t="s">
        <v>289</v>
      </c>
      <c r="C170" s="190" t="s">
        <v>22</v>
      </c>
      <c r="D170" s="191">
        <v>720</v>
      </c>
      <c r="E170" s="191">
        <v>1</v>
      </c>
      <c r="F170" s="192">
        <f t="shared" ref="F170:F190" si="47">VLOOKUP(E170,$A$17:$E$22,5,FALSE)</f>
        <v>0</v>
      </c>
      <c r="G170" s="194">
        <f t="shared" ref="G170:G180" si="48">IF(E170="NVT"," ",H170/E170)</f>
        <v>0</v>
      </c>
      <c r="H170" s="194">
        <f t="shared" ref="H170:H180" si="49">IF(E170="n.v.t.","",D170*E170*F170)</f>
        <v>0</v>
      </c>
      <c r="I170" s="247">
        <f t="shared" ref="I170:I190" si="50">$C$14</f>
        <v>0</v>
      </c>
      <c r="J170" s="562">
        <f t="shared" ref="J170:J180" si="51">H170*$J$168</f>
        <v>0</v>
      </c>
      <c r="K170" s="247">
        <f t="shared" ref="K170:K190" si="52">J170*$C$15</f>
        <v>0</v>
      </c>
      <c r="L170" s="247">
        <f t="shared" ref="L170:L180" si="53">(H170*I170)+K170</f>
        <v>0</v>
      </c>
      <c r="M170" s="119"/>
    </row>
    <row r="171" spans="1:13">
      <c r="A171" s="197">
        <v>108</v>
      </c>
      <c r="B171" s="248" t="s">
        <v>255</v>
      </c>
      <c r="C171" s="199" t="s">
        <v>22</v>
      </c>
      <c r="D171" s="200">
        <v>720</v>
      </c>
      <c r="E171" s="191">
        <v>1</v>
      </c>
      <c r="F171" s="192">
        <f t="shared" si="47"/>
        <v>0</v>
      </c>
      <c r="G171" s="202">
        <f t="shared" si="48"/>
        <v>0</v>
      </c>
      <c r="H171" s="194">
        <f t="shared" si="49"/>
        <v>0</v>
      </c>
      <c r="I171" s="195">
        <f t="shared" si="50"/>
        <v>0</v>
      </c>
      <c r="J171" s="196">
        <f t="shared" si="51"/>
        <v>0</v>
      </c>
      <c r="K171" s="195">
        <f t="shared" si="52"/>
        <v>0</v>
      </c>
      <c r="L171" s="195">
        <f t="shared" si="53"/>
        <v>0</v>
      </c>
      <c r="M171" s="119"/>
    </row>
    <row r="172" spans="1:13">
      <c r="A172" s="197">
        <v>110</v>
      </c>
      <c r="B172" s="248" t="s">
        <v>103</v>
      </c>
      <c r="C172" s="199" t="s">
        <v>22</v>
      </c>
      <c r="D172" s="231">
        <v>376</v>
      </c>
      <c r="E172" s="191">
        <v>1</v>
      </c>
      <c r="F172" s="192">
        <f t="shared" si="47"/>
        <v>0</v>
      </c>
      <c r="G172" s="202">
        <f t="shared" si="48"/>
        <v>0</v>
      </c>
      <c r="H172" s="194">
        <f t="shared" si="49"/>
        <v>0</v>
      </c>
      <c r="I172" s="195">
        <f t="shared" si="50"/>
        <v>0</v>
      </c>
      <c r="J172" s="196">
        <f t="shared" si="51"/>
        <v>0</v>
      </c>
      <c r="K172" s="195">
        <f t="shared" si="52"/>
        <v>0</v>
      </c>
      <c r="L172" s="195">
        <f t="shared" si="53"/>
        <v>0</v>
      </c>
      <c r="M172" s="119"/>
    </row>
    <row r="173" spans="1:13">
      <c r="A173" s="197">
        <v>112</v>
      </c>
      <c r="B173" s="248" t="s">
        <v>140</v>
      </c>
      <c r="C173" s="199" t="s">
        <v>22</v>
      </c>
      <c r="D173" s="231">
        <v>374</v>
      </c>
      <c r="E173" s="191">
        <v>1</v>
      </c>
      <c r="F173" s="192">
        <f t="shared" si="47"/>
        <v>0</v>
      </c>
      <c r="G173" s="202">
        <f t="shared" si="48"/>
        <v>0</v>
      </c>
      <c r="H173" s="194">
        <f t="shared" si="49"/>
        <v>0</v>
      </c>
      <c r="I173" s="195">
        <f t="shared" si="50"/>
        <v>0</v>
      </c>
      <c r="J173" s="196">
        <f t="shared" si="51"/>
        <v>0</v>
      </c>
      <c r="K173" s="195">
        <f t="shared" si="52"/>
        <v>0</v>
      </c>
      <c r="L173" s="195">
        <f t="shared" si="53"/>
        <v>0</v>
      </c>
      <c r="M173" s="119"/>
    </row>
    <row r="174" spans="1:13">
      <c r="A174" s="197">
        <v>113</v>
      </c>
      <c r="B174" s="248" t="s">
        <v>855</v>
      </c>
      <c r="C174" s="199" t="s">
        <v>22</v>
      </c>
      <c r="D174" s="200">
        <v>376</v>
      </c>
      <c r="E174" s="191">
        <v>1</v>
      </c>
      <c r="F174" s="192">
        <f t="shared" si="47"/>
        <v>0</v>
      </c>
      <c r="G174" s="202">
        <f t="shared" si="48"/>
        <v>0</v>
      </c>
      <c r="H174" s="194">
        <f t="shared" si="49"/>
        <v>0</v>
      </c>
      <c r="I174" s="195">
        <f t="shared" si="50"/>
        <v>0</v>
      </c>
      <c r="J174" s="196">
        <f t="shared" si="51"/>
        <v>0</v>
      </c>
      <c r="K174" s="195">
        <f t="shared" si="52"/>
        <v>0</v>
      </c>
      <c r="L174" s="195">
        <f t="shared" si="53"/>
        <v>0</v>
      </c>
      <c r="M174" s="119"/>
    </row>
    <row r="175" spans="1:13">
      <c r="A175" s="197">
        <v>114</v>
      </c>
      <c r="B175" s="248" t="s">
        <v>21</v>
      </c>
      <c r="C175" s="199" t="s">
        <v>22</v>
      </c>
      <c r="D175" s="231">
        <v>350</v>
      </c>
      <c r="E175" s="191">
        <v>1</v>
      </c>
      <c r="F175" s="192">
        <f t="shared" si="47"/>
        <v>0</v>
      </c>
      <c r="G175" s="202">
        <f t="shared" si="48"/>
        <v>0</v>
      </c>
      <c r="H175" s="194">
        <f t="shared" si="49"/>
        <v>0</v>
      </c>
      <c r="I175" s="195">
        <f t="shared" si="50"/>
        <v>0</v>
      </c>
      <c r="J175" s="196">
        <f t="shared" si="51"/>
        <v>0</v>
      </c>
      <c r="K175" s="195">
        <f t="shared" si="52"/>
        <v>0</v>
      </c>
      <c r="L175" s="195">
        <f t="shared" si="53"/>
        <v>0</v>
      </c>
      <c r="M175" s="119"/>
    </row>
    <row r="176" spans="1:13">
      <c r="A176" s="197">
        <v>115</v>
      </c>
      <c r="B176" s="248" t="s">
        <v>73</v>
      </c>
      <c r="C176" s="199" t="s">
        <v>22</v>
      </c>
      <c r="D176" s="231">
        <v>320</v>
      </c>
      <c r="E176" s="191">
        <v>1</v>
      </c>
      <c r="F176" s="192">
        <f t="shared" si="47"/>
        <v>0</v>
      </c>
      <c r="G176" s="202">
        <f t="shared" si="48"/>
        <v>0</v>
      </c>
      <c r="H176" s="194">
        <f t="shared" si="49"/>
        <v>0</v>
      </c>
      <c r="I176" s="195">
        <f t="shared" si="50"/>
        <v>0</v>
      </c>
      <c r="J176" s="196">
        <f t="shared" si="51"/>
        <v>0</v>
      </c>
      <c r="K176" s="195">
        <f t="shared" si="52"/>
        <v>0</v>
      </c>
      <c r="L176" s="195">
        <f t="shared" si="53"/>
        <v>0</v>
      </c>
      <c r="M176" s="119"/>
    </row>
    <row r="177" spans="1:13">
      <c r="A177" s="203">
        <v>116</v>
      </c>
      <c r="B177" s="249" t="s">
        <v>238</v>
      </c>
      <c r="C177" s="199" t="s">
        <v>22</v>
      </c>
      <c r="D177" s="200">
        <v>382</v>
      </c>
      <c r="E177" s="191">
        <v>1</v>
      </c>
      <c r="F177" s="192">
        <f t="shared" si="47"/>
        <v>0</v>
      </c>
      <c r="G177" s="202">
        <f t="shared" si="48"/>
        <v>0</v>
      </c>
      <c r="H177" s="194">
        <f t="shared" si="49"/>
        <v>0</v>
      </c>
      <c r="I177" s="195">
        <f t="shared" si="50"/>
        <v>0</v>
      </c>
      <c r="J177" s="196">
        <f t="shared" si="51"/>
        <v>0</v>
      </c>
      <c r="K177" s="195">
        <f t="shared" si="52"/>
        <v>0</v>
      </c>
      <c r="L177" s="195">
        <f t="shared" si="53"/>
        <v>0</v>
      </c>
      <c r="M177" s="119"/>
    </row>
    <row r="178" spans="1:13">
      <c r="A178" s="203">
        <v>117</v>
      </c>
      <c r="B178" s="249" t="s">
        <v>212</v>
      </c>
      <c r="C178" s="199" t="s">
        <v>22</v>
      </c>
      <c r="D178" s="200">
        <v>368</v>
      </c>
      <c r="E178" s="191">
        <v>1</v>
      </c>
      <c r="F178" s="192">
        <f t="shared" si="47"/>
        <v>0</v>
      </c>
      <c r="G178" s="202">
        <f t="shared" si="48"/>
        <v>0</v>
      </c>
      <c r="H178" s="194">
        <f t="shared" si="49"/>
        <v>0</v>
      </c>
      <c r="I178" s="195">
        <f t="shared" si="50"/>
        <v>0</v>
      </c>
      <c r="J178" s="196">
        <f t="shared" si="51"/>
        <v>0</v>
      </c>
      <c r="K178" s="195">
        <f t="shared" si="52"/>
        <v>0</v>
      </c>
      <c r="L178" s="195">
        <f t="shared" si="53"/>
        <v>0</v>
      </c>
      <c r="M178" s="119"/>
    </row>
    <row r="179" spans="1:13">
      <c r="A179" s="203">
        <v>118</v>
      </c>
      <c r="B179" s="249" t="s">
        <v>198</v>
      </c>
      <c r="C179" s="199" t="s">
        <v>22</v>
      </c>
      <c r="D179" s="200">
        <v>362</v>
      </c>
      <c r="E179" s="191">
        <v>1</v>
      </c>
      <c r="F179" s="192">
        <f t="shared" si="47"/>
        <v>0</v>
      </c>
      <c r="G179" s="202">
        <f t="shared" si="48"/>
        <v>0</v>
      </c>
      <c r="H179" s="194">
        <f t="shared" si="49"/>
        <v>0</v>
      </c>
      <c r="I179" s="195">
        <f t="shared" si="50"/>
        <v>0</v>
      </c>
      <c r="J179" s="196">
        <f t="shared" si="51"/>
        <v>0</v>
      </c>
      <c r="K179" s="195">
        <f t="shared" si="52"/>
        <v>0</v>
      </c>
      <c r="L179" s="195">
        <f t="shared" si="53"/>
        <v>0</v>
      </c>
      <c r="M179" s="119"/>
    </row>
    <row r="180" spans="1:13">
      <c r="A180" s="197">
        <v>121</v>
      </c>
      <c r="B180" s="248" t="s">
        <v>181</v>
      </c>
      <c r="C180" s="199" t="s">
        <v>22</v>
      </c>
      <c r="D180" s="200">
        <v>368</v>
      </c>
      <c r="E180" s="191">
        <v>1</v>
      </c>
      <c r="F180" s="192">
        <f t="shared" si="47"/>
        <v>0</v>
      </c>
      <c r="G180" s="202">
        <f t="shared" si="48"/>
        <v>0</v>
      </c>
      <c r="H180" s="194">
        <f t="shared" si="49"/>
        <v>0</v>
      </c>
      <c r="I180" s="195">
        <f t="shared" si="50"/>
        <v>0</v>
      </c>
      <c r="J180" s="196">
        <f t="shared" si="51"/>
        <v>0</v>
      </c>
      <c r="K180" s="195">
        <f t="shared" si="52"/>
        <v>0</v>
      </c>
      <c r="L180" s="195">
        <f t="shared" si="53"/>
        <v>0</v>
      </c>
      <c r="M180" s="119"/>
    </row>
    <row r="181" spans="1:13">
      <c r="A181" s="209">
        <v>301</v>
      </c>
      <c r="B181" s="250" t="s">
        <v>1427</v>
      </c>
      <c r="C181" s="211" t="s">
        <v>1411</v>
      </c>
      <c r="D181" s="212">
        <v>290</v>
      </c>
      <c r="E181" s="191">
        <v>1</v>
      </c>
      <c r="F181" s="192">
        <f t="shared" si="47"/>
        <v>0</v>
      </c>
      <c r="G181" s="202">
        <f t="shared" ref="G181:G190" si="54">IF(E181="NVT"," ",H181/E181)</f>
        <v>0</v>
      </c>
      <c r="H181" s="194">
        <f t="shared" ref="H181:H190" si="55">IF(E181="n.v.t.","",D181*E181*F181)</f>
        <v>0</v>
      </c>
      <c r="I181" s="195">
        <f t="shared" si="50"/>
        <v>0</v>
      </c>
      <c r="J181" s="196">
        <f t="shared" ref="J181:J190" si="56">H181*$J$168</f>
        <v>0</v>
      </c>
      <c r="K181" s="195">
        <f t="shared" si="52"/>
        <v>0</v>
      </c>
      <c r="L181" s="195">
        <f t="shared" ref="L181:L190" si="57">(H181*I181)+K181</f>
        <v>0</v>
      </c>
      <c r="M181" s="119"/>
    </row>
    <row r="182" spans="1:13">
      <c r="A182" s="209">
        <v>302</v>
      </c>
      <c r="B182" s="250" t="s">
        <v>1410</v>
      </c>
      <c r="C182" s="211" t="s">
        <v>1411</v>
      </c>
      <c r="D182" s="212">
        <v>290</v>
      </c>
      <c r="E182" s="191">
        <v>1</v>
      </c>
      <c r="F182" s="192">
        <f t="shared" si="47"/>
        <v>0</v>
      </c>
      <c r="G182" s="202">
        <f t="shared" si="54"/>
        <v>0</v>
      </c>
      <c r="H182" s="194">
        <f t="shared" si="55"/>
        <v>0</v>
      </c>
      <c r="I182" s="195">
        <f t="shared" si="50"/>
        <v>0</v>
      </c>
      <c r="J182" s="196">
        <f t="shared" si="56"/>
        <v>0</v>
      </c>
      <c r="K182" s="195">
        <f t="shared" si="52"/>
        <v>0</v>
      </c>
      <c r="L182" s="195">
        <f t="shared" si="57"/>
        <v>0</v>
      </c>
      <c r="M182" s="119"/>
    </row>
    <row r="183" spans="1:13">
      <c r="A183" s="209">
        <v>303</v>
      </c>
      <c r="B183" s="210" t="s">
        <v>133</v>
      </c>
      <c r="C183" s="211" t="s">
        <v>1411</v>
      </c>
      <c r="D183" s="212">
        <v>290</v>
      </c>
      <c r="E183" s="191">
        <v>1</v>
      </c>
      <c r="F183" s="192">
        <f t="shared" si="47"/>
        <v>0</v>
      </c>
      <c r="G183" s="202">
        <f t="shared" si="54"/>
        <v>0</v>
      </c>
      <c r="H183" s="194">
        <f t="shared" si="55"/>
        <v>0</v>
      </c>
      <c r="I183" s="195">
        <f t="shared" si="50"/>
        <v>0</v>
      </c>
      <c r="J183" s="196">
        <f t="shared" si="56"/>
        <v>0</v>
      </c>
      <c r="K183" s="195">
        <f t="shared" si="52"/>
        <v>0</v>
      </c>
      <c r="L183" s="195">
        <f t="shared" si="57"/>
        <v>0</v>
      </c>
      <c r="M183" s="119"/>
    </row>
    <row r="184" spans="1:13">
      <c r="A184" s="209">
        <v>304</v>
      </c>
      <c r="B184" s="210" t="s">
        <v>1414</v>
      </c>
      <c r="C184" s="211" t="s">
        <v>1411</v>
      </c>
      <c r="D184" s="212">
        <v>290</v>
      </c>
      <c r="E184" s="191">
        <v>1</v>
      </c>
      <c r="F184" s="192">
        <f t="shared" si="47"/>
        <v>0</v>
      </c>
      <c r="G184" s="202">
        <f t="shared" si="54"/>
        <v>0</v>
      </c>
      <c r="H184" s="194">
        <f t="shared" si="55"/>
        <v>0</v>
      </c>
      <c r="I184" s="195">
        <f t="shared" si="50"/>
        <v>0</v>
      </c>
      <c r="J184" s="196">
        <f t="shared" si="56"/>
        <v>0</v>
      </c>
      <c r="K184" s="195">
        <f t="shared" si="52"/>
        <v>0</v>
      </c>
      <c r="L184" s="195">
        <f t="shared" si="57"/>
        <v>0</v>
      </c>
      <c r="M184" s="119"/>
    </row>
    <row r="185" spans="1:13">
      <c r="A185" s="209">
        <v>305</v>
      </c>
      <c r="B185" s="210" t="s">
        <v>1417</v>
      </c>
      <c r="C185" s="211" t="s">
        <v>1411</v>
      </c>
      <c r="D185" s="201">
        <v>290</v>
      </c>
      <c r="E185" s="191">
        <v>1</v>
      </c>
      <c r="F185" s="192">
        <f t="shared" si="47"/>
        <v>0</v>
      </c>
      <c r="G185" s="202">
        <f t="shared" si="54"/>
        <v>0</v>
      </c>
      <c r="H185" s="194">
        <f t="shared" si="55"/>
        <v>0</v>
      </c>
      <c r="I185" s="195">
        <f t="shared" si="50"/>
        <v>0</v>
      </c>
      <c r="J185" s="196">
        <f t="shared" si="56"/>
        <v>0</v>
      </c>
      <c r="K185" s="195">
        <f t="shared" si="52"/>
        <v>0</v>
      </c>
      <c r="L185" s="195">
        <f t="shared" si="57"/>
        <v>0</v>
      </c>
      <c r="M185" s="119"/>
    </row>
    <row r="186" spans="1:13">
      <c r="A186" s="209">
        <v>306</v>
      </c>
      <c r="B186" s="210" t="s">
        <v>1418</v>
      </c>
      <c r="C186" s="211" t="s">
        <v>1411</v>
      </c>
      <c r="D186" s="212">
        <v>290</v>
      </c>
      <c r="E186" s="191">
        <v>1</v>
      </c>
      <c r="F186" s="192">
        <f t="shared" si="47"/>
        <v>0</v>
      </c>
      <c r="G186" s="202">
        <f t="shared" si="54"/>
        <v>0</v>
      </c>
      <c r="H186" s="194">
        <f t="shared" si="55"/>
        <v>0</v>
      </c>
      <c r="I186" s="195">
        <f t="shared" si="50"/>
        <v>0</v>
      </c>
      <c r="J186" s="196">
        <f t="shared" si="56"/>
        <v>0</v>
      </c>
      <c r="K186" s="195">
        <f t="shared" si="52"/>
        <v>0</v>
      </c>
      <c r="L186" s="195">
        <f t="shared" si="57"/>
        <v>0</v>
      </c>
      <c r="M186" s="119"/>
    </row>
    <row r="187" spans="1:13">
      <c r="A187" s="211">
        <v>308</v>
      </c>
      <c r="B187" s="210" t="s">
        <v>1419</v>
      </c>
      <c r="C187" s="211" t="s">
        <v>1411</v>
      </c>
      <c r="D187" s="201">
        <v>290</v>
      </c>
      <c r="E187" s="191">
        <v>1</v>
      </c>
      <c r="F187" s="192">
        <f t="shared" si="47"/>
        <v>0</v>
      </c>
      <c r="G187" s="202">
        <f t="shared" si="54"/>
        <v>0</v>
      </c>
      <c r="H187" s="194">
        <f t="shared" si="55"/>
        <v>0</v>
      </c>
      <c r="I187" s="195">
        <f t="shared" si="50"/>
        <v>0</v>
      </c>
      <c r="J187" s="196">
        <f t="shared" si="56"/>
        <v>0</v>
      </c>
      <c r="K187" s="195">
        <f t="shared" si="52"/>
        <v>0</v>
      </c>
      <c r="L187" s="195">
        <f t="shared" si="57"/>
        <v>0</v>
      </c>
      <c r="M187" s="119"/>
    </row>
    <row r="188" spans="1:13">
      <c r="A188" s="211">
        <v>309</v>
      </c>
      <c r="B188" s="210" t="s">
        <v>1415</v>
      </c>
      <c r="C188" s="211" t="s">
        <v>1411</v>
      </c>
      <c r="D188" s="201">
        <v>290</v>
      </c>
      <c r="E188" s="191">
        <v>1</v>
      </c>
      <c r="F188" s="192">
        <f t="shared" si="47"/>
        <v>0</v>
      </c>
      <c r="G188" s="202">
        <f t="shared" si="54"/>
        <v>0</v>
      </c>
      <c r="H188" s="194">
        <f t="shared" si="55"/>
        <v>0</v>
      </c>
      <c r="I188" s="195">
        <f t="shared" si="50"/>
        <v>0</v>
      </c>
      <c r="J188" s="196">
        <f t="shared" si="56"/>
        <v>0</v>
      </c>
      <c r="K188" s="195">
        <f t="shared" si="52"/>
        <v>0</v>
      </c>
      <c r="L188" s="195">
        <f t="shared" si="57"/>
        <v>0</v>
      </c>
      <c r="M188" s="119"/>
    </row>
    <row r="189" spans="1:13">
      <c r="A189" s="209">
        <v>310</v>
      </c>
      <c r="B189" s="210" t="s">
        <v>1428</v>
      </c>
      <c r="C189" s="211" t="s">
        <v>1411</v>
      </c>
      <c r="D189" s="201">
        <v>290</v>
      </c>
      <c r="E189" s="191">
        <v>1</v>
      </c>
      <c r="F189" s="192">
        <f t="shared" si="47"/>
        <v>0</v>
      </c>
      <c r="G189" s="202">
        <f t="shared" si="54"/>
        <v>0</v>
      </c>
      <c r="H189" s="194">
        <f t="shared" si="55"/>
        <v>0</v>
      </c>
      <c r="I189" s="195">
        <f t="shared" si="50"/>
        <v>0</v>
      </c>
      <c r="J189" s="196">
        <f t="shared" si="56"/>
        <v>0</v>
      </c>
      <c r="K189" s="195">
        <f t="shared" si="52"/>
        <v>0</v>
      </c>
      <c r="L189" s="195">
        <f t="shared" si="57"/>
        <v>0</v>
      </c>
      <c r="M189" s="119"/>
    </row>
    <row r="190" spans="1:13">
      <c r="A190" s="209">
        <v>312</v>
      </c>
      <c r="B190" s="210" t="s">
        <v>1429</v>
      </c>
      <c r="C190" s="211" t="s">
        <v>1411</v>
      </c>
      <c r="D190" s="212">
        <v>290</v>
      </c>
      <c r="E190" s="191">
        <v>1</v>
      </c>
      <c r="F190" s="192">
        <f t="shared" si="47"/>
        <v>0</v>
      </c>
      <c r="G190" s="202">
        <f t="shared" si="54"/>
        <v>0</v>
      </c>
      <c r="H190" s="194">
        <f t="shared" si="55"/>
        <v>0</v>
      </c>
      <c r="I190" s="195">
        <f t="shared" si="50"/>
        <v>0</v>
      </c>
      <c r="J190" s="196">
        <f t="shared" si="56"/>
        <v>0</v>
      </c>
      <c r="K190" s="195">
        <f t="shared" si="52"/>
        <v>0</v>
      </c>
      <c r="L190" s="195">
        <f t="shared" si="57"/>
        <v>0</v>
      </c>
      <c r="M190" s="119"/>
    </row>
    <row r="191" spans="1:13">
      <c r="A191" s="213" t="s">
        <v>1143</v>
      </c>
      <c r="B191" s="233"/>
      <c r="C191" s="233"/>
      <c r="D191" s="234"/>
      <c r="E191" s="234"/>
      <c r="F191" s="235"/>
      <c r="G191" s="236"/>
      <c r="H191" s="236"/>
      <c r="I191" s="237"/>
      <c r="J191" s="238"/>
      <c r="K191" s="237"/>
      <c r="L191" s="221">
        <f>SUM(L170:L190)</f>
        <v>0</v>
      </c>
      <c r="M191" s="119"/>
    </row>
    <row r="192" spans="1:13">
      <c r="B192" s="118"/>
      <c r="D192" s="165"/>
      <c r="F192" s="166"/>
      <c r="G192" s="167"/>
      <c r="I192" s="168"/>
      <c r="J192" s="169"/>
      <c r="K192" s="168"/>
      <c r="M192" s="119"/>
    </row>
    <row r="193" spans="1:14">
      <c r="A193" s="213" t="s">
        <v>1089</v>
      </c>
      <c r="B193" s="215"/>
      <c r="C193" s="215"/>
      <c r="D193" s="216"/>
      <c r="E193" s="216"/>
      <c r="F193" s="217"/>
      <c r="G193" s="218"/>
      <c r="H193" s="218"/>
      <c r="I193" s="219"/>
      <c r="J193" s="220"/>
      <c r="K193" s="219"/>
      <c r="L193" s="221">
        <f>SUM(L25:L191)/2</f>
        <v>0</v>
      </c>
      <c r="M193" s="119"/>
      <c r="N193" s="251"/>
    </row>
  </sheetData>
  <phoneticPr fontId="16" type="noConversion"/>
  <printOptions gridLinesSet="0"/>
  <pageMargins left="0.86614173228346458" right="1.2598425196850394" top="0.78740157480314965" bottom="0.78740157480314965" header="0.39370078740157483" footer="0.19685039370078741"/>
  <pageSetup paperSize="9" scale="50" orientation="landscape" r:id="rId1"/>
  <rowBreaks count="4" manualBreakCount="4">
    <brk id="22" max="16383" man="1"/>
    <brk id="75" max="11" man="1"/>
    <brk id="113" max="16383" man="1"/>
    <brk id="166" max="11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F484C-8E0B-4411-A373-9E0ADAB48A2E}">
  <dimension ref="A1:U56"/>
  <sheetViews>
    <sheetView showGridLines="0" zoomScaleNormal="100" workbookViewId="0">
      <pane ySplit="10" topLeftCell="A11" activePane="bottomLeft" state="frozen"/>
      <selection pane="bottomLeft" activeCell="D14" sqref="D14"/>
    </sheetView>
  </sheetViews>
  <sheetFormatPr defaultColWidth="8.7109375" defaultRowHeight="14.25"/>
  <cols>
    <col min="1" max="1" width="8.7109375" style="253"/>
    <col min="2" max="2" width="20.140625" style="253" bestFit="1" customWidth="1"/>
    <col min="3" max="3" width="27.85546875" style="252" bestFit="1" customWidth="1"/>
    <col min="4" max="4" width="18.140625" style="574" bestFit="1" customWidth="1"/>
    <col min="5" max="5" width="7.28515625" style="574" bestFit="1" customWidth="1"/>
    <col min="6" max="6" width="12.85546875" style="574" bestFit="1" customWidth="1"/>
    <col min="7" max="7" width="14.42578125" style="574" bestFit="1" customWidth="1"/>
    <col min="8" max="8" width="8.5703125" style="574" bestFit="1" customWidth="1"/>
    <col min="9" max="9" width="10.28515625" style="252" bestFit="1" customWidth="1"/>
    <col min="10" max="10" width="13.140625" style="252" bestFit="1" customWidth="1"/>
    <col min="11" max="11" width="11.5703125" style="252" customWidth="1"/>
    <col min="12" max="12" width="14.85546875" style="253" bestFit="1" customWidth="1"/>
    <col min="13" max="13" width="17.140625" style="253" customWidth="1"/>
    <col min="14" max="16384" width="8.7109375" style="253"/>
  </cols>
  <sheetData>
    <row r="1" spans="1:21">
      <c r="A1" s="692" t="s">
        <v>2</v>
      </c>
      <c r="B1" s="692"/>
    </row>
    <row r="2" spans="1:21" ht="17.25">
      <c r="A2" s="574"/>
      <c r="F2" s="602"/>
      <c r="G2" s="602"/>
      <c r="H2" s="602"/>
    </row>
    <row r="3" spans="1:21" ht="17.25">
      <c r="A3" s="370" t="s">
        <v>3</v>
      </c>
      <c r="C3" s="440" t="str">
        <f>'1-Inschrijfstaat'!B3</f>
        <v>GVB Infra B.V.</v>
      </c>
      <c r="G3" s="603"/>
      <c r="H3" s="602"/>
    </row>
    <row r="4" spans="1:21" ht="17.25">
      <c r="A4" s="370" t="s">
        <v>8</v>
      </c>
      <c r="C4" s="350" t="str">
        <f ca="1">MID(CELL("bestandsnaam",$C$17),SEARCH("]",CELL("bestandsnaam",$C$17),1)+1,256)</f>
        <v>7-Liftbodems</v>
      </c>
      <c r="G4" s="604"/>
      <c r="H4" s="602"/>
      <c r="I4" s="595"/>
      <c r="J4" s="595"/>
      <c r="K4" s="595"/>
    </row>
    <row r="5" spans="1:21" ht="17.25">
      <c r="A5" s="370" t="s">
        <v>4</v>
      </c>
      <c r="C5" s="440" t="str">
        <f>'1-Inschrijfstaat'!B5</f>
        <v>Diverse</v>
      </c>
      <c r="G5" s="603"/>
      <c r="H5" s="602"/>
      <c r="I5" s="595"/>
      <c r="J5" s="595"/>
      <c r="K5" s="595"/>
    </row>
    <row r="6" spans="1:21" ht="17.25">
      <c r="A6" s="370" t="s">
        <v>9</v>
      </c>
      <c r="C6" s="440" t="str">
        <f>'1-Inschrijfstaat'!B6</f>
        <v>2021-03</v>
      </c>
      <c r="G6" s="603"/>
      <c r="H6" s="600"/>
      <c r="I6" s="595"/>
      <c r="J6" s="595"/>
      <c r="K6" s="595"/>
    </row>
    <row r="7" spans="1:21" ht="17.25">
      <c r="A7" s="370" t="s">
        <v>6</v>
      </c>
      <c r="C7" s="440" t="str">
        <f>'1-Inschrijfstaat'!B7</f>
        <v>Naam dienstverlener</v>
      </c>
      <c r="G7" s="603"/>
      <c r="H7" s="600"/>
      <c r="I7" s="595"/>
      <c r="J7" s="595"/>
      <c r="K7" s="602"/>
    </row>
    <row r="8" spans="1:21" ht="17.25">
      <c r="A8" s="370" t="s">
        <v>7</v>
      </c>
      <c r="C8" s="15" t="str">
        <f>'1-Inschrijfstaat'!B8</f>
        <v>1 juni 2021</v>
      </c>
      <c r="G8" s="601"/>
      <c r="H8" s="600"/>
      <c r="I8" s="595"/>
      <c r="J8" s="595"/>
      <c r="K8" s="602"/>
    </row>
    <row r="9" spans="1:21" ht="17.25">
      <c r="A9" s="370" t="s">
        <v>0</v>
      </c>
      <c r="C9" s="16" t="str">
        <f>'1-Inschrijfstaat'!B9</f>
        <v>2 Technische schoonmaak</v>
      </c>
      <c r="G9" s="601"/>
      <c r="H9" s="600"/>
      <c r="I9" s="595"/>
      <c r="J9" s="595"/>
      <c r="K9" s="602"/>
    </row>
    <row r="10" spans="1:21" ht="17.25">
      <c r="A10" s="370" t="s">
        <v>1087</v>
      </c>
      <c r="B10" s="92"/>
      <c r="C10" s="440" t="s">
        <v>2068</v>
      </c>
      <c r="G10" s="601"/>
      <c r="H10" s="600"/>
      <c r="I10" s="595"/>
      <c r="J10" s="595"/>
      <c r="K10" s="602"/>
    </row>
    <row r="11" spans="1:21" ht="17.25">
      <c r="A11" s="597"/>
      <c r="E11" s="598"/>
      <c r="F11" s="598"/>
      <c r="G11" s="598"/>
      <c r="H11" s="596"/>
      <c r="I11" s="595"/>
      <c r="J11" s="595"/>
      <c r="K11" s="602"/>
    </row>
    <row r="12" spans="1:21" ht="15.6" customHeight="1">
      <c r="A12" s="690" t="s">
        <v>1711</v>
      </c>
      <c r="B12" s="690"/>
      <c r="C12" s="368" t="s">
        <v>2061</v>
      </c>
      <c r="D12" s="368" t="s">
        <v>1708</v>
      </c>
      <c r="G12" s="601"/>
      <c r="H12" s="600"/>
      <c r="I12" s="595"/>
      <c r="J12" s="595"/>
      <c r="K12" s="253"/>
    </row>
    <row r="13" spans="1:21" ht="17.25">
      <c r="A13" s="691" t="s">
        <v>1709</v>
      </c>
      <c r="B13" s="691"/>
      <c r="C13" s="605" t="s">
        <v>2062</v>
      </c>
      <c r="D13" s="599">
        <v>0</v>
      </c>
      <c r="F13" s="598"/>
      <c r="G13" s="598"/>
      <c r="H13" s="596"/>
      <c r="I13" s="595"/>
      <c r="J13" s="595"/>
      <c r="K13" s="253"/>
    </row>
    <row r="14" spans="1:21" ht="17.25">
      <c r="C14" s="597"/>
      <c r="D14" s="596"/>
      <c r="E14" s="596"/>
      <c r="F14" s="596"/>
      <c r="G14" s="596"/>
      <c r="H14" s="596"/>
      <c r="I14" s="595"/>
      <c r="J14" s="595"/>
    </row>
    <row r="15" spans="1:21" s="32" customFormat="1" ht="25.5">
      <c r="A15" s="594" t="s">
        <v>290</v>
      </c>
      <c r="B15" s="594" t="s">
        <v>291</v>
      </c>
      <c r="C15" s="367" t="s">
        <v>13</v>
      </c>
      <c r="D15" s="367" t="s">
        <v>1115</v>
      </c>
      <c r="E15" s="368" t="s">
        <v>2060</v>
      </c>
      <c r="F15" s="368" t="s">
        <v>2059</v>
      </c>
      <c r="G15" s="368" t="s">
        <v>2058</v>
      </c>
      <c r="H15" s="368" t="s">
        <v>2057</v>
      </c>
      <c r="I15" s="368" t="s">
        <v>2011</v>
      </c>
      <c r="J15" s="367" t="s">
        <v>2012</v>
      </c>
      <c r="M15" s="253"/>
      <c r="N15" s="593"/>
      <c r="O15" s="593"/>
      <c r="P15" s="593"/>
      <c r="Q15" s="593"/>
      <c r="R15" s="593"/>
      <c r="S15" s="593"/>
      <c r="T15" s="593"/>
      <c r="U15" s="593"/>
    </row>
    <row r="16" spans="1:21">
      <c r="A16" s="23">
        <v>203</v>
      </c>
      <c r="B16" s="249" t="s">
        <v>1422</v>
      </c>
      <c r="C16" s="592" t="s">
        <v>1420</v>
      </c>
      <c r="D16" s="591" t="s">
        <v>2056</v>
      </c>
      <c r="E16" s="590">
        <v>1</v>
      </c>
      <c r="F16" s="590">
        <v>12</v>
      </c>
      <c r="G16" s="589">
        <v>0</v>
      </c>
      <c r="H16" s="588">
        <f t="shared" ref="H16:H55" si="0">G16*F16*E16</f>
        <v>0</v>
      </c>
      <c r="I16" s="262">
        <f t="shared" ref="I16:I55" si="1">$D$13</f>
        <v>0</v>
      </c>
      <c r="J16" s="262">
        <f t="shared" ref="J16:J55" si="2">I16*H16</f>
        <v>0</v>
      </c>
    </row>
    <row r="17" spans="1:11">
      <c r="A17" s="23">
        <v>204</v>
      </c>
      <c r="B17" s="249" t="s">
        <v>1423</v>
      </c>
      <c r="C17" s="592" t="s">
        <v>1420</v>
      </c>
      <c r="D17" s="591" t="s">
        <v>2056</v>
      </c>
      <c r="E17" s="590">
        <v>1</v>
      </c>
      <c r="F17" s="590">
        <v>12</v>
      </c>
      <c r="G17" s="589">
        <v>0</v>
      </c>
      <c r="H17" s="588">
        <f t="shared" si="0"/>
        <v>0</v>
      </c>
      <c r="I17" s="262">
        <f t="shared" si="1"/>
        <v>0</v>
      </c>
      <c r="J17" s="262">
        <f t="shared" si="2"/>
        <v>0</v>
      </c>
    </row>
    <row r="18" spans="1:11">
      <c r="A18" s="23">
        <v>205</v>
      </c>
      <c r="B18" s="249" t="s">
        <v>1424</v>
      </c>
      <c r="C18" s="592" t="s">
        <v>1420</v>
      </c>
      <c r="D18" s="591" t="s">
        <v>2056</v>
      </c>
      <c r="E18" s="590">
        <v>1</v>
      </c>
      <c r="F18" s="590">
        <v>12</v>
      </c>
      <c r="G18" s="589">
        <v>0</v>
      </c>
      <c r="H18" s="588">
        <f t="shared" si="0"/>
        <v>0</v>
      </c>
      <c r="I18" s="262">
        <f t="shared" si="1"/>
        <v>0</v>
      </c>
      <c r="J18" s="262">
        <f t="shared" si="2"/>
        <v>0</v>
      </c>
    </row>
    <row r="19" spans="1:11">
      <c r="A19" s="23">
        <v>206</v>
      </c>
      <c r="B19" s="249" t="s">
        <v>1425</v>
      </c>
      <c r="C19" s="592" t="s">
        <v>1420</v>
      </c>
      <c r="D19" s="591" t="s">
        <v>2056</v>
      </c>
      <c r="E19" s="590">
        <v>1</v>
      </c>
      <c r="F19" s="590">
        <v>12</v>
      </c>
      <c r="G19" s="589">
        <v>0</v>
      </c>
      <c r="H19" s="588">
        <f t="shared" si="0"/>
        <v>0</v>
      </c>
      <c r="I19" s="262">
        <f t="shared" si="1"/>
        <v>0</v>
      </c>
      <c r="J19" s="262">
        <f t="shared" si="2"/>
        <v>0</v>
      </c>
    </row>
    <row r="20" spans="1:11">
      <c r="A20" s="23">
        <v>207</v>
      </c>
      <c r="B20" s="249" t="s">
        <v>1426</v>
      </c>
      <c r="C20" s="592" t="s">
        <v>1420</v>
      </c>
      <c r="D20" s="591" t="s">
        <v>2056</v>
      </c>
      <c r="E20" s="590">
        <v>1</v>
      </c>
      <c r="F20" s="590">
        <v>12</v>
      </c>
      <c r="G20" s="589">
        <v>0</v>
      </c>
      <c r="H20" s="588">
        <f t="shared" si="0"/>
        <v>0</v>
      </c>
      <c r="I20" s="262">
        <f t="shared" si="1"/>
        <v>0</v>
      </c>
      <c r="J20" s="262">
        <f t="shared" si="2"/>
        <v>0</v>
      </c>
    </row>
    <row r="21" spans="1:11">
      <c r="A21" s="23">
        <v>209</v>
      </c>
      <c r="B21" s="249" t="s">
        <v>1690</v>
      </c>
      <c r="C21" s="592" t="s">
        <v>1420</v>
      </c>
      <c r="D21" s="591" t="s">
        <v>2056</v>
      </c>
      <c r="E21" s="590">
        <v>1</v>
      </c>
      <c r="F21" s="590">
        <v>12</v>
      </c>
      <c r="G21" s="589">
        <v>0</v>
      </c>
      <c r="H21" s="588">
        <f t="shared" si="0"/>
        <v>0</v>
      </c>
      <c r="I21" s="262">
        <f t="shared" si="1"/>
        <v>0</v>
      </c>
      <c r="J21" s="262">
        <f t="shared" si="2"/>
        <v>0</v>
      </c>
    </row>
    <row r="22" spans="1:11">
      <c r="A22" s="23">
        <v>210</v>
      </c>
      <c r="B22" s="249" t="s">
        <v>1691</v>
      </c>
      <c r="C22" s="592" t="s">
        <v>1420</v>
      </c>
      <c r="D22" s="591" t="s">
        <v>2056</v>
      </c>
      <c r="E22" s="590">
        <v>1</v>
      </c>
      <c r="F22" s="590">
        <v>12</v>
      </c>
      <c r="G22" s="589">
        <v>0</v>
      </c>
      <c r="H22" s="588">
        <f t="shared" si="0"/>
        <v>0</v>
      </c>
      <c r="I22" s="262">
        <f t="shared" si="1"/>
        <v>0</v>
      </c>
      <c r="J22" s="262">
        <f t="shared" si="2"/>
        <v>0</v>
      </c>
    </row>
    <row r="23" spans="1:11">
      <c r="A23" s="23">
        <v>211</v>
      </c>
      <c r="B23" s="249" t="s">
        <v>1692</v>
      </c>
      <c r="C23" s="592" t="s">
        <v>1420</v>
      </c>
      <c r="D23" s="591" t="s">
        <v>2056</v>
      </c>
      <c r="E23" s="590">
        <v>1</v>
      </c>
      <c r="F23" s="590">
        <v>12</v>
      </c>
      <c r="G23" s="589">
        <v>0</v>
      </c>
      <c r="H23" s="588">
        <f t="shared" si="0"/>
        <v>0</v>
      </c>
      <c r="I23" s="262">
        <f t="shared" si="1"/>
        <v>0</v>
      </c>
      <c r="J23" s="262">
        <f t="shared" si="2"/>
        <v>0</v>
      </c>
    </row>
    <row r="24" spans="1:11" ht="13.5">
      <c r="A24" s="23">
        <v>1001</v>
      </c>
      <c r="B24" s="249" t="s">
        <v>1040</v>
      </c>
      <c r="C24" s="592" t="s">
        <v>1044</v>
      </c>
      <c r="D24" s="591" t="s">
        <v>2056</v>
      </c>
      <c r="E24" s="590">
        <v>1</v>
      </c>
      <c r="F24" s="590">
        <v>12</v>
      </c>
      <c r="G24" s="589">
        <v>0</v>
      </c>
      <c r="H24" s="588">
        <f t="shared" si="0"/>
        <v>0</v>
      </c>
      <c r="I24" s="262">
        <f t="shared" si="1"/>
        <v>0</v>
      </c>
      <c r="J24" s="262">
        <f t="shared" si="2"/>
        <v>0</v>
      </c>
      <c r="K24" s="253"/>
    </row>
    <row r="25" spans="1:11" ht="13.5">
      <c r="A25" s="23">
        <v>1002</v>
      </c>
      <c r="B25" s="249" t="s">
        <v>1071</v>
      </c>
      <c r="C25" s="592" t="s">
        <v>1044</v>
      </c>
      <c r="D25" s="591" t="s">
        <v>2056</v>
      </c>
      <c r="E25" s="590">
        <v>2</v>
      </c>
      <c r="F25" s="590">
        <v>12</v>
      </c>
      <c r="G25" s="589">
        <v>0</v>
      </c>
      <c r="H25" s="588">
        <f t="shared" si="0"/>
        <v>0</v>
      </c>
      <c r="I25" s="262">
        <f t="shared" si="1"/>
        <v>0</v>
      </c>
      <c r="J25" s="262">
        <f t="shared" si="2"/>
        <v>0</v>
      </c>
      <c r="K25" s="253"/>
    </row>
    <row r="26" spans="1:11" ht="13.5">
      <c r="A26" s="23">
        <v>107</v>
      </c>
      <c r="B26" s="249" t="s">
        <v>289</v>
      </c>
      <c r="C26" s="592" t="s">
        <v>22</v>
      </c>
      <c r="D26" s="591" t="s">
        <v>2056</v>
      </c>
      <c r="E26" s="590">
        <v>2</v>
      </c>
      <c r="F26" s="590">
        <v>12</v>
      </c>
      <c r="G26" s="589">
        <v>0</v>
      </c>
      <c r="H26" s="588">
        <f t="shared" si="0"/>
        <v>0</v>
      </c>
      <c r="I26" s="262">
        <f t="shared" si="1"/>
        <v>0</v>
      </c>
      <c r="J26" s="262">
        <f t="shared" si="2"/>
        <v>0</v>
      </c>
      <c r="K26" s="253"/>
    </row>
    <row r="27" spans="1:11" ht="13.5">
      <c r="A27" s="23">
        <v>108</v>
      </c>
      <c r="B27" s="249" t="s">
        <v>255</v>
      </c>
      <c r="C27" s="592" t="s">
        <v>22</v>
      </c>
      <c r="D27" s="591" t="s">
        <v>2056</v>
      </c>
      <c r="E27" s="590">
        <v>3</v>
      </c>
      <c r="F27" s="590">
        <v>12</v>
      </c>
      <c r="G27" s="589">
        <v>0</v>
      </c>
      <c r="H27" s="588">
        <f t="shared" si="0"/>
        <v>0</v>
      </c>
      <c r="I27" s="262">
        <f t="shared" si="1"/>
        <v>0</v>
      </c>
      <c r="J27" s="262">
        <f t="shared" si="2"/>
        <v>0</v>
      </c>
      <c r="K27" s="253"/>
    </row>
    <row r="28" spans="1:11" ht="13.5">
      <c r="A28" s="23">
        <v>110</v>
      </c>
      <c r="B28" s="249" t="s">
        <v>103</v>
      </c>
      <c r="C28" s="592" t="s">
        <v>22</v>
      </c>
      <c r="D28" s="591" t="s">
        <v>2056</v>
      </c>
      <c r="E28" s="590">
        <v>2</v>
      </c>
      <c r="F28" s="590">
        <v>12</v>
      </c>
      <c r="G28" s="589">
        <v>0</v>
      </c>
      <c r="H28" s="588">
        <f t="shared" si="0"/>
        <v>0</v>
      </c>
      <c r="I28" s="262">
        <f t="shared" si="1"/>
        <v>0</v>
      </c>
      <c r="J28" s="262">
        <f t="shared" si="2"/>
        <v>0</v>
      </c>
      <c r="K28" s="253"/>
    </row>
    <row r="29" spans="1:11" ht="13.5">
      <c r="A29" s="23">
        <v>111</v>
      </c>
      <c r="B29" s="249" t="s">
        <v>854</v>
      </c>
      <c r="C29" s="592" t="s">
        <v>22</v>
      </c>
      <c r="D29" s="591" t="s">
        <v>2056</v>
      </c>
      <c r="E29" s="590">
        <v>1</v>
      </c>
      <c r="F29" s="590">
        <v>12</v>
      </c>
      <c r="G29" s="589">
        <v>0</v>
      </c>
      <c r="H29" s="588">
        <f t="shared" si="0"/>
        <v>0</v>
      </c>
      <c r="I29" s="262">
        <f t="shared" si="1"/>
        <v>0</v>
      </c>
      <c r="J29" s="262">
        <f t="shared" si="2"/>
        <v>0</v>
      </c>
      <c r="K29" s="253"/>
    </row>
    <row r="30" spans="1:11" ht="13.5">
      <c r="A30" s="23">
        <v>112</v>
      </c>
      <c r="B30" s="249" t="s">
        <v>140</v>
      </c>
      <c r="C30" s="592" t="s">
        <v>22</v>
      </c>
      <c r="D30" s="591" t="s">
        <v>2056</v>
      </c>
      <c r="E30" s="590">
        <v>2</v>
      </c>
      <c r="F30" s="590">
        <v>12</v>
      </c>
      <c r="G30" s="589">
        <v>0</v>
      </c>
      <c r="H30" s="588">
        <f t="shared" si="0"/>
        <v>0</v>
      </c>
      <c r="I30" s="262">
        <f t="shared" si="1"/>
        <v>0</v>
      </c>
      <c r="J30" s="262">
        <f t="shared" si="2"/>
        <v>0</v>
      </c>
      <c r="K30" s="253"/>
    </row>
    <row r="31" spans="1:11" ht="13.5">
      <c r="A31" s="23">
        <v>113</v>
      </c>
      <c r="B31" s="249" t="s">
        <v>855</v>
      </c>
      <c r="C31" s="592" t="s">
        <v>22</v>
      </c>
      <c r="D31" s="591" t="s">
        <v>2056</v>
      </c>
      <c r="E31" s="590">
        <v>2</v>
      </c>
      <c r="F31" s="590">
        <v>12</v>
      </c>
      <c r="G31" s="589">
        <v>0</v>
      </c>
      <c r="H31" s="588">
        <f t="shared" si="0"/>
        <v>0</v>
      </c>
      <c r="I31" s="262">
        <f t="shared" si="1"/>
        <v>0</v>
      </c>
      <c r="J31" s="262">
        <f t="shared" si="2"/>
        <v>0</v>
      </c>
      <c r="K31" s="253"/>
    </row>
    <row r="32" spans="1:11" ht="13.5">
      <c r="A32" s="23">
        <v>114</v>
      </c>
      <c r="B32" s="249" t="s">
        <v>21</v>
      </c>
      <c r="C32" s="592" t="s">
        <v>22</v>
      </c>
      <c r="D32" s="591" t="s">
        <v>2056</v>
      </c>
      <c r="E32" s="590">
        <v>2</v>
      </c>
      <c r="F32" s="590">
        <v>12</v>
      </c>
      <c r="G32" s="589">
        <v>0</v>
      </c>
      <c r="H32" s="588">
        <f t="shared" si="0"/>
        <v>0</v>
      </c>
      <c r="I32" s="262">
        <f t="shared" si="1"/>
        <v>0</v>
      </c>
      <c r="J32" s="262">
        <f t="shared" si="2"/>
        <v>0</v>
      </c>
      <c r="K32" s="253"/>
    </row>
    <row r="33" spans="1:11" ht="13.5">
      <c r="A33" s="23">
        <v>115</v>
      </c>
      <c r="B33" s="249" t="s">
        <v>73</v>
      </c>
      <c r="C33" s="592" t="s">
        <v>22</v>
      </c>
      <c r="D33" s="591" t="s">
        <v>2056</v>
      </c>
      <c r="E33" s="590">
        <v>2</v>
      </c>
      <c r="F33" s="590">
        <v>12</v>
      </c>
      <c r="G33" s="589">
        <v>0</v>
      </c>
      <c r="H33" s="588">
        <f t="shared" si="0"/>
        <v>0</v>
      </c>
      <c r="I33" s="262">
        <f t="shared" si="1"/>
        <v>0</v>
      </c>
      <c r="J33" s="262">
        <f t="shared" si="2"/>
        <v>0</v>
      </c>
      <c r="K33" s="253"/>
    </row>
    <row r="34" spans="1:11" ht="13.5">
      <c r="A34" s="23">
        <v>116</v>
      </c>
      <c r="B34" s="249" t="s">
        <v>238</v>
      </c>
      <c r="C34" s="592" t="s">
        <v>22</v>
      </c>
      <c r="D34" s="591" t="s">
        <v>2056</v>
      </c>
      <c r="E34" s="590">
        <v>1</v>
      </c>
      <c r="F34" s="590">
        <v>12</v>
      </c>
      <c r="G34" s="589">
        <v>0</v>
      </c>
      <c r="H34" s="588">
        <f t="shared" si="0"/>
        <v>0</v>
      </c>
      <c r="I34" s="262">
        <f t="shared" si="1"/>
        <v>0</v>
      </c>
      <c r="J34" s="262">
        <f t="shared" si="2"/>
        <v>0</v>
      </c>
      <c r="K34" s="253"/>
    </row>
    <row r="35" spans="1:11" ht="13.5">
      <c r="A35" s="23">
        <v>117</v>
      </c>
      <c r="B35" s="249" t="s">
        <v>297</v>
      </c>
      <c r="C35" s="592" t="s">
        <v>22</v>
      </c>
      <c r="D35" s="591" t="s">
        <v>2056</v>
      </c>
      <c r="E35" s="590">
        <v>2</v>
      </c>
      <c r="F35" s="590">
        <v>12</v>
      </c>
      <c r="G35" s="589">
        <v>0</v>
      </c>
      <c r="H35" s="588">
        <f t="shared" si="0"/>
        <v>0</v>
      </c>
      <c r="I35" s="262">
        <f t="shared" si="1"/>
        <v>0</v>
      </c>
      <c r="J35" s="262">
        <f t="shared" si="2"/>
        <v>0</v>
      </c>
      <c r="K35" s="253"/>
    </row>
    <row r="36" spans="1:11" ht="13.5">
      <c r="A36" s="23">
        <v>118</v>
      </c>
      <c r="B36" s="249" t="s">
        <v>198</v>
      </c>
      <c r="C36" s="592" t="s">
        <v>22</v>
      </c>
      <c r="D36" s="591" t="s">
        <v>2056</v>
      </c>
      <c r="E36" s="590">
        <v>1</v>
      </c>
      <c r="F36" s="590">
        <v>12</v>
      </c>
      <c r="G36" s="589">
        <v>0</v>
      </c>
      <c r="H36" s="588">
        <f t="shared" si="0"/>
        <v>0</v>
      </c>
      <c r="I36" s="262">
        <f t="shared" si="1"/>
        <v>0</v>
      </c>
      <c r="J36" s="262">
        <f t="shared" si="2"/>
        <v>0</v>
      </c>
      <c r="K36" s="253"/>
    </row>
    <row r="37" spans="1:11" ht="13.5">
      <c r="A37" s="23">
        <v>119</v>
      </c>
      <c r="B37" s="249" t="s">
        <v>311</v>
      </c>
      <c r="C37" s="592" t="s">
        <v>22</v>
      </c>
      <c r="D37" s="591" t="s">
        <v>2056</v>
      </c>
      <c r="E37" s="590">
        <v>1</v>
      </c>
      <c r="F37" s="590">
        <v>12</v>
      </c>
      <c r="G37" s="589">
        <v>0</v>
      </c>
      <c r="H37" s="588">
        <f t="shared" si="0"/>
        <v>0</v>
      </c>
      <c r="I37" s="262">
        <f t="shared" si="1"/>
        <v>0</v>
      </c>
      <c r="J37" s="262">
        <f t="shared" si="2"/>
        <v>0</v>
      </c>
      <c r="K37" s="253"/>
    </row>
    <row r="38" spans="1:11" ht="13.5">
      <c r="A38" s="23">
        <v>120</v>
      </c>
      <c r="B38" s="249" t="s">
        <v>301</v>
      </c>
      <c r="C38" s="592" t="s">
        <v>22</v>
      </c>
      <c r="D38" s="591" t="s">
        <v>2056</v>
      </c>
      <c r="E38" s="590">
        <v>1</v>
      </c>
      <c r="F38" s="590">
        <v>12</v>
      </c>
      <c r="G38" s="589">
        <v>0</v>
      </c>
      <c r="H38" s="588">
        <f t="shared" si="0"/>
        <v>0</v>
      </c>
      <c r="I38" s="262">
        <f t="shared" si="1"/>
        <v>0</v>
      </c>
      <c r="J38" s="262">
        <f t="shared" si="2"/>
        <v>0</v>
      </c>
      <c r="K38" s="253"/>
    </row>
    <row r="39" spans="1:11" ht="13.5">
      <c r="A39" s="23">
        <v>121</v>
      </c>
      <c r="B39" s="249" t="s">
        <v>181</v>
      </c>
      <c r="C39" s="592" t="s">
        <v>22</v>
      </c>
      <c r="D39" s="591" t="s">
        <v>2056</v>
      </c>
      <c r="E39" s="590">
        <v>1</v>
      </c>
      <c r="F39" s="590">
        <v>12</v>
      </c>
      <c r="G39" s="589">
        <v>0</v>
      </c>
      <c r="H39" s="588">
        <f t="shared" si="0"/>
        <v>0</v>
      </c>
      <c r="I39" s="262">
        <f t="shared" si="1"/>
        <v>0</v>
      </c>
      <c r="J39" s="262">
        <f t="shared" si="2"/>
        <v>0</v>
      </c>
      <c r="K39" s="253"/>
    </row>
    <row r="40" spans="1:11" ht="13.5">
      <c r="A40" s="23">
        <v>102</v>
      </c>
      <c r="B40" s="249" t="s">
        <v>850</v>
      </c>
      <c r="C40" s="592" t="s">
        <v>180</v>
      </c>
      <c r="D40" s="591" t="s">
        <v>2056</v>
      </c>
      <c r="E40" s="590">
        <v>4</v>
      </c>
      <c r="F40" s="590">
        <v>12</v>
      </c>
      <c r="G40" s="589">
        <v>0</v>
      </c>
      <c r="H40" s="588">
        <f t="shared" si="0"/>
        <v>0</v>
      </c>
      <c r="I40" s="262">
        <f t="shared" si="1"/>
        <v>0</v>
      </c>
      <c r="J40" s="262">
        <f t="shared" si="2"/>
        <v>0</v>
      </c>
      <c r="K40" s="253"/>
    </row>
    <row r="41" spans="1:11" ht="13.5">
      <c r="A41" s="23">
        <v>103</v>
      </c>
      <c r="B41" s="249" t="s">
        <v>718</v>
      </c>
      <c r="C41" s="592" t="s">
        <v>180</v>
      </c>
      <c r="D41" s="591" t="s">
        <v>2056</v>
      </c>
      <c r="E41" s="590">
        <v>2</v>
      </c>
      <c r="F41" s="590">
        <v>12</v>
      </c>
      <c r="G41" s="589">
        <v>0</v>
      </c>
      <c r="H41" s="588">
        <f t="shared" si="0"/>
        <v>0</v>
      </c>
      <c r="I41" s="262">
        <f t="shared" si="1"/>
        <v>0</v>
      </c>
      <c r="J41" s="262">
        <f t="shared" si="2"/>
        <v>0</v>
      </c>
      <c r="K41" s="253"/>
    </row>
    <row r="42" spans="1:11" ht="13.5">
      <c r="A42" s="23">
        <v>104</v>
      </c>
      <c r="B42" s="249" t="s">
        <v>165</v>
      </c>
      <c r="C42" s="592" t="s">
        <v>180</v>
      </c>
      <c r="D42" s="591" t="s">
        <v>2056</v>
      </c>
      <c r="E42" s="590">
        <v>3</v>
      </c>
      <c r="F42" s="590">
        <v>12</v>
      </c>
      <c r="G42" s="589">
        <v>0</v>
      </c>
      <c r="H42" s="588">
        <f t="shared" si="0"/>
        <v>0</v>
      </c>
      <c r="I42" s="262">
        <f t="shared" si="1"/>
        <v>0</v>
      </c>
      <c r="J42" s="262">
        <f t="shared" si="2"/>
        <v>0</v>
      </c>
      <c r="K42" s="253"/>
    </row>
    <row r="43" spans="1:11" ht="13.5">
      <c r="A43" s="23">
        <v>105</v>
      </c>
      <c r="B43" s="249" t="s">
        <v>851</v>
      </c>
      <c r="C43" s="592" t="s">
        <v>180</v>
      </c>
      <c r="D43" s="591" t="s">
        <v>2056</v>
      </c>
      <c r="E43" s="590">
        <v>3</v>
      </c>
      <c r="F43" s="590">
        <v>12</v>
      </c>
      <c r="G43" s="589">
        <v>0</v>
      </c>
      <c r="H43" s="588">
        <f t="shared" si="0"/>
        <v>0</v>
      </c>
      <c r="I43" s="262">
        <f t="shared" si="1"/>
        <v>0</v>
      </c>
      <c r="J43" s="262">
        <f t="shared" si="2"/>
        <v>0</v>
      </c>
      <c r="K43" s="253"/>
    </row>
    <row r="44" spans="1:11" ht="13.5">
      <c r="A44" s="23">
        <v>301</v>
      </c>
      <c r="B44" s="249" t="s">
        <v>1427</v>
      </c>
      <c r="C44" s="592" t="s">
        <v>1411</v>
      </c>
      <c r="D44" s="591" t="s">
        <v>2056</v>
      </c>
      <c r="E44" s="590">
        <v>2</v>
      </c>
      <c r="F44" s="590">
        <v>12</v>
      </c>
      <c r="G44" s="589">
        <v>0</v>
      </c>
      <c r="H44" s="588">
        <f t="shared" si="0"/>
        <v>0</v>
      </c>
      <c r="I44" s="262">
        <f t="shared" si="1"/>
        <v>0</v>
      </c>
      <c r="J44" s="262">
        <f t="shared" si="2"/>
        <v>0</v>
      </c>
      <c r="K44" s="253"/>
    </row>
    <row r="45" spans="1:11" ht="13.5">
      <c r="A45" s="23">
        <v>302</v>
      </c>
      <c r="B45" s="249" t="s">
        <v>1410</v>
      </c>
      <c r="C45" s="592" t="s">
        <v>1411</v>
      </c>
      <c r="D45" s="591" t="s">
        <v>2056</v>
      </c>
      <c r="E45" s="590">
        <v>1</v>
      </c>
      <c r="F45" s="590">
        <v>12</v>
      </c>
      <c r="G45" s="589">
        <v>0</v>
      </c>
      <c r="H45" s="588">
        <f t="shared" si="0"/>
        <v>0</v>
      </c>
      <c r="I45" s="262">
        <f t="shared" si="1"/>
        <v>0</v>
      </c>
      <c r="J45" s="262">
        <f t="shared" si="2"/>
        <v>0</v>
      </c>
      <c r="K45" s="253"/>
    </row>
    <row r="46" spans="1:11" ht="13.5">
      <c r="A46" s="23">
        <v>303</v>
      </c>
      <c r="B46" s="249" t="s">
        <v>133</v>
      </c>
      <c r="C46" s="592" t="s">
        <v>1411</v>
      </c>
      <c r="D46" s="591" t="s">
        <v>2056</v>
      </c>
      <c r="E46" s="590">
        <v>3</v>
      </c>
      <c r="F46" s="590">
        <v>12</v>
      </c>
      <c r="G46" s="589">
        <v>0</v>
      </c>
      <c r="H46" s="588">
        <f t="shared" si="0"/>
        <v>0</v>
      </c>
      <c r="I46" s="262">
        <f t="shared" si="1"/>
        <v>0</v>
      </c>
      <c r="J46" s="262">
        <f t="shared" si="2"/>
        <v>0</v>
      </c>
      <c r="K46" s="253"/>
    </row>
    <row r="47" spans="1:11" ht="13.5">
      <c r="A47" s="23">
        <v>304</v>
      </c>
      <c r="B47" s="249" t="s">
        <v>1414</v>
      </c>
      <c r="C47" s="592" t="s">
        <v>1411</v>
      </c>
      <c r="D47" s="591" t="s">
        <v>2056</v>
      </c>
      <c r="E47" s="590">
        <v>1</v>
      </c>
      <c r="F47" s="590">
        <v>12</v>
      </c>
      <c r="G47" s="589">
        <v>0</v>
      </c>
      <c r="H47" s="588">
        <f t="shared" si="0"/>
        <v>0</v>
      </c>
      <c r="I47" s="262">
        <f t="shared" si="1"/>
        <v>0</v>
      </c>
      <c r="J47" s="262">
        <f t="shared" si="2"/>
        <v>0</v>
      </c>
      <c r="K47" s="253"/>
    </row>
    <row r="48" spans="1:11" ht="13.5">
      <c r="A48" s="23">
        <v>305</v>
      </c>
      <c r="B48" s="249" t="s">
        <v>1417</v>
      </c>
      <c r="C48" s="592" t="s">
        <v>1411</v>
      </c>
      <c r="D48" s="591" t="s">
        <v>2056</v>
      </c>
      <c r="E48" s="590">
        <v>1</v>
      </c>
      <c r="F48" s="590">
        <v>12</v>
      </c>
      <c r="G48" s="589">
        <v>0</v>
      </c>
      <c r="H48" s="588">
        <f t="shared" si="0"/>
        <v>0</v>
      </c>
      <c r="I48" s="262">
        <f t="shared" si="1"/>
        <v>0</v>
      </c>
      <c r="J48" s="262">
        <f t="shared" si="2"/>
        <v>0</v>
      </c>
      <c r="K48" s="253"/>
    </row>
    <row r="49" spans="1:11" ht="13.5">
      <c r="A49" s="23">
        <v>306</v>
      </c>
      <c r="B49" s="249" t="s">
        <v>1418</v>
      </c>
      <c r="C49" s="592" t="s">
        <v>1411</v>
      </c>
      <c r="D49" s="591" t="s">
        <v>2056</v>
      </c>
      <c r="E49" s="590">
        <v>1</v>
      </c>
      <c r="F49" s="590">
        <v>12</v>
      </c>
      <c r="G49" s="589">
        <v>0</v>
      </c>
      <c r="H49" s="588">
        <f t="shared" si="0"/>
        <v>0</v>
      </c>
      <c r="I49" s="262">
        <f t="shared" si="1"/>
        <v>0</v>
      </c>
      <c r="J49" s="262">
        <f t="shared" si="2"/>
        <v>0</v>
      </c>
      <c r="K49" s="253"/>
    </row>
    <row r="50" spans="1:11" ht="13.5">
      <c r="A50" s="23">
        <v>307</v>
      </c>
      <c r="B50" s="249" t="s">
        <v>1412</v>
      </c>
      <c r="C50" s="592" t="s">
        <v>1411</v>
      </c>
      <c r="D50" s="591" t="s">
        <v>2056</v>
      </c>
      <c r="E50" s="590">
        <v>2</v>
      </c>
      <c r="F50" s="590">
        <v>12</v>
      </c>
      <c r="G50" s="589">
        <v>0</v>
      </c>
      <c r="H50" s="588">
        <f t="shared" si="0"/>
        <v>0</v>
      </c>
      <c r="I50" s="262">
        <f t="shared" si="1"/>
        <v>0</v>
      </c>
      <c r="J50" s="262">
        <f t="shared" si="2"/>
        <v>0</v>
      </c>
      <c r="K50" s="253"/>
    </row>
    <row r="51" spans="1:11" ht="13.5">
      <c r="A51" s="23">
        <v>308</v>
      </c>
      <c r="B51" s="249" t="s">
        <v>1419</v>
      </c>
      <c r="C51" s="592" t="s">
        <v>1411</v>
      </c>
      <c r="D51" s="591" t="s">
        <v>2056</v>
      </c>
      <c r="E51" s="590">
        <v>1</v>
      </c>
      <c r="F51" s="590">
        <v>12</v>
      </c>
      <c r="G51" s="589">
        <v>0</v>
      </c>
      <c r="H51" s="588">
        <f t="shared" si="0"/>
        <v>0</v>
      </c>
      <c r="I51" s="262">
        <f t="shared" si="1"/>
        <v>0</v>
      </c>
      <c r="J51" s="262">
        <f t="shared" si="2"/>
        <v>0</v>
      </c>
      <c r="K51" s="253"/>
    </row>
    <row r="52" spans="1:11" ht="13.5">
      <c r="A52" s="23">
        <v>309</v>
      </c>
      <c r="B52" s="249" t="s">
        <v>1415</v>
      </c>
      <c r="C52" s="592" t="s">
        <v>1411</v>
      </c>
      <c r="D52" s="591" t="s">
        <v>2056</v>
      </c>
      <c r="E52" s="590">
        <v>1</v>
      </c>
      <c r="F52" s="590">
        <v>12</v>
      </c>
      <c r="G52" s="589">
        <v>0</v>
      </c>
      <c r="H52" s="588">
        <f t="shared" si="0"/>
        <v>0</v>
      </c>
      <c r="I52" s="262">
        <f t="shared" si="1"/>
        <v>0</v>
      </c>
      <c r="J52" s="262">
        <f t="shared" si="2"/>
        <v>0</v>
      </c>
      <c r="K52" s="253"/>
    </row>
    <row r="53" spans="1:11" ht="13.5">
      <c r="A53" s="23">
        <v>310</v>
      </c>
      <c r="B53" s="249" t="s">
        <v>1416</v>
      </c>
      <c r="C53" s="592" t="s">
        <v>1411</v>
      </c>
      <c r="D53" s="591" t="s">
        <v>2056</v>
      </c>
      <c r="E53" s="590">
        <v>1</v>
      </c>
      <c r="F53" s="590">
        <v>12</v>
      </c>
      <c r="G53" s="589">
        <v>0</v>
      </c>
      <c r="H53" s="588">
        <f t="shared" si="0"/>
        <v>0</v>
      </c>
      <c r="I53" s="262">
        <f t="shared" si="1"/>
        <v>0</v>
      </c>
      <c r="J53" s="262">
        <f t="shared" si="2"/>
        <v>0</v>
      </c>
      <c r="K53" s="253"/>
    </row>
    <row r="54" spans="1:11" ht="13.5">
      <c r="A54" s="23">
        <v>311</v>
      </c>
      <c r="B54" s="249" t="s">
        <v>1413</v>
      </c>
      <c r="C54" s="592" t="s">
        <v>1411</v>
      </c>
      <c r="D54" s="591" t="s">
        <v>2056</v>
      </c>
      <c r="E54" s="590">
        <v>1</v>
      </c>
      <c r="F54" s="590">
        <v>12</v>
      </c>
      <c r="G54" s="589">
        <v>0</v>
      </c>
      <c r="H54" s="588">
        <f t="shared" si="0"/>
        <v>0</v>
      </c>
      <c r="I54" s="262">
        <f t="shared" si="1"/>
        <v>0</v>
      </c>
      <c r="J54" s="262">
        <f t="shared" si="2"/>
        <v>0</v>
      </c>
      <c r="K54" s="253"/>
    </row>
    <row r="55" spans="1:11" ht="13.5">
      <c r="A55" s="409">
        <v>312</v>
      </c>
      <c r="B55" s="587" t="s">
        <v>1429</v>
      </c>
      <c r="C55" s="586" t="s">
        <v>1411</v>
      </c>
      <c r="D55" s="585" t="s">
        <v>2056</v>
      </c>
      <c r="E55" s="584">
        <v>1</v>
      </c>
      <c r="F55" s="584">
        <v>12</v>
      </c>
      <c r="G55" s="589">
        <v>0</v>
      </c>
      <c r="H55" s="583">
        <f t="shared" si="0"/>
        <v>0</v>
      </c>
      <c r="I55" s="414">
        <f t="shared" si="1"/>
        <v>0</v>
      </c>
      <c r="J55" s="262">
        <f t="shared" si="2"/>
        <v>0</v>
      </c>
      <c r="K55" s="253"/>
    </row>
    <row r="56" spans="1:11">
      <c r="A56" s="582" t="s">
        <v>2055</v>
      </c>
      <c r="B56" s="581"/>
      <c r="C56" s="580"/>
      <c r="D56" s="579"/>
      <c r="E56" s="578">
        <f>SUM(E16:E55)</f>
        <v>62</v>
      </c>
      <c r="F56" s="577"/>
      <c r="G56" s="577"/>
      <c r="H56" s="577"/>
      <c r="I56" s="576"/>
      <c r="J56" s="575">
        <f>SUM(J16:J55)</f>
        <v>0</v>
      </c>
      <c r="K56" s="253"/>
    </row>
  </sheetData>
  <mergeCells count="3">
    <mergeCell ref="A12:B12"/>
    <mergeCell ref="A13:B13"/>
    <mergeCell ref="A1:B1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7"/>
  <sheetViews>
    <sheetView showGridLines="0" topLeftCell="B1" zoomScaleNormal="100" workbookViewId="0">
      <pane ySplit="10" topLeftCell="A11" activePane="bottomLeft" state="frozen"/>
      <selection activeCell="F32" sqref="F32"/>
      <selection pane="bottomLeft" activeCell="G18" sqref="G18:H45"/>
    </sheetView>
  </sheetViews>
  <sheetFormatPr defaultColWidth="9.140625" defaultRowHeight="13.5"/>
  <cols>
    <col min="1" max="1" width="26.140625" style="50" bestFit="1" customWidth="1"/>
    <col min="2" max="2" width="23.140625" style="50" customWidth="1"/>
    <col min="3" max="3" width="20.28515625" style="50" customWidth="1"/>
    <col min="4" max="4" width="72.28515625" style="50" bestFit="1" customWidth="1"/>
    <col min="5" max="5" width="15.7109375" style="162" bestFit="1" customWidth="1"/>
    <col min="6" max="6" width="15.42578125" style="50" bestFit="1" customWidth="1"/>
    <col min="7" max="7" width="11.5703125" style="50" bestFit="1" customWidth="1"/>
    <col min="8" max="8" width="16.42578125" style="50" bestFit="1" customWidth="1"/>
    <col min="9" max="9" width="13.140625" style="50" bestFit="1" customWidth="1"/>
    <col min="10" max="16384" width="9.140625" style="50"/>
  </cols>
  <sheetData>
    <row r="1" spans="1:11">
      <c r="A1" s="441" t="s">
        <v>2</v>
      </c>
      <c r="D1" s="49"/>
      <c r="E1" s="161"/>
    </row>
    <row r="3" spans="1:11" ht="17.25">
      <c r="A3" s="370" t="s">
        <v>3</v>
      </c>
      <c r="B3" s="440" t="str">
        <f>'1-Inschrijfstaat'!B3</f>
        <v>GVB Infra B.V.</v>
      </c>
    </row>
    <row r="4" spans="1:11" ht="17.25">
      <c r="A4" s="370" t="s">
        <v>8</v>
      </c>
      <c r="B4" s="350" t="str">
        <f ca="1">MID(CELL("bestandsnaam",$C$15),SEARCH("]",CELL("bestandsnaam",$C$15),1)+1,256)</f>
        <v>8-Geveldelen  en wanden</v>
      </c>
      <c r="E4" s="50"/>
    </row>
    <row r="5" spans="1:11" ht="17.25">
      <c r="A5" s="370" t="s">
        <v>4</v>
      </c>
      <c r="B5" s="440" t="str">
        <f>'1-Inschrijfstaat'!B5</f>
        <v>Diverse</v>
      </c>
      <c r="E5" s="50"/>
    </row>
    <row r="6" spans="1:11" ht="17.25">
      <c r="A6" s="370" t="s">
        <v>9</v>
      </c>
      <c r="B6" s="440" t="str">
        <f>'1-Inschrijfstaat'!B6</f>
        <v>2021-03</v>
      </c>
      <c r="E6" s="50"/>
    </row>
    <row r="7" spans="1:11" ht="17.25">
      <c r="A7" s="370" t="s">
        <v>6</v>
      </c>
      <c r="B7" s="440" t="str">
        <f>'1-Inschrijfstaat'!B7</f>
        <v>Naam dienstverlener</v>
      </c>
      <c r="E7" s="50"/>
    </row>
    <row r="8" spans="1:11" ht="15.75">
      <c r="A8" s="370" t="s">
        <v>7</v>
      </c>
      <c r="B8" s="15" t="str">
        <f>'1-Inschrijfstaat'!B8</f>
        <v>1 juni 2021</v>
      </c>
      <c r="E8" s="50"/>
    </row>
    <row r="9" spans="1:11" ht="15.75">
      <c r="A9" s="370" t="s">
        <v>0</v>
      </c>
      <c r="B9" s="16" t="str">
        <f>'1-Inschrijfstaat'!B9</f>
        <v>2 Technische schoonmaak</v>
      </c>
      <c r="E9" s="50"/>
    </row>
    <row r="10" spans="1:11" s="65" customFormat="1" ht="17.25">
      <c r="A10" s="370" t="s">
        <v>1087</v>
      </c>
      <c r="B10" s="440" t="s">
        <v>2068</v>
      </c>
      <c r="C10" s="92"/>
      <c r="D10" s="504"/>
      <c r="E10" s="504"/>
      <c r="F10" s="504"/>
      <c r="K10" s="66"/>
    </row>
    <row r="11" spans="1:11" ht="15.75">
      <c r="A11" s="134"/>
      <c r="B11" s="437"/>
      <c r="C11" s="438"/>
      <c r="D11" s="438"/>
      <c r="E11" s="439"/>
      <c r="F11" s="438"/>
    </row>
    <row r="12" spans="1:11" s="163" customFormat="1"/>
    <row r="13" spans="1:11" s="163" customFormat="1">
      <c r="A13" s="386" t="s">
        <v>1711</v>
      </c>
      <c r="B13" s="368" t="s">
        <v>2061</v>
      </c>
      <c r="C13" s="387" t="s">
        <v>1708</v>
      </c>
    </row>
    <row r="14" spans="1:11" s="163" customFormat="1">
      <c r="A14" s="73" t="s">
        <v>1709</v>
      </c>
      <c r="B14" s="605" t="s">
        <v>2062</v>
      </c>
      <c r="C14" s="384">
        <v>0</v>
      </c>
    </row>
    <row r="16" spans="1:11" ht="51">
      <c r="A16" s="446" t="s">
        <v>2002</v>
      </c>
      <c r="B16" s="446" t="s">
        <v>291</v>
      </c>
      <c r="C16" s="446" t="s">
        <v>13</v>
      </c>
      <c r="D16" s="446" t="s">
        <v>2003</v>
      </c>
      <c r="E16" s="447" t="s">
        <v>2004</v>
      </c>
      <c r="F16" s="448" t="s">
        <v>2005</v>
      </c>
      <c r="G16" s="448" t="s">
        <v>1367</v>
      </c>
      <c r="H16" s="471" t="s">
        <v>1999</v>
      </c>
      <c r="I16" s="471" t="s">
        <v>2000</v>
      </c>
    </row>
    <row r="17" spans="1:9">
      <c r="A17" s="449">
        <v>117</v>
      </c>
      <c r="B17" s="450" t="s">
        <v>297</v>
      </c>
      <c r="C17" s="451" t="s">
        <v>74</v>
      </c>
      <c r="D17" s="452" t="s">
        <v>1342</v>
      </c>
      <c r="E17" s="453">
        <v>138</v>
      </c>
      <c r="F17" s="454">
        <f>$C$14</f>
        <v>0</v>
      </c>
      <c r="G17" s="455">
        <v>0</v>
      </c>
      <c r="H17" s="535">
        <v>0</v>
      </c>
      <c r="I17" s="456">
        <f>$F17*G17+H17</f>
        <v>0</v>
      </c>
    </row>
    <row r="18" spans="1:9">
      <c r="A18" s="449">
        <v>121</v>
      </c>
      <c r="B18" s="450" t="s">
        <v>181</v>
      </c>
      <c r="C18" s="451" t="s">
        <v>74</v>
      </c>
      <c r="D18" s="452" t="s">
        <v>1343</v>
      </c>
      <c r="E18" s="453">
        <v>54</v>
      </c>
      <c r="F18" s="454">
        <f t="shared" ref="F18:F45" si="0">$C$14</f>
        <v>0</v>
      </c>
      <c r="G18" s="455">
        <v>0</v>
      </c>
      <c r="H18" s="535">
        <v>0</v>
      </c>
      <c r="I18" s="456">
        <f t="shared" ref="I18:I45" si="1">$F18*G18+H18</f>
        <v>0</v>
      </c>
    </row>
    <row r="19" spans="1:9">
      <c r="A19" s="449">
        <v>119</v>
      </c>
      <c r="B19" s="450" t="s">
        <v>311</v>
      </c>
      <c r="C19" s="451" t="s">
        <v>74</v>
      </c>
      <c r="D19" s="452" t="s">
        <v>1344</v>
      </c>
      <c r="E19" s="453">
        <v>182</v>
      </c>
      <c r="F19" s="454">
        <f t="shared" si="0"/>
        <v>0</v>
      </c>
      <c r="G19" s="455">
        <v>0</v>
      </c>
      <c r="H19" s="535">
        <v>0</v>
      </c>
      <c r="I19" s="456">
        <f t="shared" si="1"/>
        <v>0</v>
      </c>
    </row>
    <row r="20" spans="1:9">
      <c r="A20" s="449">
        <v>119</v>
      </c>
      <c r="B20" s="450" t="s">
        <v>311</v>
      </c>
      <c r="C20" s="451" t="s">
        <v>74</v>
      </c>
      <c r="D20" s="452" t="s">
        <v>1345</v>
      </c>
      <c r="E20" s="453">
        <v>41</v>
      </c>
      <c r="F20" s="454">
        <f t="shared" si="0"/>
        <v>0</v>
      </c>
      <c r="G20" s="455">
        <v>0</v>
      </c>
      <c r="H20" s="535">
        <v>0</v>
      </c>
      <c r="I20" s="456">
        <f t="shared" si="1"/>
        <v>0</v>
      </c>
    </row>
    <row r="21" spans="1:9">
      <c r="A21" s="449">
        <v>119</v>
      </c>
      <c r="B21" s="450" t="s">
        <v>311</v>
      </c>
      <c r="C21" s="451" t="s">
        <v>74</v>
      </c>
      <c r="D21" s="452" t="s">
        <v>1346</v>
      </c>
      <c r="E21" s="453">
        <v>134</v>
      </c>
      <c r="F21" s="454">
        <f t="shared" si="0"/>
        <v>0</v>
      </c>
      <c r="G21" s="455">
        <v>0</v>
      </c>
      <c r="H21" s="535">
        <v>0</v>
      </c>
      <c r="I21" s="456">
        <f t="shared" si="1"/>
        <v>0</v>
      </c>
    </row>
    <row r="22" spans="1:9">
      <c r="A22" s="449">
        <v>119</v>
      </c>
      <c r="B22" s="450" t="s">
        <v>311</v>
      </c>
      <c r="C22" s="451" t="s">
        <v>74</v>
      </c>
      <c r="D22" s="452" t="s">
        <v>1347</v>
      </c>
      <c r="E22" s="453">
        <v>447</v>
      </c>
      <c r="F22" s="454">
        <f t="shared" si="0"/>
        <v>0</v>
      </c>
      <c r="G22" s="455">
        <v>0</v>
      </c>
      <c r="H22" s="535">
        <v>0</v>
      </c>
      <c r="I22" s="456">
        <f t="shared" si="1"/>
        <v>0</v>
      </c>
    </row>
    <row r="23" spans="1:9">
      <c r="A23" s="449">
        <v>102</v>
      </c>
      <c r="B23" s="450" t="s">
        <v>850</v>
      </c>
      <c r="C23" s="451" t="s">
        <v>1340</v>
      </c>
      <c r="D23" s="452" t="s">
        <v>1341</v>
      </c>
      <c r="E23" s="457">
        <v>154</v>
      </c>
      <c r="F23" s="454">
        <f t="shared" si="0"/>
        <v>0</v>
      </c>
      <c r="G23" s="455">
        <v>0</v>
      </c>
      <c r="H23" s="535">
        <v>0</v>
      </c>
      <c r="I23" s="456">
        <f t="shared" si="1"/>
        <v>0</v>
      </c>
    </row>
    <row r="24" spans="1:9">
      <c r="A24" s="449">
        <v>114</v>
      </c>
      <c r="B24" s="450" t="s">
        <v>21</v>
      </c>
      <c r="C24" s="451" t="s">
        <v>74</v>
      </c>
      <c r="D24" s="452" t="s">
        <v>1345</v>
      </c>
      <c r="E24" s="457">
        <v>40</v>
      </c>
      <c r="F24" s="454">
        <f t="shared" si="0"/>
        <v>0</v>
      </c>
      <c r="G24" s="455">
        <v>0</v>
      </c>
      <c r="H24" s="535">
        <v>0</v>
      </c>
      <c r="I24" s="456">
        <f t="shared" si="1"/>
        <v>0</v>
      </c>
    </row>
    <row r="25" spans="1:9">
      <c r="A25" s="449">
        <v>114</v>
      </c>
      <c r="B25" s="450" t="s">
        <v>21</v>
      </c>
      <c r="C25" s="451" t="s">
        <v>74</v>
      </c>
      <c r="D25" s="452" t="s">
        <v>1346</v>
      </c>
      <c r="E25" s="457">
        <v>184</v>
      </c>
      <c r="F25" s="454">
        <f t="shared" si="0"/>
        <v>0</v>
      </c>
      <c r="G25" s="455">
        <v>0</v>
      </c>
      <c r="H25" s="535">
        <v>0</v>
      </c>
      <c r="I25" s="456">
        <f t="shared" si="1"/>
        <v>0</v>
      </c>
    </row>
    <row r="26" spans="1:9">
      <c r="A26" s="449">
        <v>114</v>
      </c>
      <c r="B26" s="450" t="s">
        <v>21</v>
      </c>
      <c r="C26" s="451" t="s">
        <v>74</v>
      </c>
      <c r="D26" s="452" t="s">
        <v>1347</v>
      </c>
      <c r="E26" s="457">
        <v>238</v>
      </c>
      <c r="F26" s="454">
        <f t="shared" si="0"/>
        <v>0</v>
      </c>
      <c r="G26" s="455">
        <v>0</v>
      </c>
      <c r="H26" s="535">
        <v>0</v>
      </c>
      <c r="I26" s="456">
        <f t="shared" si="1"/>
        <v>0</v>
      </c>
    </row>
    <row r="27" spans="1:9">
      <c r="A27" s="449">
        <v>108</v>
      </c>
      <c r="B27" s="450" t="s">
        <v>255</v>
      </c>
      <c r="C27" s="451" t="s">
        <v>74</v>
      </c>
      <c r="D27" s="452" t="s">
        <v>1936</v>
      </c>
      <c r="E27" s="457">
        <v>117</v>
      </c>
      <c r="F27" s="454">
        <f t="shared" si="0"/>
        <v>0</v>
      </c>
      <c r="G27" s="455">
        <v>0</v>
      </c>
      <c r="H27" s="535">
        <v>0</v>
      </c>
      <c r="I27" s="456">
        <f t="shared" si="1"/>
        <v>0</v>
      </c>
    </row>
    <row r="28" spans="1:9">
      <c r="A28" s="449">
        <v>118</v>
      </c>
      <c r="B28" s="450" t="s">
        <v>198</v>
      </c>
      <c r="C28" s="451" t="s">
        <v>74</v>
      </c>
      <c r="D28" s="452" t="s">
        <v>1936</v>
      </c>
      <c r="E28" s="457">
        <v>61</v>
      </c>
      <c r="F28" s="454">
        <f t="shared" si="0"/>
        <v>0</v>
      </c>
      <c r="G28" s="455">
        <v>0</v>
      </c>
      <c r="H28" s="535">
        <v>0</v>
      </c>
      <c r="I28" s="456">
        <f t="shared" si="1"/>
        <v>0</v>
      </c>
    </row>
    <row r="29" spans="1:9">
      <c r="A29" s="449">
        <v>103</v>
      </c>
      <c r="B29" s="450" t="s">
        <v>718</v>
      </c>
      <c r="C29" s="451" t="s">
        <v>1340</v>
      </c>
      <c r="D29" s="452" t="s">
        <v>1348</v>
      </c>
      <c r="E29" s="457">
        <v>273</v>
      </c>
      <c r="F29" s="454">
        <f t="shared" si="0"/>
        <v>0</v>
      </c>
      <c r="G29" s="455">
        <v>0</v>
      </c>
      <c r="H29" s="535">
        <v>0</v>
      </c>
      <c r="I29" s="456">
        <f t="shared" si="1"/>
        <v>0</v>
      </c>
    </row>
    <row r="30" spans="1:9" s="534" customFormat="1" ht="27">
      <c r="A30" s="529">
        <v>103</v>
      </c>
      <c r="B30" s="530" t="s">
        <v>718</v>
      </c>
      <c r="C30" s="531" t="s">
        <v>1340</v>
      </c>
      <c r="D30" s="532" t="s">
        <v>1937</v>
      </c>
      <c r="E30" s="533">
        <v>5</v>
      </c>
      <c r="F30" s="454">
        <f t="shared" si="0"/>
        <v>0</v>
      </c>
      <c r="G30" s="455">
        <v>0</v>
      </c>
      <c r="H30" s="535">
        <v>0</v>
      </c>
      <c r="I30" s="456">
        <f t="shared" si="1"/>
        <v>0</v>
      </c>
    </row>
    <row r="31" spans="1:9">
      <c r="A31" s="449">
        <v>103</v>
      </c>
      <c r="B31" s="450" t="s">
        <v>718</v>
      </c>
      <c r="C31" s="451" t="s">
        <v>1340</v>
      </c>
      <c r="D31" s="452" t="s">
        <v>1349</v>
      </c>
      <c r="E31" s="457">
        <v>20</v>
      </c>
      <c r="F31" s="454">
        <f t="shared" si="0"/>
        <v>0</v>
      </c>
      <c r="G31" s="455">
        <v>0</v>
      </c>
      <c r="H31" s="535">
        <v>0</v>
      </c>
      <c r="I31" s="456">
        <f t="shared" si="1"/>
        <v>0</v>
      </c>
    </row>
    <row r="32" spans="1:9">
      <c r="A32" s="449">
        <v>104</v>
      </c>
      <c r="B32" s="450" t="s">
        <v>165</v>
      </c>
      <c r="C32" s="451" t="s">
        <v>1340</v>
      </c>
      <c r="D32" s="452" t="s">
        <v>1349</v>
      </c>
      <c r="E32" s="457">
        <v>90</v>
      </c>
      <c r="F32" s="454">
        <f t="shared" si="0"/>
        <v>0</v>
      </c>
      <c r="G32" s="455">
        <v>0</v>
      </c>
      <c r="H32" s="535">
        <v>0</v>
      </c>
      <c r="I32" s="456">
        <f t="shared" si="1"/>
        <v>0</v>
      </c>
    </row>
    <row r="33" spans="1:9">
      <c r="A33" s="449">
        <v>105</v>
      </c>
      <c r="B33" s="450" t="s">
        <v>851</v>
      </c>
      <c r="C33" s="451" t="s">
        <v>1340</v>
      </c>
      <c r="D33" s="452" t="s">
        <v>1349</v>
      </c>
      <c r="E33" s="457">
        <v>56</v>
      </c>
      <c r="F33" s="454">
        <f t="shared" si="0"/>
        <v>0</v>
      </c>
      <c r="G33" s="455">
        <v>0</v>
      </c>
      <c r="H33" s="535">
        <v>0</v>
      </c>
      <c r="I33" s="456">
        <f t="shared" si="1"/>
        <v>0</v>
      </c>
    </row>
    <row r="34" spans="1:9">
      <c r="A34" s="449">
        <v>115</v>
      </c>
      <c r="B34" s="450" t="s">
        <v>73</v>
      </c>
      <c r="C34" s="451" t="s">
        <v>74</v>
      </c>
      <c r="D34" s="452" t="s">
        <v>1063</v>
      </c>
      <c r="E34" s="457">
        <v>180</v>
      </c>
      <c r="F34" s="454">
        <f t="shared" si="0"/>
        <v>0</v>
      </c>
      <c r="G34" s="455">
        <v>0</v>
      </c>
      <c r="H34" s="535">
        <v>0</v>
      </c>
      <c r="I34" s="456">
        <f t="shared" si="1"/>
        <v>0</v>
      </c>
    </row>
    <row r="35" spans="1:9">
      <c r="A35" s="449">
        <v>115</v>
      </c>
      <c r="B35" s="450" t="s">
        <v>73</v>
      </c>
      <c r="C35" s="451" t="s">
        <v>74</v>
      </c>
      <c r="D35" s="452" t="s">
        <v>1064</v>
      </c>
      <c r="E35" s="457">
        <v>167</v>
      </c>
      <c r="F35" s="454">
        <f t="shared" si="0"/>
        <v>0</v>
      </c>
      <c r="G35" s="455">
        <v>0</v>
      </c>
      <c r="H35" s="535">
        <v>0</v>
      </c>
      <c r="I35" s="456">
        <f t="shared" si="1"/>
        <v>0</v>
      </c>
    </row>
    <row r="36" spans="1:9">
      <c r="A36" s="449">
        <v>120</v>
      </c>
      <c r="B36" s="450" t="s">
        <v>301</v>
      </c>
      <c r="C36" s="451" t="s">
        <v>22</v>
      </c>
      <c r="D36" s="452" t="s">
        <v>1077</v>
      </c>
      <c r="E36" s="457">
        <v>494</v>
      </c>
      <c r="F36" s="454">
        <f t="shared" si="0"/>
        <v>0</v>
      </c>
      <c r="G36" s="455">
        <v>0</v>
      </c>
      <c r="H36" s="535">
        <v>0</v>
      </c>
      <c r="I36" s="456">
        <f t="shared" si="1"/>
        <v>0</v>
      </c>
    </row>
    <row r="37" spans="1:9">
      <c r="A37" s="449">
        <v>301</v>
      </c>
      <c r="B37" s="450" t="s">
        <v>1427</v>
      </c>
      <c r="C37" s="458" t="s">
        <v>1411</v>
      </c>
      <c r="D37" s="452" t="s">
        <v>1430</v>
      </c>
      <c r="E37" s="457">
        <v>705</v>
      </c>
      <c r="F37" s="454">
        <f t="shared" si="0"/>
        <v>0</v>
      </c>
      <c r="G37" s="455">
        <v>0</v>
      </c>
      <c r="H37" s="535">
        <v>0</v>
      </c>
      <c r="I37" s="456">
        <f t="shared" si="1"/>
        <v>0</v>
      </c>
    </row>
    <row r="38" spans="1:9">
      <c r="A38" s="449">
        <v>304</v>
      </c>
      <c r="B38" s="450" t="s">
        <v>1414</v>
      </c>
      <c r="C38" s="458" t="s">
        <v>1411</v>
      </c>
      <c r="D38" s="452" t="s">
        <v>1430</v>
      </c>
      <c r="E38" s="457">
        <v>345</v>
      </c>
      <c r="F38" s="454">
        <f t="shared" si="0"/>
        <v>0</v>
      </c>
      <c r="G38" s="455">
        <v>0</v>
      </c>
      <c r="H38" s="535">
        <v>0</v>
      </c>
      <c r="I38" s="456">
        <f t="shared" si="1"/>
        <v>0</v>
      </c>
    </row>
    <row r="39" spans="1:9">
      <c r="A39" s="449">
        <v>305</v>
      </c>
      <c r="B39" s="450" t="s">
        <v>1417</v>
      </c>
      <c r="C39" s="458" t="s">
        <v>1411</v>
      </c>
      <c r="D39" s="452" t="s">
        <v>1430</v>
      </c>
      <c r="E39" s="457">
        <v>232</v>
      </c>
      <c r="F39" s="454">
        <f t="shared" si="0"/>
        <v>0</v>
      </c>
      <c r="G39" s="455">
        <v>0</v>
      </c>
      <c r="H39" s="535">
        <v>0</v>
      </c>
      <c r="I39" s="456">
        <f t="shared" si="1"/>
        <v>0</v>
      </c>
    </row>
    <row r="40" spans="1:9">
      <c r="A40" s="449">
        <v>306</v>
      </c>
      <c r="B40" s="450" t="s">
        <v>1418</v>
      </c>
      <c r="C40" s="458" t="s">
        <v>1411</v>
      </c>
      <c r="D40" s="452" t="s">
        <v>1430</v>
      </c>
      <c r="E40" s="457">
        <v>299</v>
      </c>
      <c r="F40" s="454">
        <f t="shared" si="0"/>
        <v>0</v>
      </c>
      <c r="G40" s="455">
        <v>0</v>
      </c>
      <c r="H40" s="535">
        <v>0</v>
      </c>
      <c r="I40" s="456">
        <f t="shared" si="1"/>
        <v>0</v>
      </c>
    </row>
    <row r="41" spans="1:9">
      <c r="A41" s="449">
        <v>307</v>
      </c>
      <c r="B41" s="450" t="s">
        <v>1412</v>
      </c>
      <c r="C41" s="458" t="s">
        <v>1411</v>
      </c>
      <c r="D41" s="452" t="s">
        <v>1430</v>
      </c>
      <c r="E41" s="457">
        <v>532</v>
      </c>
      <c r="F41" s="454">
        <f t="shared" si="0"/>
        <v>0</v>
      </c>
      <c r="G41" s="455">
        <v>0</v>
      </c>
      <c r="H41" s="535">
        <v>0</v>
      </c>
      <c r="I41" s="456">
        <f t="shared" si="1"/>
        <v>0</v>
      </c>
    </row>
    <row r="42" spans="1:9">
      <c r="A42" s="449">
        <v>308</v>
      </c>
      <c r="B42" s="450" t="s">
        <v>1419</v>
      </c>
      <c r="C42" s="458" t="s">
        <v>1411</v>
      </c>
      <c r="D42" s="452" t="s">
        <v>1430</v>
      </c>
      <c r="E42" s="457">
        <v>299</v>
      </c>
      <c r="F42" s="454">
        <f t="shared" si="0"/>
        <v>0</v>
      </c>
      <c r="G42" s="455">
        <v>0</v>
      </c>
      <c r="H42" s="535">
        <v>0</v>
      </c>
      <c r="I42" s="456">
        <f t="shared" si="1"/>
        <v>0</v>
      </c>
    </row>
    <row r="43" spans="1:9">
      <c r="A43" s="449">
        <v>309</v>
      </c>
      <c r="B43" s="450" t="s">
        <v>1415</v>
      </c>
      <c r="C43" s="458" t="s">
        <v>1411</v>
      </c>
      <c r="D43" s="452" t="s">
        <v>1430</v>
      </c>
      <c r="E43" s="457">
        <v>129</v>
      </c>
      <c r="F43" s="454">
        <f t="shared" si="0"/>
        <v>0</v>
      </c>
      <c r="G43" s="455">
        <v>0</v>
      </c>
      <c r="H43" s="535">
        <v>0</v>
      </c>
      <c r="I43" s="456">
        <f t="shared" si="1"/>
        <v>0</v>
      </c>
    </row>
    <row r="44" spans="1:9">
      <c r="A44" s="449">
        <v>310</v>
      </c>
      <c r="B44" s="450" t="s">
        <v>1416</v>
      </c>
      <c r="C44" s="458" t="s">
        <v>1411</v>
      </c>
      <c r="D44" s="452" t="s">
        <v>1430</v>
      </c>
      <c r="E44" s="457">
        <v>132</v>
      </c>
      <c r="F44" s="454">
        <f t="shared" si="0"/>
        <v>0</v>
      </c>
      <c r="G44" s="455">
        <v>0</v>
      </c>
      <c r="H44" s="535">
        <v>0</v>
      </c>
      <c r="I44" s="456">
        <f t="shared" si="1"/>
        <v>0</v>
      </c>
    </row>
    <row r="45" spans="1:9">
      <c r="A45" s="449">
        <v>312</v>
      </c>
      <c r="B45" s="450" t="s">
        <v>1429</v>
      </c>
      <c r="C45" s="458" t="s">
        <v>1411</v>
      </c>
      <c r="D45" s="452" t="s">
        <v>1430</v>
      </c>
      <c r="E45" s="457">
        <v>141</v>
      </c>
      <c r="F45" s="454">
        <f t="shared" si="0"/>
        <v>0</v>
      </c>
      <c r="G45" s="455">
        <v>0</v>
      </c>
      <c r="H45" s="535">
        <v>0</v>
      </c>
      <c r="I45" s="456">
        <f t="shared" si="1"/>
        <v>0</v>
      </c>
    </row>
    <row r="47" spans="1:9">
      <c r="A47" s="442" t="s">
        <v>5</v>
      </c>
      <c r="B47" s="443"/>
      <c r="C47" s="443"/>
      <c r="D47" s="443"/>
      <c r="E47" s="444"/>
      <c r="F47" s="443"/>
      <c r="G47" s="443"/>
      <c r="H47" s="443"/>
      <c r="I47" s="445">
        <f>SUM(I17:I46)</f>
        <v>0</v>
      </c>
    </row>
  </sheetData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18</vt:i4>
      </vt:variant>
      <vt:variant>
        <vt:lpstr>Benoemde bereiken</vt:lpstr>
      </vt:variant>
      <vt:variant>
        <vt:i4>11</vt:i4>
      </vt:variant>
    </vt:vector>
  </HeadingPairs>
  <TitlesOfParts>
    <vt:vector size="29" baseType="lpstr">
      <vt:lpstr>Mutatieblad</vt:lpstr>
      <vt:lpstr>1-Inschrijfstaat</vt:lpstr>
      <vt:lpstr>2-Kosten per locatie</vt:lpstr>
      <vt:lpstr>3-Ruimtestaat</vt:lpstr>
      <vt:lpstr>4-Schrobben vloeren</vt:lpstr>
      <vt:lpstr>5-Aanvullend</vt:lpstr>
      <vt:lpstr>6-Ballastbed </vt:lpstr>
      <vt:lpstr>7-Liftbodems</vt:lpstr>
      <vt:lpstr>8-Geveldelen  en wanden</vt:lpstr>
      <vt:lpstr>9-Glasstaat</vt:lpstr>
      <vt:lpstr>10-Glas kosten totaal</vt:lpstr>
      <vt:lpstr>11-Machinekosten</vt:lpstr>
      <vt:lpstr>12-Periodieke beurt</vt:lpstr>
      <vt:lpstr>13a- Afroepprijs</vt:lpstr>
      <vt:lpstr>13b-Afroep RVS kraaiennest</vt:lpstr>
      <vt:lpstr>13c-Afroep Kap Bijlmer</vt:lpstr>
      <vt:lpstr>14-Gelijkrichter stations</vt:lpstr>
      <vt:lpstr>15- Dienstruimten</vt:lpstr>
      <vt:lpstr>'10-Glas kosten totaal'!Afdrukbereik</vt:lpstr>
      <vt:lpstr>'12-Periodieke beurt'!Afdrukbereik</vt:lpstr>
      <vt:lpstr>'1-Inschrijfstaat'!Afdrukbereik</vt:lpstr>
      <vt:lpstr>'3-Ruimtestaat'!Afdrukbereik</vt:lpstr>
      <vt:lpstr>'6-Ballastbed '!Afdrukbereik</vt:lpstr>
      <vt:lpstr>'9-Glasstaat'!Afdrukbereik</vt:lpstr>
      <vt:lpstr>'10-Glas kosten totaal'!Afdruktitels</vt:lpstr>
      <vt:lpstr>'3-Ruimtestaat'!Afdruktitels</vt:lpstr>
      <vt:lpstr>'6-Ballastbed '!Afdruktitels</vt:lpstr>
      <vt:lpstr>'9-Glasstaat'!Afdruktitels</vt:lpstr>
      <vt:lpstr>Glassoort2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van der Velde</dc:creator>
  <cp:lastModifiedBy>bieri</cp:lastModifiedBy>
  <cp:lastPrinted>2021-01-27T11:14:06Z</cp:lastPrinted>
  <dcterms:created xsi:type="dcterms:W3CDTF">1999-10-05T12:28:40Z</dcterms:created>
  <dcterms:modified xsi:type="dcterms:W3CDTF">2021-03-05T07:44:03Z</dcterms:modified>
</cp:coreProperties>
</file>