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1"/>
  <workbookPr defaultThemeVersion="124226"/>
  <mc:AlternateContent xmlns:mc="http://schemas.openxmlformats.org/markup-compatibility/2006">
    <mc:Choice Requires="x15">
      <x15ac:absPath xmlns:x15ac="http://schemas.microsoft.com/office/spreadsheetml/2010/11/ac" url="https://stichtingrocmiddennederland.sharepoint.com/sites/aanbestedinglms_grp/Gedeelde documenten/Aanbestedingsdocumenten/Publicatie/"/>
    </mc:Choice>
  </mc:AlternateContent>
  <xr:revisionPtr revIDLastSave="7" documentId="11_8A476AEF6050AB69E1C3C6437DF8FAF9FBB71276" xr6:coauthVersionLast="45" xr6:coauthVersionMax="45" xr10:uidLastSave="{4E6B4493-ACF7-4C7B-9434-082BA21DB447}"/>
  <workbookProtection workbookAlgorithmName="SHA-512" workbookHashValue="0e7DUxDtP5GQceis7pcyfK9Eh9K8o80BR8K22punQDbtOEd2F07h5gS5Ua+ZxC0sT96As2JQi14AO+hi3Sxn3A==" workbookSaltValue="+WtnLEFagi9jFu/4PzqDvg==" workbookSpinCount="100000" lockStructure="1"/>
  <bookViews>
    <workbookView xWindow="0" yWindow="0" windowWidth="23040" windowHeight="8130" firstSheet="3" activeTab="3" xr2:uid="{00000000-000D-0000-FFFF-FFFF00000000}"/>
  </bookViews>
  <sheets>
    <sheet name="Simulatie prijs" sheetId="3" state="hidden" r:id="rId1"/>
    <sheet name="Simulatie prijs TCV" sheetId="5" state="hidden" r:id="rId2"/>
    <sheet name="Simulatie prijs TCV incl opties" sheetId="6" state="hidden" r:id="rId3"/>
    <sheet name="Prijsmodel per gebruiker" sheetId="7" r:id="rId4"/>
    <sheet name="Blad1" sheetId="9" state="hidden" r:id="rId5"/>
  </sheets>
  <definedNames>
    <definedName name="_xlnm.Print_Area" localSheetId="3">'Prijsmodel per gebruiker'!$A$1:$F$73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7" l="1"/>
  <c r="F9" i="7"/>
  <c r="F10" i="7"/>
  <c r="F11" i="7"/>
  <c r="F12" i="7"/>
  <c r="F13" i="7"/>
  <c r="F14" i="7"/>
  <c r="F15" i="7"/>
  <c r="F16" i="7"/>
  <c r="F17" i="7"/>
  <c r="F18" i="7"/>
  <c r="F19" i="7"/>
  <c r="F20" i="7"/>
  <c r="F21" i="7"/>
  <c r="F22" i="7"/>
  <c r="F23" i="7"/>
  <c r="F25" i="7"/>
  <c r="F24" i="7"/>
  <c r="F33" i="7" l="1"/>
  <c r="F26" i="7" l="1"/>
  <c r="F35" i="7"/>
  <c r="F34" i="7" l="1"/>
  <c r="F36" i="7"/>
  <c r="F38" i="7" l="1"/>
  <c r="V23" i="6"/>
  <c r="V24" i="6"/>
  <c r="V25" i="6"/>
  <c r="V26" i="6"/>
  <c r="V22" i="6"/>
  <c r="W20" i="6"/>
  <c r="S23" i="6"/>
  <c r="S24" i="6"/>
  <c r="S25" i="6"/>
  <c r="S26" i="6"/>
  <c r="P23" i="6"/>
  <c r="P24" i="6"/>
  <c r="P25" i="6"/>
  <c r="P26" i="6"/>
  <c r="S22" i="6"/>
  <c r="T20" i="6"/>
  <c r="P22" i="6"/>
  <c r="Q20" i="6"/>
  <c r="R25" i="6" s="1"/>
  <c r="M23" i="6"/>
  <c r="M24" i="6"/>
  <c r="M25" i="6"/>
  <c r="M26" i="6"/>
  <c r="M22" i="6"/>
  <c r="N20" i="6" s="1"/>
  <c r="G6" i="6"/>
  <c r="G7" i="6"/>
  <c r="G8" i="6"/>
  <c r="G9" i="6"/>
  <c r="G5" i="6"/>
  <c r="K9" i="6"/>
  <c r="J9" i="6"/>
  <c r="M9" i="6" s="1"/>
  <c r="J26" i="6"/>
  <c r="F26" i="6"/>
  <c r="H26" i="6" s="1"/>
  <c r="D26" i="6"/>
  <c r="B26" i="6"/>
  <c r="K8" i="6"/>
  <c r="J8" i="6"/>
  <c r="M8" i="6"/>
  <c r="J25" i="6"/>
  <c r="F25" i="6"/>
  <c r="H25" i="6" s="1"/>
  <c r="D25" i="6"/>
  <c r="B25" i="6"/>
  <c r="K7" i="6"/>
  <c r="J7" i="6"/>
  <c r="M7" i="6"/>
  <c r="J24" i="6"/>
  <c r="F24" i="6"/>
  <c r="H24" i="6" s="1"/>
  <c r="D24" i="6"/>
  <c r="B24" i="6"/>
  <c r="B22" i="6"/>
  <c r="B23" i="6"/>
  <c r="C20" i="6"/>
  <c r="K6" i="6"/>
  <c r="J6" i="6"/>
  <c r="M6" i="6" s="1"/>
  <c r="J23" i="6"/>
  <c r="F23" i="6"/>
  <c r="H23" i="6" s="1"/>
  <c r="D23" i="6"/>
  <c r="K5" i="6"/>
  <c r="J5" i="6"/>
  <c r="I7" i="6" s="1"/>
  <c r="J22" i="6"/>
  <c r="K20" i="6" s="1"/>
  <c r="F22" i="6"/>
  <c r="H22" i="6" s="1"/>
  <c r="D22" i="6"/>
  <c r="E20" i="6" s="1"/>
  <c r="A10" i="6"/>
  <c r="K17" i="6" s="1"/>
  <c r="A5" i="6"/>
  <c r="F17" i="6" s="1"/>
  <c r="A4" i="6"/>
  <c r="C17" i="6" s="1"/>
  <c r="R23" i="6"/>
  <c r="R26" i="6"/>
  <c r="I6" i="6"/>
  <c r="F19" i="5"/>
  <c r="H19" i="5"/>
  <c r="B17" i="5"/>
  <c r="B18" i="5"/>
  <c r="B19" i="5"/>
  <c r="C15" i="5"/>
  <c r="B20" i="5"/>
  <c r="B21" i="5"/>
  <c r="R21" i="5"/>
  <c r="Q21" i="5"/>
  <c r="T21" i="5" s="1"/>
  <c r="J21" i="5"/>
  <c r="F21" i="5"/>
  <c r="H21" i="5"/>
  <c r="F17" i="5"/>
  <c r="H17" i="5"/>
  <c r="F18" i="5"/>
  <c r="H18" i="5"/>
  <c r="F20" i="5"/>
  <c r="H20" i="5"/>
  <c r="D21" i="5"/>
  <c r="R20" i="5"/>
  <c r="Q20" i="5"/>
  <c r="T20" i="5" s="1"/>
  <c r="J20" i="5"/>
  <c r="D20" i="5"/>
  <c r="R19" i="5"/>
  <c r="Q19" i="5"/>
  <c r="J19" i="5"/>
  <c r="D19" i="5"/>
  <c r="R18" i="5"/>
  <c r="Q18" i="5"/>
  <c r="J18" i="5"/>
  <c r="D18" i="5"/>
  <c r="R17" i="5"/>
  <c r="Q17" i="5"/>
  <c r="J17" i="5"/>
  <c r="K15" i="5" s="1"/>
  <c r="D17" i="5"/>
  <c r="E15" i="5" s="1"/>
  <c r="A5" i="5"/>
  <c r="K12" i="5" s="1"/>
  <c r="A4" i="5"/>
  <c r="F12" i="5" s="1"/>
  <c r="A3" i="5"/>
  <c r="C12" i="5" s="1"/>
  <c r="E17" i="3"/>
  <c r="E18" i="3"/>
  <c r="E19" i="3"/>
  <c r="E20" i="3"/>
  <c r="E21" i="3"/>
  <c r="F15" i="3"/>
  <c r="H18" i="3" s="1"/>
  <c r="H17" i="3"/>
  <c r="Q18" i="3"/>
  <c r="Q19" i="3"/>
  <c r="Q20" i="3"/>
  <c r="Q21" i="3"/>
  <c r="Q17" i="3"/>
  <c r="G18" i="3"/>
  <c r="G19" i="3"/>
  <c r="G20" i="3"/>
  <c r="G21" i="3"/>
  <c r="G17" i="3"/>
  <c r="I18" i="3"/>
  <c r="I19" i="3"/>
  <c r="I20" i="3"/>
  <c r="I21" i="3"/>
  <c r="I17" i="3"/>
  <c r="J15" i="3"/>
  <c r="K21" i="3" s="1"/>
  <c r="B18" i="3"/>
  <c r="B19" i="3"/>
  <c r="B20" i="3"/>
  <c r="B21" i="3"/>
  <c r="B17" i="3"/>
  <c r="C15" i="3" s="1"/>
  <c r="P21" i="3"/>
  <c r="T18" i="5"/>
  <c r="P18" i="5"/>
  <c r="P19" i="5"/>
  <c r="S21" i="3"/>
  <c r="P18" i="3"/>
  <c r="P19" i="3"/>
  <c r="P17" i="3"/>
  <c r="P20" i="3"/>
  <c r="S20" i="3"/>
  <c r="S19" i="3"/>
  <c r="S18" i="3"/>
  <c r="H19" i="3"/>
  <c r="A4" i="3"/>
  <c r="F12" i="3" s="1"/>
  <c r="A5" i="3"/>
  <c r="J12" i="3" s="1"/>
  <c r="A3" i="3"/>
  <c r="C12" i="3" s="1"/>
  <c r="K19" i="3"/>
  <c r="U22" i="6"/>
  <c r="U26" i="6"/>
  <c r="U25" i="6"/>
  <c r="U24" i="6"/>
  <c r="U23" i="6"/>
  <c r="X24" i="6"/>
  <c r="X26" i="6"/>
  <c r="X23" i="6"/>
  <c r="X25" i="6"/>
  <c r="X22" i="6"/>
  <c r="O8" i="6"/>
  <c r="M5" i="6"/>
  <c r="G18" i="5"/>
  <c r="G17" i="5"/>
  <c r="G20" i="5"/>
  <c r="G19" i="5"/>
  <c r="O7" i="6"/>
  <c r="O21" i="3"/>
  <c r="K20" i="3"/>
  <c r="O17" i="3"/>
  <c r="R22" i="6"/>
  <c r="H20" i="3"/>
  <c r="S17" i="3"/>
  <c r="R17" i="3" s="1"/>
  <c r="S15" i="3" s="1"/>
  <c r="P20" i="5"/>
  <c r="I9" i="6"/>
  <c r="R24" i="6"/>
  <c r="K18" i="3"/>
  <c r="I5" i="6"/>
  <c r="K17" i="3"/>
  <c r="O20" i="3"/>
  <c r="O5" i="6"/>
  <c r="R19" i="3"/>
  <c r="R18" i="3"/>
  <c r="H15" i="5"/>
  <c r="I18" i="5"/>
  <c r="I20" i="5"/>
  <c r="I19" i="5"/>
  <c r="I17" i="5"/>
  <c r="I21" i="5"/>
  <c r="F39" i="7" l="1"/>
  <c r="F40" i="7" s="1"/>
  <c r="O19" i="3"/>
  <c r="T17" i="5"/>
  <c r="T19" i="5"/>
  <c r="S20" i="5"/>
  <c r="G21" i="5"/>
  <c r="G23" i="6"/>
  <c r="S21" i="5"/>
  <c r="L24" i="6"/>
  <c r="L25" i="6"/>
  <c r="L23" i="6"/>
  <c r="L22" i="6"/>
  <c r="L26" i="6"/>
  <c r="O6" i="6"/>
  <c r="L8" i="6"/>
  <c r="L7" i="6"/>
  <c r="L5" i="6"/>
  <c r="L6" i="6"/>
  <c r="G25" i="6"/>
  <c r="O24" i="6"/>
  <c r="O23" i="6"/>
  <c r="O25" i="6"/>
  <c r="O22" i="6"/>
  <c r="O26" i="6"/>
  <c r="D20" i="3"/>
  <c r="L20" i="3" s="1"/>
  <c r="D21" i="3"/>
  <c r="D17" i="3"/>
  <c r="L17" i="3" s="1"/>
  <c r="D18" i="3"/>
  <c r="L18" i="3" s="1"/>
  <c r="D19" i="3"/>
  <c r="L19" i="3" s="1"/>
  <c r="L20" i="5"/>
  <c r="M20" i="5" s="1"/>
  <c r="L18" i="5"/>
  <c r="M18" i="5" s="1"/>
  <c r="L21" i="5"/>
  <c r="M21" i="5" s="1"/>
  <c r="L19" i="5"/>
  <c r="M19" i="5" s="1"/>
  <c r="L17" i="5"/>
  <c r="M17" i="5" s="1"/>
  <c r="N17" i="5" s="1"/>
  <c r="S17" i="5"/>
  <c r="T15" i="5" s="1"/>
  <c r="S19" i="5"/>
  <c r="G22" i="6"/>
  <c r="G24" i="6"/>
  <c r="G26" i="6"/>
  <c r="O9" i="6"/>
  <c r="N9" i="6" s="1"/>
  <c r="L9" i="6"/>
  <c r="R21" i="3"/>
  <c r="R20" i="3"/>
  <c r="H21" i="3"/>
  <c r="O18" i="3"/>
  <c r="P21" i="5"/>
  <c r="P17" i="5"/>
  <c r="I8" i="6"/>
  <c r="F41" i="7" l="1"/>
  <c r="H20" i="6"/>
  <c r="N19" i="5"/>
  <c r="S18" i="5"/>
  <c r="N18" i="5"/>
  <c r="N21" i="5"/>
  <c r="N20" i="5"/>
  <c r="L21" i="3"/>
  <c r="M3" i="6"/>
  <c r="I24" i="6"/>
  <c r="P7" i="6" s="1"/>
  <c r="I22" i="6"/>
  <c r="P5" i="6" s="1"/>
  <c r="I23" i="6"/>
  <c r="P6" i="6" s="1"/>
  <c r="I25" i="6"/>
  <c r="P8" i="6" s="1"/>
  <c r="I26" i="6"/>
  <c r="P9" i="6" s="1"/>
  <c r="M19" i="3"/>
  <c r="M17" i="3"/>
  <c r="M20" i="3"/>
  <c r="N7" i="6"/>
  <c r="N8" i="6"/>
  <c r="N5" i="6"/>
  <c r="N6" i="6"/>
  <c r="Q8" i="6" l="1"/>
  <c r="M21" i="3"/>
  <c r="M18" i="3"/>
  <c r="Q5" i="6"/>
  <c r="Q9" i="6"/>
  <c r="Q6" i="6"/>
  <c r="Q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19" authorId="0" shapeId="0" xr:uid="{00000000-0006-0000-0000-000001000000}">
      <text>
        <r>
          <rPr>
            <b/>
            <sz val="9"/>
            <color indexed="81"/>
            <rFont val="Tahoma"/>
            <family val="2"/>
          </rPr>
          <t>Hogeschool Inholland:</t>
        </r>
        <r>
          <rPr>
            <sz val="9"/>
            <color indexed="81"/>
            <rFont val="Tahoma"/>
            <family val="2"/>
          </rPr>
          <t xml:space="preserve">
Vul hier maar eens 1 euro 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19" authorId="0" shapeId="0" xr:uid="{00000000-0006-0000-0100-000001000000}">
      <text>
        <r>
          <rPr>
            <b/>
            <sz val="9"/>
            <color indexed="81"/>
            <rFont val="Tahoma"/>
            <family val="2"/>
          </rPr>
          <t>Hogeschool Inholland:</t>
        </r>
        <r>
          <rPr>
            <sz val="9"/>
            <color indexed="81"/>
            <rFont val="Tahoma"/>
            <family val="2"/>
          </rPr>
          <t xml:space="preserve">
Vul hier maar eens 1 euro in.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24" authorId="0" shapeId="0" xr:uid="{00000000-0006-0000-0200-000001000000}">
      <text>
        <r>
          <rPr>
            <b/>
            <sz val="9"/>
            <color indexed="81"/>
            <rFont val="Tahoma"/>
            <family val="2"/>
          </rPr>
          <t>Hogeschool Inholland:</t>
        </r>
        <r>
          <rPr>
            <sz val="9"/>
            <color indexed="81"/>
            <rFont val="Tahoma"/>
            <family val="2"/>
          </rPr>
          <t xml:space="preserve">
Vul hier maar eens 1 euro in. 
</t>
        </r>
      </text>
    </comment>
  </commentList>
</comments>
</file>

<file path=xl/sharedStrings.xml><?xml version="1.0" encoding="utf-8"?>
<sst xmlns="http://schemas.openxmlformats.org/spreadsheetml/2006/main" count="192" uniqueCount="99">
  <si>
    <t>Simulatie Prijs</t>
  </si>
  <si>
    <t>Weging</t>
  </si>
  <si>
    <t>Medewerker aantal Inholland</t>
  </si>
  <si>
    <t>Contract duur</t>
  </si>
  <si>
    <t>jaar</t>
  </si>
  <si>
    <t>Salarisruns per jaar</t>
  </si>
  <si>
    <t>maanden</t>
  </si>
  <si>
    <t xml:space="preserve">Verleninging </t>
  </si>
  <si>
    <t>Beste Score</t>
  </si>
  <si>
    <t>Laagste kosten</t>
  </si>
  <si>
    <t>TCV (excl uurtarief)</t>
  </si>
  <si>
    <t>Rang</t>
  </si>
  <si>
    <t>Score</t>
  </si>
  <si>
    <t>Totaal Score</t>
  </si>
  <si>
    <t>Contractduur</t>
  </si>
  <si>
    <t>Verlenging</t>
  </si>
  <si>
    <t>Rang Kosten</t>
  </si>
  <si>
    <t>Totaal</t>
  </si>
  <si>
    <t>Leverancier 1</t>
  </si>
  <si>
    <t>Leverancier 2</t>
  </si>
  <si>
    <t>Leverancier 3</t>
  </si>
  <si>
    <t>Leverancier 4</t>
  </si>
  <si>
    <t>Leverancier 5</t>
  </si>
  <si>
    <t>Totaal kost</t>
  </si>
  <si>
    <t>Uitslag prijs</t>
  </si>
  <si>
    <t xml:space="preserve">Laagste kosten </t>
  </si>
  <si>
    <t>Laagste kosten plus optioneel</t>
  </si>
  <si>
    <t>Rang Kosten incl verlening</t>
  </si>
  <si>
    <t>Totaal incl verlening</t>
  </si>
  <si>
    <t>Rang kosten plus optioneel</t>
  </si>
  <si>
    <t>Totaal plus verlening en optioneel</t>
  </si>
  <si>
    <t>Optioneel - Werving en Selectie</t>
  </si>
  <si>
    <t>Optioneel - Opleiding</t>
  </si>
  <si>
    <t>Optioneel - Verzuim</t>
  </si>
  <si>
    <t>Optioneel - FAQ/HR content management</t>
  </si>
  <si>
    <t>Prijs</t>
  </si>
  <si>
    <t>Opt W&amp;S</t>
  </si>
  <si>
    <t>Opt Opleiding</t>
  </si>
  <si>
    <t>Opt Verz</t>
  </si>
  <si>
    <t>Opt FAQ</t>
  </si>
  <si>
    <t>Uurtarief</t>
  </si>
  <si>
    <t>Kosten</t>
  </si>
  <si>
    <t>Nadeel van de optionele functionaliteiten apart wegen is dat ze net te zwaar meetellen?</t>
  </si>
  <si>
    <t>ALLEEN DE BLAUWE CELLEN ZIJN DOOR INSCHRIJVER IN TE VULLEN</t>
  </si>
  <si>
    <t>naam inschrijver</t>
  </si>
  <si>
    <t>Prijsmodel</t>
  </si>
  <si>
    <t>Structurele kosten</t>
  </si>
  <si>
    <t xml:space="preserve">aantal medewerkers </t>
  </si>
  <si>
    <r>
      <t xml:space="preserve">Aantal studenten </t>
    </r>
    <r>
      <rPr>
        <b/>
        <vertAlign val="superscript"/>
        <sz val="11"/>
        <color theme="1"/>
        <rFont val="Calibri"/>
        <family val="2"/>
        <scheme val="minor"/>
      </rPr>
      <t xml:space="preserve"> 1)</t>
    </r>
  </si>
  <si>
    <t>prijs per meetellend account per schooljaar</t>
  </si>
  <si>
    <t>Eventuele korting</t>
  </si>
  <si>
    <t>Prijs totaal</t>
  </si>
  <si>
    <t>schooljaar 2020-2021 - 1e kleine tranche; periode 3/4 (inrichting- en pilotjaar)</t>
  </si>
  <si>
    <t>schooljaar 2021-2022 (vanaf 01-08-2021) 2e tranche</t>
  </si>
  <si>
    <t>schooljaar 2022-2023 (vanaf 01-08-2022) 3e tranche</t>
  </si>
  <si>
    <t>schooljaar 2023-2024 (vanaf 01-08-2023) 4e tranche</t>
  </si>
  <si>
    <r>
      <t>schooljaar 2024-2025 (vanaf 01-08-2024) laatste tranche</t>
    </r>
    <r>
      <rPr>
        <vertAlign val="superscript"/>
        <sz val="11"/>
        <color theme="1"/>
        <rFont val="Calibri"/>
        <family val="2"/>
        <scheme val="minor"/>
      </rPr>
      <t xml:space="preserve"> 1)</t>
    </r>
  </si>
  <si>
    <t>schooljaar 2025-2026</t>
  </si>
  <si>
    <t>schooljaar 2026-2027</t>
  </si>
  <si>
    <t>schooljaar 2027-2028</t>
  </si>
  <si>
    <t>extra kosten tbv plagiaatcontrole voor volledige contractperiode van 8 jaar 
(indien in eigen LMS aanwezig dan vult u het bedrag in cel B46 in, dit mag €0 zijn; indien u de functionaliteit niet biedt, laat u de cel leeg en wordt het standaardbedrag uit cel C46 door ons meegenomen in de berekening)</t>
  </si>
  <si>
    <t>extra kosten tbv tool voor synchroon onderwijs op afstand voor volledige contractperiode van 8 jaar 
(indien in eigen LMS aanwezig dan vult u in cel B47 het bedrag in, dit mag €0 zijn; indien u de functionaliteit niet biedt, laat u de cel leeg en wordt het standaardbedrag uit cel C47 door ons meegenomen in de berekening)</t>
  </si>
  <si>
    <t>TOTAAL structurele kosten</t>
  </si>
  <si>
    <t>Eenmalige kosten</t>
  </si>
  <si>
    <t>Implementatie kosten PoC</t>
  </si>
  <si>
    <t>Opleidingskosten (inclusief 'train de trainer' principe)</t>
  </si>
  <si>
    <t>Systeem integratie (koppelingen) / inrichting</t>
  </si>
  <si>
    <t>Kosten uitrol / pilots (exclusief PoC) van 1 augustus 2020 tot en met 31 juli 2021</t>
  </si>
  <si>
    <t>Uurtarief t.b.v. consultancy uren tijdens uitrol in schooljaar 2021-2022 *)</t>
  </si>
  <si>
    <t>120 uur</t>
  </si>
  <si>
    <t>Uurtarief t.b.v. consultancy uren tijdens uitrol in schooljaar 2022-2023 *)</t>
  </si>
  <si>
    <t>Uurtarief t.b.v. consultancy uren tijdens uitrol in schooljaar 2023-2024 *)</t>
  </si>
  <si>
    <t>Uurtarief t.b.v. consultancy uren tijdens uitrol in schooljaar 2024-2025 *)</t>
  </si>
  <si>
    <t>Totale contractprijs bruto excl. BTW</t>
  </si>
  <si>
    <t>Korting</t>
  </si>
  <si>
    <t>HET BEDRAG UIT CEL F40 WORDT ALS REKENBEDRAG VOOR DE PRIJSBEOORDELING GENOMEN</t>
  </si>
  <si>
    <t>Totale contractprijs netto excl. BTW</t>
  </si>
  <si>
    <t>1) Zie ook Annex 7 - LMS tijdpad en gebruikersaantallen</t>
  </si>
  <si>
    <t>Totale contractprijs netto incl. BTW</t>
  </si>
  <si>
    <t>2) Zie ook antwoord op vraag .. uit de Nota van Inlichtingen dd. ...</t>
  </si>
  <si>
    <t>Indien inschrijver de onderstaande aanvullende functionaliteit(en) niet aanbiedt als onderdeel van zijn LMS dan neemt ROC MN hier de standaardbedragen op, zoals hieronder genoemd bij 'standaardprijs excl. BTW'. 
Hier mag enkel een bedrag door inschrijver worden ingevuld, indien dit ook binnen uw LMS door inschrijver wordt aangeboden (geen functionaliteit van derden)</t>
  </si>
  <si>
    <t>aanvullende functionaliteiten </t>
  </si>
  <si>
    <t>inschrijfprijs excl. BTW</t>
  </si>
  <si>
    <t>standaardprijs excl. BTW</t>
  </si>
  <si>
    <r>
      <t xml:space="preserve">Tool voor controleren plagiaat voor de contractduur van 8 jaar 
(indien in eigen LMS aanwezig dan vult u het bedrag in cel B46 in, dit mag €0 zijn; indien u de functionaliteit niet biedt, laat u cel B46 leeg en wordt het standaardbedrag uit cel C46 door ons meegenomen in de berekening) </t>
    </r>
    <r>
      <rPr>
        <vertAlign val="superscript"/>
        <sz val="11"/>
        <color rgb="FFFF0000"/>
        <rFont val="Calibri"/>
        <family val="2"/>
        <scheme val="minor"/>
      </rPr>
      <t>2)</t>
    </r>
  </si>
  <si>
    <r>
      <t xml:space="preserve">Tool voor synchroon onderwijs op afstand (groepsomgeving /virtuele klasruimte t.b.v. chat, video-conferencing);
voor volledige contractperiode van 8 jaar (indien in eigen LMS aanwezig dan vult u in cel B47 het bedrag in, dit mag €0 zijn; indien u de functionaliteit niet biedt, laat u cel B47 leeg en wordt het standaardbedrag uit cel C47 door ons meegenomen in de berekening) </t>
    </r>
    <r>
      <rPr>
        <vertAlign val="superscript"/>
        <sz val="11"/>
        <color rgb="FFFF0000"/>
        <rFont val="Calibri"/>
        <family val="2"/>
        <scheme val="minor"/>
      </rPr>
      <t>2)</t>
    </r>
  </si>
  <si>
    <t>Mocht uw applicatie bestaan uit meerdere onderdelen dan willen we graag inzichtelijk krijgen wat de prijs per onderdeel is. Hieronder kunt u de onderverdeling aangeven:</t>
  </si>
  <si>
    <t>Onderdelen</t>
  </si>
  <si>
    <t>Prijs per gebruiker</t>
  </si>
  <si>
    <t>[Onderdeel A]</t>
  </si>
  <si>
    <t>[Onderdeel B]</t>
  </si>
  <si>
    <t>[Onderdeel C]</t>
  </si>
  <si>
    <t>[Onderdeel D]</t>
  </si>
  <si>
    <t>[Onderdeel E]</t>
  </si>
  <si>
    <t>Aannames leverancier bij bovenstaande prijzen:</t>
  </si>
  <si>
    <t>*) Consultancy uren</t>
  </si>
  <si>
    <t>Vul hier het uurtarief in. Dit is inclusief reistijd en reiskosten, maar exclusief BTW. Zie paragraaf 5.8 Aanbestedingsdocument.</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</si>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</sst>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quot;€&quot;\ \-#,##0.00"/>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_ * #,##0_ ;_ * \-#,##0_ ;_ * &quot;-&quot;??_ ;_ @_ "/>
    <numFmt numFmtId="166" formatCode="&quot;€&quot;\ #,##0.00"/>
    <numFmt numFmtId="167" formatCode="[$€-413]\ #,##0.00;[$€-413]\ \-#,##0.00"/>
  </numFmts>
  <fonts count="23">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rgb="FFFFFFFF"/>
      <name val="Calibri"/>
      <family val="2"/>
      <scheme val="minor"/>
    </font>
    <font>
      <sz val="11"/>
      <color rgb="FFFF0000"/>
      <name val="Calibri"/>
      <family val="2"/>
      <scheme val="minor"/>
    </font>
    <font>
      <i/>
      <sz val="11"/>
      <color rgb="FFFF0000"/>
      <name val="Calibri"/>
      <family val="2"/>
      <scheme val="minor"/>
    </font>
    <font>
      <b/>
      <i/>
      <sz val="11"/>
      <color theme="1"/>
      <name val="Calibri"/>
      <family val="2"/>
      <scheme val="minor"/>
    </font>
    <font>
      <i/>
      <sz val="11"/>
      <name val="Calibri"/>
      <family val="2"/>
      <scheme val="minor"/>
    </font>
    <font>
      <sz val="11"/>
      <color rgb="FF000000"/>
      <name val="Calibri"/>
      <family val="2"/>
      <scheme val="minor"/>
    </font>
    <font>
      <sz val="8"/>
      <color theme="1"/>
      <name val="Calibri"/>
      <family val="2"/>
      <scheme val="minor"/>
    </font>
    <font>
      <sz val="10"/>
      <color theme="1"/>
      <name val="Symbol"/>
      <family val="1"/>
      <charset val="2"/>
    </font>
    <font>
      <sz val="11"/>
      <color theme="1"/>
      <name val="Calibri"/>
      <family val="2"/>
    </font>
    <font>
      <sz val="11"/>
      <color rgb="FF000000"/>
      <name val="Calibri"/>
      <family val="2"/>
    </font>
    <font>
      <sz val="9.5"/>
      <color theme="1"/>
      <name val="Symbol"/>
      <family val="1"/>
      <charset val="2"/>
    </font>
    <font>
      <b/>
      <vertAlign val="superscript"/>
      <sz val="11"/>
      <color theme="1"/>
      <name val="Calibri"/>
      <family val="2"/>
      <scheme val="minor"/>
    </font>
    <font>
      <vertAlign val="superscript"/>
      <sz val="11"/>
      <color theme="1"/>
      <name val="Calibri"/>
      <family val="2"/>
      <scheme val="minor"/>
    </font>
    <font>
      <b/>
      <sz val="11"/>
      <name val="Calibri"/>
      <family val="2"/>
      <scheme val="minor"/>
    </font>
    <font>
      <vertAlign val="superscript"/>
      <sz val="11"/>
      <color rgb="FFFF0000"/>
      <name val="Calibri"/>
      <family val="2"/>
      <scheme val="minor"/>
    </font>
  </fonts>
  <fills count="16">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193">
    <xf numFmtId="0" fontId="0" fillId="0" borderId="0" xfId="0"/>
    <xf numFmtId="0" fontId="0" fillId="0" borderId="1" xfId="0" applyBorder="1"/>
    <xf numFmtId="42" fontId="0" fillId="3" borderId="1" xfId="0" applyNumberFormat="1" applyFill="1" applyBorder="1"/>
    <xf numFmtId="0" fontId="1" fillId="3" borderId="1" xfId="0" applyFont="1" applyFill="1" applyBorder="1"/>
    <xf numFmtId="0" fontId="0" fillId="0" borderId="0" xfId="0" applyAlignment="1">
      <alignment horizontal="center"/>
    </xf>
    <xf numFmtId="164" fontId="0" fillId="3" borderId="1" xfId="0" applyNumberFormat="1" applyFill="1" applyBorder="1" applyAlignment="1">
      <alignment horizontal="center"/>
    </xf>
    <xf numFmtId="0" fontId="1" fillId="4" borderId="1" xfId="0" applyFont="1" applyFill="1" applyBorder="1"/>
    <xf numFmtId="164" fontId="0" fillId="4" borderId="1" xfId="0" applyNumberFormat="1" applyFill="1" applyBorder="1" applyAlignment="1">
      <alignment horizontal="center"/>
    </xf>
    <xf numFmtId="1" fontId="0" fillId="4" borderId="1" xfId="0" applyNumberFormat="1" applyFill="1" applyBorder="1" applyAlignment="1">
      <alignment horizontal="center"/>
    </xf>
    <xf numFmtId="44" fontId="4" fillId="3" borderId="1" xfId="0" applyNumberFormat="1" applyFont="1" applyFill="1" applyBorder="1"/>
    <xf numFmtId="42" fontId="0" fillId="3" borderId="0" xfId="0" applyNumberFormat="1" applyFill="1" applyBorder="1"/>
    <xf numFmtId="42" fontId="0" fillId="3" borderId="1" xfId="0" applyNumberFormat="1" applyFont="1" applyFill="1" applyBorder="1"/>
    <xf numFmtId="0" fontId="4" fillId="0" borderId="0" xfId="0" applyFont="1"/>
    <xf numFmtId="0" fontId="1" fillId="5" borderId="1" xfId="0" applyFont="1" applyFill="1" applyBorder="1"/>
    <xf numFmtId="0" fontId="1" fillId="6" borderId="1" xfId="0" applyFont="1" applyFill="1" applyBorder="1"/>
    <xf numFmtId="0" fontId="1" fillId="7" borderId="1" xfId="0" applyFont="1" applyFill="1" applyBorder="1"/>
    <xf numFmtId="44" fontId="0" fillId="7" borderId="1" xfId="0" applyNumberFormat="1" applyFill="1" applyBorder="1"/>
    <xf numFmtId="1" fontId="0" fillId="3" borderId="1" xfId="0" applyNumberFormat="1" applyFill="1" applyBorder="1" applyAlignment="1">
      <alignment horizontal="center"/>
    </xf>
    <xf numFmtId="1" fontId="0" fillId="5" borderId="1" xfId="0" applyNumberFormat="1" applyFill="1" applyBorder="1" applyAlignment="1">
      <alignment horizontal="center"/>
    </xf>
    <xf numFmtId="42" fontId="4" fillId="5" borderId="1" xfId="0" applyNumberFormat="1" applyFont="1" applyFill="1" applyBorder="1"/>
    <xf numFmtId="164" fontId="0" fillId="5" borderId="1" xfId="0" applyNumberFormat="1" applyFill="1" applyBorder="1" applyAlignment="1">
      <alignment horizontal="center"/>
    </xf>
    <xf numFmtId="42" fontId="0" fillId="5" borderId="1" xfId="0" applyNumberFormat="1" applyFill="1" applyBorder="1"/>
    <xf numFmtId="0" fontId="1" fillId="5" borderId="2" xfId="0" applyFont="1" applyFill="1" applyBorder="1"/>
    <xf numFmtId="164" fontId="0" fillId="5" borderId="2" xfId="0" applyNumberFormat="1" applyFill="1" applyBorder="1" applyAlignment="1">
      <alignment horizontal="center"/>
    </xf>
    <xf numFmtId="1" fontId="0" fillId="7" borderId="1" xfId="0" applyNumberFormat="1" applyFill="1" applyBorder="1" applyAlignment="1">
      <alignment horizontal="center"/>
    </xf>
    <xf numFmtId="0" fontId="1" fillId="0" borderId="0" xfId="0" applyFont="1" applyFill="1" applyBorder="1"/>
    <xf numFmtId="1" fontId="0" fillId="0" borderId="0" xfId="0" applyNumberFormat="1" applyFill="1" applyBorder="1" applyAlignment="1">
      <alignment horizontal="center"/>
    </xf>
    <xf numFmtId="42" fontId="0" fillId="0" borderId="0" xfId="0" applyNumberFormat="1" applyFill="1" applyBorder="1"/>
    <xf numFmtId="0" fontId="1" fillId="3" borderId="2" xfId="0" applyFont="1" applyFill="1" applyBorder="1"/>
    <xf numFmtId="1" fontId="0" fillId="3" borderId="2" xfId="0" applyNumberFormat="1" applyFill="1" applyBorder="1" applyAlignment="1">
      <alignment horizontal="center"/>
    </xf>
    <xf numFmtId="42" fontId="0" fillId="9" borderId="1" xfId="0" applyNumberFormat="1" applyFill="1" applyBorder="1"/>
    <xf numFmtId="0" fontId="1" fillId="9" borderId="1" xfId="0" applyFont="1" applyFill="1" applyBorder="1"/>
    <xf numFmtId="164" fontId="0" fillId="9" borderId="1" xfId="0" applyNumberFormat="1" applyFill="1" applyBorder="1"/>
    <xf numFmtId="42" fontId="0" fillId="7" borderId="1" xfId="0" applyNumberFormat="1" applyFill="1" applyBorder="1"/>
    <xf numFmtId="0" fontId="1" fillId="0" borderId="0" xfId="0" applyFont="1"/>
    <xf numFmtId="1" fontId="0" fillId="6" borderId="1" xfId="0" applyNumberFormat="1" applyFill="1" applyBorder="1" applyAlignment="1">
      <alignment horizontal="center"/>
    </xf>
    <xf numFmtId="164" fontId="0" fillId="6" borderId="1" xfId="0" applyNumberFormat="1" applyFill="1" applyBorder="1"/>
    <xf numFmtId="0" fontId="4" fillId="0" borderId="1" xfId="0" applyFont="1" applyBorder="1"/>
    <xf numFmtId="0" fontId="0" fillId="0" borderId="0" xfId="0" applyBorder="1" applyAlignment="1">
      <alignment horizontal="center" vertical="center"/>
    </xf>
    <xf numFmtId="0" fontId="1" fillId="10" borderId="1" xfId="0" applyFont="1" applyFill="1" applyBorder="1"/>
    <xf numFmtId="0" fontId="1" fillId="11" borderId="1" xfId="0" applyFont="1" applyFill="1" applyBorder="1"/>
    <xf numFmtId="0" fontId="1" fillId="2" borderId="1" xfId="0" applyFont="1" applyFill="1" applyBorder="1"/>
    <xf numFmtId="0" fontId="1" fillId="8" borderId="1" xfId="0" applyFont="1" applyFill="1" applyBorder="1"/>
    <xf numFmtId="42" fontId="0" fillId="10" borderId="1" xfId="0" applyNumberFormat="1" applyFill="1" applyBorder="1"/>
    <xf numFmtId="42" fontId="0" fillId="11" borderId="1" xfId="0" applyNumberFormat="1" applyFill="1" applyBorder="1"/>
    <xf numFmtId="42" fontId="0" fillId="2" borderId="1" xfId="0" applyNumberFormat="1" applyFill="1" applyBorder="1"/>
    <xf numFmtId="42" fontId="0" fillId="8" borderId="1" xfId="0" applyNumberFormat="1" applyFill="1" applyBorder="1"/>
    <xf numFmtId="164" fontId="0" fillId="11" borderId="1" xfId="0" applyNumberFormat="1" applyFill="1" applyBorder="1"/>
    <xf numFmtId="164" fontId="0" fillId="10" borderId="1" xfId="0" applyNumberFormat="1" applyFill="1" applyBorder="1"/>
    <xf numFmtId="164" fontId="0" fillId="2" borderId="1" xfId="0" applyNumberFormat="1" applyFill="1" applyBorder="1"/>
    <xf numFmtId="164" fontId="0" fillId="8" borderId="1" xfId="0" applyNumberFormat="1" applyFill="1" applyBorder="1"/>
    <xf numFmtId="0" fontId="8" fillId="0" borderId="0" xfId="0" applyFont="1"/>
    <xf numFmtId="0" fontId="0" fillId="0" borderId="0" xfId="0" applyAlignment="1">
      <alignment wrapText="1"/>
    </xf>
    <xf numFmtId="0" fontId="1" fillId="7" borderId="1" xfId="0" applyFont="1" applyFill="1" applyBorder="1" applyAlignment="1">
      <alignment wrapText="1"/>
    </xf>
    <xf numFmtId="1" fontId="0" fillId="2" borderId="1" xfId="0" applyNumberFormat="1" applyFill="1" applyBorder="1" applyAlignment="1">
      <alignment horizontal="center"/>
    </xf>
    <xf numFmtId="1" fontId="0" fillId="10" borderId="1" xfId="0" applyNumberFormat="1" applyFill="1" applyBorder="1" applyAlignment="1">
      <alignment horizontal="center"/>
    </xf>
    <xf numFmtId="1" fontId="0" fillId="11" borderId="1" xfId="0" applyNumberFormat="1" applyFill="1" applyBorder="1" applyAlignment="1">
      <alignment horizontal="center"/>
    </xf>
    <xf numFmtId="1" fontId="0" fillId="8" borderId="1" xfId="0" applyNumberFormat="1" applyFill="1" applyBorder="1" applyAlignment="1">
      <alignment horizontal="center"/>
    </xf>
    <xf numFmtId="0" fontId="9" fillId="0" borderId="0" xfId="0" applyFont="1"/>
    <xf numFmtId="0" fontId="10" fillId="0" borderId="1" xfId="0" applyFont="1" applyBorder="1"/>
    <xf numFmtId="0" fontId="10" fillId="0" borderId="0" xfId="0" applyFont="1" applyBorder="1"/>
    <xf numFmtId="0" fontId="1" fillId="0" borderId="1" xfId="0" applyFont="1" applyFill="1" applyBorder="1"/>
    <xf numFmtId="0" fontId="8" fillId="0" borderId="0" xfId="0" applyFont="1" applyFill="1" applyBorder="1"/>
    <xf numFmtId="0" fontId="1" fillId="0" borderId="1" xfId="0" applyFont="1" applyBorder="1"/>
    <xf numFmtId="0" fontId="10" fillId="0" borderId="3" xfId="0" applyFont="1" applyBorder="1"/>
    <xf numFmtId="0" fontId="10" fillId="0" borderId="0" xfId="0" applyFont="1" applyFill="1" applyBorder="1"/>
    <xf numFmtId="0" fontId="3" fillId="0" borderId="0" xfId="0" applyFont="1" applyFill="1" applyBorder="1"/>
    <xf numFmtId="44" fontId="1" fillId="0" borderId="0" xfId="0" applyNumberFormat="1" applyFont="1" applyFill="1" applyBorder="1"/>
    <xf numFmtId="0" fontId="3" fillId="0" borderId="0" xfId="0" applyFont="1" applyBorder="1"/>
    <xf numFmtId="44" fontId="0" fillId="0" borderId="0" xfId="2" applyFont="1"/>
    <xf numFmtId="0" fontId="0" fillId="0" borderId="0" xfId="0" applyFont="1"/>
    <xf numFmtId="0" fontId="0" fillId="0" borderId="1" xfId="0" applyFont="1" applyBorder="1"/>
    <xf numFmtId="0" fontId="0" fillId="0" borderId="0" xfId="0" applyFont="1" applyFill="1" applyBorder="1"/>
    <xf numFmtId="0" fontId="0" fillId="0" borderId="0" xfId="0" applyFont="1" applyFill="1" applyBorder="1" applyAlignment="1">
      <alignment wrapText="1"/>
    </xf>
    <xf numFmtId="0" fontId="0" fillId="0" borderId="0" xfId="0" applyFont="1" applyBorder="1"/>
    <xf numFmtId="42" fontId="0" fillId="0" borderId="0" xfId="0" applyNumberFormat="1" applyFont="1" applyFill="1" applyBorder="1"/>
    <xf numFmtId="9" fontId="0" fillId="12" borderId="1" xfId="0" applyNumberFormat="1" applyFont="1" applyFill="1" applyBorder="1" applyAlignment="1">
      <alignment horizontal="center"/>
    </xf>
    <xf numFmtId="1" fontId="0" fillId="0" borderId="0" xfId="0" applyNumberFormat="1" applyFont="1" applyFill="1" applyBorder="1" applyAlignment="1">
      <alignment horizontal="center"/>
    </xf>
    <xf numFmtId="164" fontId="0" fillId="0" borderId="0" xfId="0" applyNumberFormat="1" applyFont="1" applyFill="1" applyBorder="1"/>
    <xf numFmtId="9" fontId="0" fillId="0" borderId="0" xfId="0" applyNumberFormat="1" applyFont="1" applyFill="1" applyBorder="1" applyAlignment="1">
      <alignment horizontal="center"/>
    </xf>
    <xf numFmtId="44" fontId="0" fillId="0" borderId="0" xfId="0" applyNumberFormat="1" applyFont="1" applyFill="1" applyBorder="1"/>
    <xf numFmtId="44" fontId="0" fillId="0" borderId="0" xfId="0" applyNumberFormat="1" applyFont="1" applyBorder="1"/>
    <xf numFmtId="0" fontId="0" fillId="0" borderId="1" xfId="0" applyFont="1" applyFill="1" applyBorder="1" applyAlignment="1">
      <alignment vertical="center"/>
    </xf>
    <xf numFmtId="164" fontId="0" fillId="0" borderId="0" xfId="0" applyNumberFormat="1" applyFont="1" applyFill="1" applyBorder="1" applyAlignment="1">
      <alignment horizontal="center"/>
    </xf>
    <xf numFmtId="0" fontId="0" fillId="0" borderId="0" xfId="0" applyFont="1" applyFill="1" applyBorder="1" applyAlignment="1">
      <alignment vertical="center"/>
    </xf>
    <xf numFmtId="0" fontId="4" fillId="0" borderId="0" xfId="0" applyFont="1" applyBorder="1" applyAlignment="1">
      <alignment vertical="center"/>
    </xf>
    <xf numFmtId="0" fontId="0" fillId="13" borderId="0" xfId="0" applyFont="1" applyFill="1"/>
    <xf numFmtId="0" fontId="13" fillId="0" borderId="0" xfId="0" applyFont="1"/>
    <xf numFmtId="43" fontId="0" fillId="0" borderId="0" xfId="1" applyFont="1"/>
    <xf numFmtId="9" fontId="0" fillId="0" borderId="0" xfId="0" applyNumberFormat="1"/>
    <xf numFmtId="43" fontId="0" fillId="0" borderId="0" xfId="0" applyNumberFormat="1"/>
    <xf numFmtId="0" fontId="12" fillId="0" borderId="0" xfId="0" applyFont="1" applyAlignment="1">
      <alignment horizontal="right"/>
    </xf>
    <xf numFmtId="44" fontId="0" fillId="0" borderId="0" xfId="0" applyNumberFormat="1"/>
    <xf numFmtId="9" fontId="0" fillId="0" borderId="0" xfId="0" applyNumberFormat="1" applyAlignment="1">
      <alignment horizontal="center"/>
    </xf>
    <xf numFmtId="0" fontId="0" fillId="0" borderId="2" xfId="0" applyBorder="1"/>
    <xf numFmtId="164" fontId="0" fillId="0" borderId="0" xfId="0" applyNumberFormat="1"/>
    <xf numFmtId="42" fontId="4" fillId="0" borderId="0" xfId="0" applyNumberFormat="1" applyFont="1"/>
    <xf numFmtId="42" fontId="0" fillId="0" borderId="0" xfId="0" applyNumberFormat="1"/>
    <xf numFmtId="1" fontId="0" fillId="0" borderId="0" xfId="0" applyNumberFormat="1" applyAlignment="1">
      <alignment horizontal="center"/>
    </xf>
    <xf numFmtId="0" fontId="1" fillId="0" borderId="0" xfId="0" applyFont="1" applyAlignment="1">
      <alignment wrapText="1"/>
    </xf>
    <xf numFmtId="0" fontId="11" fillId="0" borderId="0" xfId="0" applyFont="1"/>
    <xf numFmtId="165" fontId="0" fillId="0" borderId="1" xfId="1" applyNumberFormat="1" applyFont="1" applyBorder="1"/>
    <xf numFmtId="0" fontId="16" fillId="0" borderId="0" xfId="0" applyFont="1" applyAlignment="1">
      <alignment horizontal="left" vertical="center" indent="2"/>
    </xf>
    <xf numFmtId="0" fontId="17" fillId="0" borderId="0" xfId="0" applyFont="1" applyAlignment="1">
      <alignment horizontal="left" vertical="center" indent="2"/>
    </xf>
    <xf numFmtId="0" fontId="18" fillId="0" borderId="0" xfId="0" applyFont="1" applyAlignment="1">
      <alignment horizontal="left" vertical="center" indent="2"/>
    </xf>
    <xf numFmtId="0" fontId="0" fillId="14" borderId="2" xfId="0" applyFont="1" applyFill="1" applyBorder="1"/>
    <xf numFmtId="44" fontId="0" fillId="14" borderId="1" xfId="0" applyNumberFormat="1" applyFill="1" applyBorder="1"/>
    <xf numFmtId="0" fontId="0" fillId="14" borderId="0" xfId="0" applyFont="1" applyFill="1"/>
    <xf numFmtId="0" fontId="15" fillId="14" borderId="0" xfId="0" applyFont="1" applyFill="1" applyAlignment="1">
      <alignment horizontal="left" vertical="center" indent="2"/>
    </xf>
    <xf numFmtId="0" fontId="16" fillId="14" borderId="0" xfId="0" applyFont="1" applyFill="1" applyAlignment="1">
      <alignment horizontal="left" vertical="center" indent="2"/>
    </xf>
    <xf numFmtId="0" fontId="1" fillId="14" borderId="1" xfId="0" applyFont="1" applyFill="1" applyBorder="1"/>
    <xf numFmtId="0" fontId="0" fillId="0" borderId="1" xfId="0" applyBorder="1" applyAlignment="1">
      <alignment wrapText="1"/>
    </xf>
    <xf numFmtId="0" fontId="4" fillId="0" borderId="6" xfId="0" applyFont="1" applyBorder="1"/>
    <xf numFmtId="9" fontId="0" fillId="0" borderId="7" xfId="0" applyNumberFormat="1" applyBorder="1" applyAlignment="1">
      <alignment horizontal="center"/>
    </xf>
    <xf numFmtId="0" fontId="4" fillId="0" borderId="4" xfId="0" applyFont="1" applyBorder="1"/>
    <xf numFmtId="0" fontId="0" fillId="0" borderId="8" xfId="0" applyBorder="1"/>
    <xf numFmtId="0" fontId="4" fillId="0" borderId="5" xfId="0" applyFont="1" applyBorder="1"/>
    <xf numFmtId="0" fontId="0" fillId="0" borderId="9" xfId="0" applyBorder="1"/>
    <xf numFmtId="44" fontId="1" fillId="0" borderId="1" xfId="0" applyNumberFormat="1" applyFont="1" applyBorder="1"/>
    <xf numFmtId="0" fontId="1" fillId="0" borderId="1" xfId="0" applyFont="1" applyBorder="1" applyAlignment="1">
      <alignment horizontal="center" vertical="center" wrapText="1"/>
    </xf>
    <xf numFmtId="0" fontId="1" fillId="0" borderId="2" xfId="0" applyFont="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42" fontId="0" fillId="0" borderId="0" xfId="0" applyNumberFormat="1" applyFont="1" applyFill="1" applyBorder="1" applyAlignment="1">
      <alignment horizontal="center" vertical="center"/>
    </xf>
    <xf numFmtId="0" fontId="0" fillId="0" borderId="0" xfId="0" applyFont="1" applyAlignment="1">
      <alignment horizontal="center" vertical="center"/>
    </xf>
    <xf numFmtId="165" fontId="5" fillId="14" borderId="1" xfId="1" applyNumberFormat="1" applyFont="1" applyFill="1" applyBorder="1"/>
    <xf numFmtId="0" fontId="14" fillId="14" borderId="0" xfId="0" applyFont="1" applyFill="1"/>
    <xf numFmtId="0" fontId="4" fillId="0" borderId="10" xfId="0" applyFont="1" applyBorder="1"/>
    <xf numFmtId="0" fontId="4" fillId="0" borderId="0" xfId="0" applyFont="1" applyBorder="1"/>
    <xf numFmtId="0" fontId="4" fillId="0" borderId="11" xfId="0" applyFont="1" applyBorder="1"/>
    <xf numFmtId="0" fontId="0" fillId="0" borderId="0" xfId="0" applyBorder="1"/>
    <xf numFmtId="0" fontId="0" fillId="0" borderId="3" xfId="0" applyFont="1" applyBorder="1"/>
    <xf numFmtId="44" fontId="0" fillId="14" borderId="3" xfId="0" applyNumberFormat="1" applyFill="1" applyBorder="1"/>
    <xf numFmtId="44" fontId="0" fillId="14" borderId="3" xfId="2" applyFont="1" applyFill="1" applyBorder="1"/>
    <xf numFmtId="9" fontId="1" fillId="0" borderId="0" xfId="0" applyNumberFormat="1" applyFont="1" applyAlignment="1">
      <alignment horizontal="right"/>
    </xf>
    <xf numFmtId="44" fontId="1" fillId="0" borderId="0" xfId="0" applyNumberFormat="1" applyFont="1" applyBorder="1"/>
    <xf numFmtId="0" fontId="0" fillId="0" borderId="1" xfId="0" applyBorder="1" applyAlignment="1">
      <alignment horizontal="right" wrapText="1"/>
    </xf>
    <xf numFmtId="0" fontId="0" fillId="0" borderId="1" xfId="0" applyFont="1" applyBorder="1" applyAlignment="1">
      <alignment horizontal="right"/>
    </xf>
    <xf numFmtId="0" fontId="1" fillId="0" borderId="0" xfId="0" applyFont="1" applyBorder="1"/>
    <xf numFmtId="0" fontId="0" fillId="0" borderId="6" xfId="0" applyFont="1" applyBorder="1"/>
    <xf numFmtId="0" fontId="0" fillId="0" borderId="4" xfId="0" applyBorder="1"/>
    <xf numFmtId="0" fontId="0" fillId="0" borderId="5" xfId="0" applyBorder="1"/>
    <xf numFmtId="165" fontId="0" fillId="14" borderId="1" xfId="1" applyNumberFormat="1" applyFont="1" applyFill="1" applyBorder="1"/>
    <xf numFmtId="0" fontId="1" fillId="0" borderId="2" xfId="0" applyFont="1" applyBorder="1" applyAlignment="1">
      <alignment horizontal="center" vertical="center"/>
    </xf>
    <xf numFmtId="0" fontId="0" fillId="4" borderId="1" xfId="0" applyFont="1" applyFill="1" applyBorder="1"/>
    <xf numFmtId="165" fontId="0" fillId="4" borderId="1" xfId="1" applyNumberFormat="1" applyFont="1" applyFill="1" applyBorder="1"/>
    <xf numFmtId="44" fontId="0" fillId="14" borderId="1" xfId="2" applyFont="1" applyFill="1" applyBorder="1" applyAlignment="1">
      <alignment wrapText="1"/>
    </xf>
    <xf numFmtId="44" fontId="1" fillId="0" borderId="12" xfId="0" applyNumberFormat="1" applyFont="1" applyBorder="1"/>
    <xf numFmtId="165" fontId="0" fillId="14" borderId="1" xfId="1" applyNumberFormat="1" applyFont="1" applyFill="1" applyBorder="1" applyAlignment="1">
      <alignment horizontal="left" vertical="center"/>
    </xf>
    <xf numFmtId="165" fontId="0" fillId="0" borderId="1" xfId="1" applyNumberFormat="1" applyFont="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1" fontId="0" fillId="0" borderId="0" xfId="0" applyNumberFormat="1" applyAlignment="1">
      <alignment horizontal="left" vertical="center"/>
    </xf>
    <xf numFmtId="42" fontId="0" fillId="0" borderId="0" xfId="0" applyNumberFormat="1" applyAlignment="1">
      <alignment horizontal="left" vertical="center"/>
    </xf>
    <xf numFmtId="42" fontId="4" fillId="0" borderId="0" xfId="0" applyNumberFormat="1" applyFont="1" applyAlignment="1">
      <alignment horizontal="left" vertical="center"/>
    </xf>
    <xf numFmtId="164" fontId="0" fillId="0" borderId="0" xfId="0" applyNumberFormat="1" applyAlignment="1">
      <alignment horizontal="left" vertical="center"/>
    </xf>
    <xf numFmtId="0" fontId="1" fillId="14" borderId="0" xfId="0" applyFont="1" applyFill="1" applyAlignment="1">
      <alignment horizontal="center"/>
    </xf>
    <xf numFmtId="0" fontId="1" fillId="14" borderId="0" xfId="0" applyFont="1" applyFill="1" applyAlignment="1">
      <alignment horizontal="right"/>
    </xf>
    <xf numFmtId="9" fontId="0" fillId="12" borderId="4" xfId="0" applyNumberFormat="1" applyFill="1" applyBorder="1" applyAlignment="1">
      <alignment horizontal="center"/>
    </xf>
    <xf numFmtId="44" fontId="0" fillId="0" borderId="13" xfId="0" applyNumberFormat="1" applyBorder="1"/>
    <xf numFmtId="44" fontId="0" fillId="0" borderId="12" xfId="0" applyNumberFormat="1" applyFont="1" applyBorder="1"/>
    <xf numFmtId="44" fontId="1" fillId="13" borderId="16" xfId="0" applyNumberFormat="1" applyFont="1" applyFill="1" applyBorder="1"/>
    <xf numFmtId="0" fontId="9" fillId="14" borderId="1" xfId="0" applyFont="1" applyFill="1" applyBorder="1" applyAlignment="1">
      <alignment vertical="center" wrapText="1"/>
    </xf>
    <xf numFmtId="166" fontId="5" fillId="15" borderId="1" xfId="2" applyNumberFormat="1" applyFont="1" applyFill="1" applyBorder="1"/>
    <xf numFmtId="7" fontId="5" fillId="12" borderId="1" xfId="2" applyNumberFormat="1" applyFont="1" applyFill="1" applyBorder="1"/>
    <xf numFmtId="167" fontId="0" fillId="14" borderId="1" xfId="0" applyNumberFormat="1" applyFont="1" applyFill="1" applyBorder="1"/>
    <xf numFmtId="7" fontId="0" fillId="12" borderId="1" xfId="0" applyNumberFormat="1" applyFill="1" applyBorder="1"/>
    <xf numFmtId="7" fontId="0" fillId="15" borderId="1" xfId="2" applyNumberFormat="1" applyFont="1" applyFill="1" applyBorder="1"/>
    <xf numFmtId="7" fontId="5" fillId="15" borderId="1" xfId="2" applyNumberFormat="1" applyFont="1" applyFill="1" applyBorder="1"/>
    <xf numFmtId="167" fontId="5" fillId="12" borderId="1" xfId="2" applyNumberFormat="1" applyFont="1" applyFill="1" applyBorder="1" applyAlignment="1">
      <alignment vertical="center"/>
    </xf>
    <xf numFmtId="167" fontId="3" fillId="12" borderId="1" xfId="2" applyNumberFormat="1" applyFont="1" applyFill="1" applyBorder="1" applyAlignment="1">
      <alignment horizontal="right" vertical="center"/>
    </xf>
    <xf numFmtId="167" fontId="3" fillId="14" borderId="1" xfId="0" applyNumberFormat="1" applyFont="1" applyFill="1" applyBorder="1" applyAlignment="1">
      <alignment horizontal="right" vertical="center"/>
    </xf>
    <xf numFmtId="0" fontId="3" fillId="0" borderId="1" xfId="0" applyFont="1" applyFill="1" applyBorder="1" applyAlignment="1">
      <alignment horizontal="left" vertical="center" wrapText="1"/>
    </xf>
    <xf numFmtId="0" fontId="14" fillId="0" borderId="0" xfId="0" applyFont="1"/>
    <xf numFmtId="49" fontId="0" fillId="15" borderId="1" xfId="0" applyNumberFormat="1" applyFont="1" applyFill="1" applyBorder="1" applyAlignment="1">
      <alignment horizontal="left" vertical="top"/>
    </xf>
    <xf numFmtId="49" fontId="1" fillId="14" borderId="0" xfId="0" applyNumberFormat="1" applyFont="1" applyFill="1" applyAlignment="1">
      <alignment horizontal="center"/>
    </xf>
    <xf numFmtId="49" fontId="0" fillId="0" borderId="0" xfId="0" applyNumberFormat="1" applyFont="1"/>
    <xf numFmtId="0" fontId="0" fillId="0" borderId="1" xfId="0" applyBorder="1" applyAlignment="1">
      <alignment horizontal="center" vertical="center"/>
    </xf>
    <xf numFmtId="49" fontId="0" fillId="12" borderId="1" xfId="0" applyNumberFormat="1" applyFont="1" applyFill="1" applyBorder="1" applyAlignment="1">
      <alignment horizontal="left" vertical="top"/>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12" borderId="17" xfId="0" applyFont="1" applyFill="1" applyBorder="1" applyAlignment="1">
      <alignment horizontal="center"/>
    </xf>
    <xf numFmtId="0" fontId="0" fillId="0" borderId="0" xfId="0" applyFont="1" applyFill="1" applyBorder="1" applyAlignment="1">
      <alignment horizontal="left" vertical="center" wrapText="1"/>
    </xf>
    <xf numFmtId="0" fontId="1" fillId="0" borderId="0" xfId="0" applyFont="1" applyAlignment="1">
      <alignment horizontal="center"/>
    </xf>
    <xf numFmtId="0" fontId="1" fillId="13" borderId="15" xfId="0" applyFont="1" applyFill="1" applyBorder="1" applyAlignment="1">
      <alignment horizontal="left"/>
    </xf>
    <xf numFmtId="0" fontId="0" fillId="0" borderId="0" xfId="0" applyFont="1" applyBorder="1" applyAlignment="1">
      <alignment horizontal="left"/>
    </xf>
    <xf numFmtId="0" fontId="1" fillId="0" borderId="3" xfId="0" applyFont="1" applyBorder="1" applyAlignment="1">
      <alignment horizontal="left"/>
    </xf>
    <xf numFmtId="0" fontId="2" fillId="14" borderId="0" xfId="0" applyFont="1" applyFill="1" applyAlignment="1">
      <alignment horizontal="left" vertical="center" wrapText="1"/>
    </xf>
    <xf numFmtId="0" fontId="21" fillId="13" borderId="14" xfId="0" applyFont="1" applyFill="1" applyBorder="1" applyAlignment="1">
      <alignment horizontal="center"/>
    </xf>
    <xf numFmtId="0" fontId="21" fillId="13" borderId="15" xfId="0" applyFont="1" applyFill="1" applyBorder="1" applyAlignment="1">
      <alignment horizontal="center"/>
    </xf>
    <xf numFmtId="49" fontId="0" fillId="12" borderId="18" xfId="0" applyNumberFormat="1" applyFont="1" applyFill="1" applyBorder="1" applyAlignment="1">
      <alignment horizontal="left" vertical="top"/>
    </xf>
    <xf numFmtId="49" fontId="0" fillId="12" borderId="19" xfId="0" applyNumberFormat="1" applyFont="1" applyFill="1" applyBorder="1" applyAlignment="1">
      <alignment horizontal="left" vertical="top"/>
    </xf>
    <xf numFmtId="49" fontId="0" fillId="12" borderId="16" xfId="0" applyNumberFormat="1" applyFont="1" applyFill="1" applyBorder="1" applyAlignment="1">
      <alignment horizontal="left" vertical="top"/>
    </xf>
  </cellXfs>
  <cellStyles count="3">
    <cellStyle name="Komma" xfId="1" builtinId="3"/>
    <cellStyle name="Standaard" xfId="0" builtinId="0"/>
    <cellStyle name="Valuta" xfId="2" builtinId="4"/>
  </cellStyles>
  <dxfs count="90">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185057</xdr:colOff>
      <xdr:row>12</xdr:row>
      <xdr:rowOff>65314</xdr:rowOff>
    </xdr:from>
    <xdr:to>
      <xdr:col>12</xdr:col>
      <xdr:colOff>424543</xdr:colOff>
      <xdr:row>14</xdr:row>
      <xdr:rowOff>70757</xdr:rowOff>
    </xdr:to>
    <xdr:sp macro="" textlink="">
      <xdr:nvSpPr>
        <xdr:cNvPr id="2" name="Pijl-omlaag 1">
          <a:extLst>
            <a:ext uri="{FF2B5EF4-FFF2-40B4-BE49-F238E27FC236}">
              <a16:creationId xmlns:a16="http://schemas.microsoft.com/office/drawing/2014/main" id="{00000000-0008-0000-0200-000002000000}"/>
            </a:ext>
          </a:extLst>
        </xdr:cNvPr>
        <xdr:cNvSpPr/>
      </xdr:nvSpPr>
      <xdr:spPr>
        <a:xfrm>
          <a:off x="11103428" y="2286000"/>
          <a:ext cx="239486" cy="375557"/>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oneCellAnchor>
    <xdr:from>
      <xdr:col>11</xdr:col>
      <xdr:colOff>473529</xdr:colOff>
      <xdr:row>9</xdr:row>
      <xdr:rowOff>179615</xdr:rowOff>
    </xdr:from>
    <xdr:ext cx="1265026" cy="264560"/>
    <xdr:sp macro="" textlink="">
      <xdr:nvSpPr>
        <xdr:cNvPr id="3" name="Tekstvak 2">
          <a:extLst>
            <a:ext uri="{FF2B5EF4-FFF2-40B4-BE49-F238E27FC236}">
              <a16:creationId xmlns:a16="http://schemas.microsoft.com/office/drawing/2014/main" id="{00000000-0008-0000-0200-000003000000}"/>
            </a:ext>
          </a:extLst>
        </xdr:cNvPr>
        <xdr:cNvSpPr txBox="1"/>
      </xdr:nvSpPr>
      <xdr:spPr>
        <a:xfrm>
          <a:off x="10619015" y="1845129"/>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2</xdr:col>
      <xdr:colOff>359229</xdr:colOff>
      <xdr:row>21</xdr:row>
      <xdr:rowOff>119743</xdr:rowOff>
    </xdr:from>
    <xdr:to>
      <xdr:col>2</xdr:col>
      <xdr:colOff>587829</xdr:colOff>
      <xdr:row>23</xdr:row>
      <xdr:rowOff>119743</xdr:rowOff>
    </xdr:to>
    <xdr:sp macro="" textlink="">
      <xdr:nvSpPr>
        <xdr:cNvPr id="4" name="Pijl-omhoog 3">
          <a:extLst>
            <a:ext uri="{FF2B5EF4-FFF2-40B4-BE49-F238E27FC236}">
              <a16:creationId xmlns:a16="http://schemas.microsoft.com/office/drawing/2014/main" id="{00000000-0008-0000-02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24</xdr:row>
      <xdr:rowOff>54429</xdr:rowOff>
    </xdr:from>
    <xdr:ext cx="990599" cy="609013"/>
    <xdr:sp macro="" textlink="">
      <xdr:nvSpPr>
        <xdr:cNvPr id="5" name="Tekstvak 4">
          <a:extLst>
            <a:ext uri="{FF2B5EF4-FFF2-40B4-BE49-F238E27FC236}">
              <a16:creationId xmlns:a16="http://schemas.microsoft.com/office/drawing/2014/main" id="{00000000-0008-0000-02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5</xdr:col>
      <xdr:colOff>310243</xdr:colOff>
      <xdr:row>21</xdr:row>
      <xdr:rowOff>119743</xdr:rowOff>
    </xdr:from>
    <xdr:to>
      <xdr:col>5</xdr:col>
      <xdr:colOff>538843</xdr:colOff>
      <xdr:row>23</xdr:row>
      <xdr:rowOff>119743</xdr:rowOff>
    </xdr:to>
    <xdr:sp macro="" textlink="">
      <xdr:nvSpPr>
        <xdr:cNvPr id="6" name="Pijl-omhoog 5">
          <a:extLst>
            <a:ext uri="{FF2B5EF4-FFF2-40B4-BE49-F238E27FC236}">
              <a16:creationId xmlns:a16="http://schemas.microsoft.com/office/drawing/2014/main" id="{00000000-0008-0000-0200-000006000000}"/>
            </a:ext>
          </a:extLst>
        </xdr:cNvPr>
        <xdr:cNvSpPr/>
      </xdr:nvSpPr>
      <xdr:spPr>
        <a:xfrm>
          <a:off x="5878286"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4</xdr:col>
      <xdr:colOff>707572</xdr:colOff>
      <xdr:row>24</xdr:row>
      <xdr:rowOff>54429</xdr:rowOff>
    </xdr:from>
    <xdr:ext cx="990599" cy="609013"/>
    <xdr:sp macro="" textlink="">
      <xdr:nvSpPr>
        <xdr:cNvPr id="7" name="Tekstvak 6">
          <a:extLst>
            <a:ext uri="{FF2B5EF4-FFF2-40B4-BE49-F238E27FC236}">
              <a16:creationId xmlns:a16="http://schemas.microsoft.com/office/drawing/2014/main" id="{00000000-0008-0000-0200-000007000000}"/>
            </a:ext>
          </a:extLst>
        </xdr:cNvPr>
        <xdr:cNvSpPr txBox="1"/>
      </xdr:nvSpPr>
      <xdr:spPr>
        <a:xfrm>
          <a:off x="5470072"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9</xdr:col>
      <xdr:colOff>326572</xdr:colOff>
      <xdr:row>21</xdr:row>
      <xdr:rowOff>130629</xdr:rowOff>
    </xdr:from>
    <xdr:to>
      <xdr:col>9</xdr:col>
      <xdr:colOff>555172</xdr:colOff>
      <xdr:row>23</xdr:row>
      <xdr:rowOff>130629</xdr:rowOff>
    </xdr:to>
    <xdr:sp macro="" textlink="">
      <xdr:nvSpPr>
        <xdr:cNvPr id="8" name="Pijl-omhoog 7">
          <a:extLst>
            <a:ext uri="{FF2B5EF4-FFF2-40B4-BE49-F238E27FC236}">
              <a16:creationId xmlns:a16="http://schemas.microsoft.com/office/drawing/2014/main" id="{00000000-0008-0000-0200-000008000000}"/>
            </a:ext>
          </a:extLst>
        </xdr:cNvPr>
        <xdr:cNvSpPr/>
      </xdr:nvSpPr>
      <xdr:spPr>
        <a:xfrm>
          <a:off x="9078686"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8</xdr:col>
      <xdr:colOff>783772</xdr:colOff>
      <xdr:row>24</xdr:row>
      <xdr:rowOff>65315</xdr:rowOff>
    </xdr:from>
    <xdr:ext cx="990599" cy="609013"/>
    <xdr:sp macro="" textlink="">
      <xdr:nvSpPr>
        <xdr:cNvPr id="9" name="Tekstvak 8">
          <a:extLst>
            <a:ext uri="{FF2B5EF4-FFF2-40B4-BE49-F238E27FC236}">
              <a16:creationId xmlns:a16="http://schemas.microsoft.com/office/drawing/2014/main" id="{00000000-0008-0000-0200-000009000000}"/>
            </a:ext>
          </a:extLst>
        </xdr:cNvPr>
        <xdr:cNvSpPr txBox="1"/>
      </xdr:nvSpPr>
      <xdr:spPr>
        <a:xfrm>
          <a:off x="8670472" y="4506686"/>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3</xdr:col>
      <xdr:colOff>538843</xdr:colOff>
      <xdr:row>1</xdr:row>
      <xdr:rowOff>92528</xdr:rowOff>
    </xdr:from>
    <xdr:ext cx="990599" cy="609013"/>
    <xdr:sp macro="" textlink="">
      <xdr:nvSpPr>
        <xdr:cNvPr id="11" name="Tekstvak 10">
          <a:extLst>
            <a:ext uri="{FF2B5EF4-FFF2-40B4-BE49-F238E27FC236}">
              <a16:creationId xmlns:a16="http://schemas.microsoft.com/office/drawing/2014/main" id="{00000000-0008-0000-0200-00000B000000}"/>
            </a:ext>
          </a:extLst>
        </xdr:cNvPr>
        <xdr:cNvSpPr txBox="1"/>
      </xdr:nvSpPr>
      <xdr:spPr>
        <a:xfrm>
          <a:off x="4370614"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3</xdr:col>
      <xdr:colOff>522514</xdr:colOff>
      <xdr:row>6</xdr:row>
      <xdr:rowOff>54428</xdr:rowOff>
    </xdr:from>
    <xdr:ext cx="990599" cy="609013"/>
    <xdr:sp macro="" textlink="">
      <xdr:nvSpPr>
        <xdr:cNvPr id="12" name="Tekstvak 11">
          <a:extLst>
            <a:ext uri="{FF2B5EF4-FFF2-40B4-BE49-F238E27FC236}">
              <a16:creationId xmlns:a16="http://schemas.microsoft.com/office/drawing/2014/main" id="{00000000-0008-0000-0200-00000C000000}"/>
            </a:ext>
          </a:extLst>
        </xdr:cNvPr>
        <xdr:cNvSpPr txBox="1"/>
      </xdr:nvSpPr>
      <xdr:spPr>
        <a:xfrm>
          <a:off x="4354285"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2</xdr:col>
      <xdr:colOff>767443</xdr:colOff>
      <xdr:row>2</xdr:row>
      <xdr:rowOff>65314</xdr:rowOff>
    </xdr:from>
    <xdr:to>
      <xdr:col>3</xdr:col>
      <xdr:colOff>353786</xdr:colOff>
      <xdr:row>3</xdr:row>
      <xdr:rowOff>185057</xdr:rowOff>
    </xdr:to>
    <xdr:sp macro="" textlink="">
      <xdr:nvSpPr>
        <xdr:cNvPr id="13" name="Pijl-links 12">
          <a:extLst>
            <a:ext uri="{FF2B5EF4-FFF2-40B4-BE49-F238E27FC236}">
              <a16:creationId xmlns:a16="http://schemas.microsoft.com/office/drawing/2014/main" id="{00000000-0008-0000-0200-00000D000000}"/>
            </a:ext>
          </a:extLst>
        </xdr:cNvPr>
        <xdr:cNvSpPr/>
      </xdr:nvSpPr>
      <xdr:spPr>
        <a:xfrm>
          <a:off x="3690257"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751115</xdr:colOff>
      <xdr:row>7</xdr:row>
      <xdr:rowOff>5442</xdr:rowOff>
    </xdr:from>
    <xdr:to>
      <xdr:col>3</xdr:col>
      <xdr:colOff>337458</xdr:colOff>
      <xdr:row>8</xdr:row>
      <xdr:rowOff>125185</xdr:rowOff>
    </xdr:to>
    <xdr:sp macro="" textlink="">
      <xdr:nvSpPr>
        <xdr:cNvPr id="14" name="Pijl-links 13">
          <a:extLst>
            <a:ext uri="{FF2B5EF4-FFF2-40B4-BE49-F238E27FC236}">
              <a16:creationId xmlns:a16="http://schemas.microsoft.com/office/drawing/2014/main" id="{00000000-0008-0000-0200-00000E000000}"/>
            </a:ext>
          </a:extLst>
        </xdr:cNvPr>
        <xdr:cNvSpPr/>
      </xdr:nvSpPr>
      <xdr:spPr>
        <a:xfrm>
          <a:off x="3673929"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14</xdr:col>
      <xdr:colOff>92529</xdr:colOff>
      <xdr:row>22</xdr:row>
      <xdr:rowOff>38101</xdr:rowOff>
    </xdr:from>
    <xdr:to>
      <xdr:col>14</xdr:col>
      <xdr:colOff>321129</xdr:colOff>
      <xdr:row>24</xdr:row>
      <xdr:rowOff>38101</xdr:rowOff>
    </xdr:to>
    <xdr:sp macro="" textlink="">
      <xdr:nvSpPr>
        <xdr:cNvPr id="15" name="Pijl-omhoog 14">
          <a:extLst>
            <a:ext uri="{FF2B5EF4-FFF2-40B4-BE49-F238E27FC236}">
              <a16:creationId xmlns:a16="http://schemas.microsoft.com/office/drawing/2014/main" id="{00000000-0008-0000-0200-00000F000000}"/>
            </a:ext>
          </a:extLst>
        </xdr:cNvPr>
        <xdr:cNvSpPr/>
      </xdr:nvSpPr>
      <xdr:spPr>
        <a:xfrm>
          <a:off x="12317186" y="4109358"/>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13</xdr:col>
      <xdr:colOff>337458</xdr:colOff>
      <xdr:row>24</xdr:row>
      <xdr:rowOff>157844</xdr:rowOff>
    </xdr:from>
    <xdr:ext cx="990599" cy="1125693"/>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11908972" y="4599215"/>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13</xdr:col>
      <xdr:colOff>288471</xdr:colOff>
      <xdr:row>11</xdr:row>
      <xdr:rowOff>70758</xdr:rowOff>
    </xdr:from>
    <xdr:to>
      <xdr:col>13</xdr:col>
      <xdr:colOff>527957</xdr:colOff>
      <xdr:row>13</xdr:row>
      <xdr:rowOff>76201</xdr:rowOff>
    </xdr:to>
    <xdr:sp macro="" textlink="">
      <xdr:nvSpPr>
        <xdr:cNvPr id="2" name="Pijl-omlaag 1">
          <a:extLst>
            <a:ext uri="{FF2B5EF4-FFF2-40B4-BE49-F238E27FC236}">
              <a16:creationId xmlns:a16="http://schemas.microsoft.com/office/drawing/2014/main" id="{00000000-0008-0000-0300-000002000000}"/>
            </a:ext>
          </a:extLst>
        </xdr:cNvPr>
        <xdr:cNvSpPr/>
      </xdr:nvSpPr>
      <xdr:spPr>
        <a:xfrm>
          <a:off x="12284528" y="2106387"/>
          <a:ext cx="239486" cy="375557"/>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oneCellAnchor>
    <xdr:from>
      <xdr:col>12</xdr:col>
      <xdr:colOff>674916</xdr:colOff>
      <xdr:row>9</xdr:row>
      <xdr:rowOff>21773</xdr:rowOff>
    </xdr:from>
    <xdr:ext cx="1265026" cy="264560"/>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11821887" y="1687287"/>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2</xdr:col>
      <xdr:colOff>359229</xdr:colOff>
      <xdr:row>21</xdr:row>
      <xdr:rowOff>119743</xdr:rowOff>
    </xdr:from>
    <xdr:to>
      <xdr:col>2</xdr:col>
      <xdr:colOff>587829</xdr:colOff>
      <xdr:row>23</xdr:row>
      <xdr:rowOff>119743</xdr:rowOff>
    </xdr:to>
    <xdr:sp macro="" textlink="">
      <xdr:nvSpPr>
        <xdr:cNvPr id="4" name="Pijl-omhoog 3">
          <a:extLst>
            <a:ext uri="{FF2B5EF4-FFF2-40B4-BE49-F238E27FC236}">
              <a16:creationId xmlns:a16="http://schemas.microsoft.com/office/drawing/2014/main" id="{00000000-0008-0000-03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24</xdr:row>
      <xdr:rowOff>54429</xdr:rowOff>
    </xdr:from>
    <xdr:ext cx="990599" cy="609013"/>
    <xdr:sp macro="" textlink="">
      <xdr:nvSpPr>
        <xdr:cNvPr id="5" name="Tekstvak 4">
          <a:extLst>
            <a:ext uri="{FF2B5EF4-FFF2-40B4-BE49-F238E27FC236}">
              <a16:creationId xmlns:a16="http://schemas.microsoft.com/office/drawing/2014/main" id="{00000000-0008-0000-03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4</xdr:col>
      <xdr:colOff>315686</xdr:colOff>
      <xdr:row>21</xdr:row>
      <xdr:rowOff>146957</xdr:rowOff>
    </xdr:from>
    <xdr:to>
      <xdr:col>4</xdr:col>
      <xdr:colOff>544286</xdr:colOff>
      <xdr:row>23</xdr:row>
      <xdr:rowOff>146957</xdr:rowOff>
    </xdr:to>
    <xdr:sp macro="" textlink="">
      <xdr:nvSpPr>
        <xdr:cNvPr id="6" name="Pijl-omhoog 5">
          <a:extLst>
            <a:ext uri="{FF2B5EF4-FFF2-40B4-BE49-F238E27FC236}">
              <a16:creationId xmlns:a16="http://schemas.microsoft.com/office/drawing/2014/main" id="{00000000-0008-0000-0300-000006000000}"/>
            </a:ext>
          </a:extLst>
        </xdr:cNvPr>
        <xdr:cNvSpPr/>
      </xdr:nvSpPr>
      <xdr:spPr>
        <a:xfrm>
          <a:off x="5078186" y="4033157"/>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3</xdr:col>
      <xdr:colOff>838201</xdr:colOff>
      <xdr:row>24</xdr:row>
      <xdr:rowOff>81643</xdr:rowOff>
    </xdr:from>
    <xdr:ext cx="990599" cy="609013"/>
    <xdr:sp macro="" textlink="">
      <xdr:nvSpPr>
        <xdr:cNvPr id="7" name="Tekstvak 6">
          <a:extLst>
            <a:ext uri="{FF2B5EF4-FFF2-40B4-BE49-F238E27FC236}">
              <a16:creationId xmlns:a16="http://schemas.microsoft.com/office/drawing/2014/main" id="{00000000-0008-0000-0300-000007000000}"/>
            </a:ext>
          </a:extLst>
        </xdr:cNvPr>
        <xdr:cNvSpPr txBox="1"/>
      </xdr:nvSpPr>
      <xdr:spPr>
        <a:xfrm>
          <a:off x="4669972" y="4523014"/>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10</xdr:col>
      <xdr:colOff>277585</xdr:colOff>
      <xdr:row>21</xdr:row>
      <xdr:rowOff>130629</xdr:rowOff>
    </xdr:from>
    <xdr:to>
      <xdr:col>10</xdr:col>
      <xdr:colOff>506185</xdr:colOff>
      <xdr:row>23</xdr:row>
      <xdr:rowOff>130629</xdr:rowOff>
    </xdr:to>
    <xdr:sp macro="" textlink="">
      <xdr:nvSpPr>
        <xdr:cNvPr id="8" name="Pijl-omhoog 7">
          <a:extLst>
            <a:ext uri="{FF2B5EF4-FFF2-40B4-BE49-F238E27FC236}">
              <a16:creationId xmlns:a16="http://schemas.microsoft.com/office/drawing/2014/main" id="{00000000-0008-0000-0300-000008000000}"/>
            </a:ext>
          </a:extLst>
        </xdr:cNvPr>
        <xdr:cNvSpPr/>
      </xdr:nvSpPr>
      <xdr:spPr>
        <a:xfrm>
          <a:off x="10183585"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9</xdr:col>
      <xdr:colOff>571500</xdr:colOff>
      <xdr:row>24</xdr:row>
      <xdr:rowOff>130630</xdr:rowOff>
    </xdr:from>
    <xdr:ext cx="990599" cy="609013"/>
    <xdr:sp macro="" textlink="">
      <xdr:nvSpPr>
        <xdr:cNvPr id="9" name="Tekstvak 8">
          <a:extLst>
            <a:ext uri="{FF2B5EF4-FFF2-40B4-BE49-F238E27FC236}">
              <a16:creationId xmlns:a16="http://schemas.microsoft.com/office/drawing/2014/main" id="{00000000-0008-0000-0300-000009000000}"/>
            </a:ext>
          </a:extLst>
        </xdr:cNvPr>
        <xdr:cNvSpPr txBox="1"/>
      </xdr:nvSpPr>
      <xdr:spPr>
        <a:xfrm>
          <a:off x="9737271" y="457200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244929</xdr:colOff>
      <xdr:row>1</xdr:row>
      <xdr:rowOff>92528</xdr:rowOff>
    </xdr:from>
    <xdr:ext cx="990599" cy="609013"/>
    <xdr:sp macro="" textlink="">
      <xdr:nvSpPr>
        <xdr:cNvPr id="10" name="Tekstvak 9">
          <a:extLst>
            <a:ext uri="{FF2B5EF4-FFF2-40B4-BE49-F238E27FC236}">
              <a16:creationId xmlns:a16="http://schemas.microsoft.com/office/drawing/2014/main" id="{00000000-0008-0000-0300-00000A000000}"/>
            </a:ext>
          </a:extLst>
        </xdr:cNvPr>
        <xdr:cNvSpPr txBox="1"/>
      </xdr:nvSpPr>
      <xdr:spPr>
        <a:xfrm>
          <a:off x="5007429"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228600</xdr:colOff>
      <xdr:row>6</xdr:row>
      <xdr:rowOff>54428</xdr:rowOff>
    </xdr:from>
    <xdr:ext cx="990599" cy="609013"/>
    <xdr:sp macro="" textlink="">
      <xdr:nvSpPr>
        <xdr:cNvPr id="11" name="Tekstvak 10">
          <a:extLst>
            <a:ext uri="{FF2B5EF4-FFF2-40B4-BE49-F238E27FC236}">
              <a16:creationId xmlns:a16="http://schemas.microsoft.com/office/drawing/2014/main" id="{00000000-0008-0000-0300-00000B000000}"/>
            </a:ext>
          </a:extLst>
        </xdr:cNvPr>
        <xdr:cNvSpPr txBox="1"/>
      </xdr:nvSpPr>
      <xdr:spPr>
        <a:xfrm>
          <a:off x="4991100"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3</xdr:col>
      <xdr:colOff>495301</xdr:colOff>
      <xdr:row>2</xdr:row>
      <xdr:rowOff>65314</xdr:rowOff>
    </xdr:from>
    <xdr:to>
      <xdr:col>4</xdr:col>
      <xdr:colOff>59872</xdr:colOff>
      <xdr:row>3</xdr:row>
      <xdr:rowOff>185057</xdr:rowOff>
    </xdr:to>
    <xdr:sp macro="" textlink="">
      <xdr:nvSpPr>
        <xdr:cNvPr id="12" name="Pijl-links 11">
          <a:extLst>
            <a:ext uri="{FF2B5EF4-FFF2-40B4-BE49-F238E27FC236}">
              <a16:creationId xmlns:a16="http://schemas.microsoft.com/office/drawing/2014/main" id="{00000000-0008-0000-0300-00000C000000}"/>
            </a:ext>
          </a:extLst>
        </xdr:cNvPr>
        <xdr:cNvSpPr/>
      </xdr:nvSpPr>
      <xdr:spPr>
        <a:xfrm>
          <a:off x="4327072"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478973</xdr:colOff>
      <xdr:row>7</xdr:row>
      <xdr:rowOff>5442</xdr:rowOff>
    </xdr:from>
    <xdr:to>
      <xdr:col>4</xdr:col>
      <xdr:colOff>43544</xdr:colOff>
      <xdr:row>8</xdr:row>
      <xdr:rowOff>125185</xdr:rowOff>
    </xdr:to>
    <xdr:sp macro="" textlink="">
      <xdr:nvSpPr>
        <xdr:cNvPr id="13" name="Pijl-links 12">
          <a:extLst>
            <a:ext uri="{FF2B5EF4-FFF2-40B4-BE49-F238E27FC236}">
              <a16:creationId xmlns:a16="http://schemas.microsoft.com/office/drawing/2014/main" id="{00000000-0008-0000-0300-00000D000000}"/>
            </a:ext>
          </a:extLst>
        </xdr:cNvPr>
        <xdr:cNvSpPr/>
      </xdr:nvSpPr>
      <xdr:spPr>
        <a:xfrm>
          <a:off x="4310744"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375558</xdr:colOff>
      <xdr:row>21</xdr:row>
      <xdr:rowOff>168729</xdr:rowOff>
    </xdr:from>
    <xdr:to>
      <xdr:col>16</xdr:col>
      <xdr:colOff>604158</xdr:colOff>
      <xdr:row>23</xdr:row>
      <xdr:rowOff>168729</xdr:rowOff>
    </xdr:to>
    <xdr:sp macro="" textlink="">
      <xdr:nvSpPr>
        <xdr:cNvPr id="14" name="Pijl-omhoog 13">
          <a:extLst>
            <a:ext uri="{FF2B5EF4-FFF2-40B4-BE49-F238E27FC236}">
              <a16:creationId xmlns:a16="http://schemas.microsoft.com/office/drawing/2014/main" id="{00000000-0008-0000-0300-00000E000000}"/>
            </a:ext>
          </a:extLst>
        </xdr:cNvPr>
        <xdr:cNvSpPr/>
      </xdr:nvSpPr>
      <xdr:spPr>
        <a:xfrm>
          <a:off x="14048015" y="4054929"/>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15</xdr:col>
      <xdr:colOff>304801</xdr:colOff>
      <xdr:row>24</xdr:row>
      <xdr:rowOff>103415</xdr:rowOff>
    </xdr:from>
    <xdr:ext cx="990599" cy="1125693"/>
    <xdr:sp macro="" textlink="">
      <xdr:nvSpPr>
        <xdr:cNvPr id="15" name="Tekstvak 14">
          <a:extLst>
            <a:ext uri="{FF2B5EF4-FFF2-40B4-BE49-F238E27FC236}">
              <a16:creationId xmlns:a16="http://schemas.microsoft.com/office/drawing/2014/main" id="{00000000-0008-0000-0300-00000F000000}"/>
            </a:ext>
          </a:extLst>
        </xdr:cNvPr>
        <xdr:cNvSpPr txBox="1"/>
      </xdr:nvSpPr>
      <xdr:spPr>
        <a:xfrm>
          <a:off x="13639801" y="4544786"/>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twoCellAnchor>
    <xdr:from>
      <xdr:col>7</xdr:col>
      <xdr:colOff>348343</xdr:colOff>
      <xdr:row>21</xdr:row>
      <xdr:rowOff>157843</xdr:rowOff>
    </xdr:from>
    <xdr:to>
      <xdr:col>7</xdr:col>
      <xdr:colOff>576943</xdr:colOff>
      <xdr:row>23</xdr:row>
      <xdr:rowOff>157843</xdr:rowOff>
    </xdr:to>
    <xdr:sp macro="" textlink="">
      <xdr:nvSpPr>
        <xdr:cNvPr id="16" name="Pijl-omhoog 15">
          <a:extLst>
            <a:ext uri="{FF2B5EF4-FFF2-40B4-BE49-F238E27FC236}">
              <a16:creationId xmlns:a16="http://schemas.microsoft.com/office/drawing/2014/main" id="{00000000-0008-0000-0300-000010000000}"/>
            </a:ext>
          </a:extLst>
        </xdr:cNvPr>
        <xdr:cNvSpPr/>
      </xdr:nvSpPr>
      <xdr:spPr>
        <a:xfrm>
          <a:off x="7848600" y="4044043"/>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6</xdr:col>
      <xdr:colOff>849086</xdr:colOff>
      <xdr:row>24</xdr:row>
      <xdr:rowOff>92529</xdr:rowOff>
    </xdr:from>
    <xdr:ext cx="990599" cy="1125693"/>
    <xdr:sp macro="" textlink="">
      <xdr:nvSpPr>
        <xdr:cNvPr id="17" name="Tekstvak 16">
          <a:extLst>
            <a:ext uri="{FF2B5EF4-FFF2-40B4-BE49-F238E27FC236}">
              <a16:creationId xmlns:a16="http://schemas.microsoft.com/office/drawing/2014/main" id="{00000000-0008-0000-0300-000011000000}"/>
            </a:ext>
          </a:extLst>
        </xdr:cNvPr>
        <xdr:cNvSpPr txBox="1"/>
      </xdr:nvSpPr>
      <xdr:spPr>
        <a:xfrm>
          <a:off x="7440386" y="4533900"/>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359229</xdr:colOff>
      <xdr:row>26</xdr:row>
      <xdr:rowOff>119743</xdr:rowOff>
    </xdr:from>
    <xdr:to>
      <xdr:col>2</xdr:col>
      <xdr:colOff>587829</xdr:colOff>
      <xdr:row>28</xdr:row>
      <xdr:rowOff>119743</xdr:rowOff>
    </xdr:to>
    <xdr:sp macro="" textlink="">
      <xdr:nvSpPr>
        <xdr:cNvPr id="4" name="Pijl-omhoog 3">
          <a:extLst>
            <a:ext uri="{FF2B5EF4-FFF2-40B4-BE49-F238E27FC236}">
              <a16:creationId xmlns:a16="http://schemas.microsoft.com/office/drawing/2014/main" id="{00000000-0008-0000-04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29</xdr:row>
      <xdr:rowOff>54429</xdr:rowOff>
    </xdr:from>
    <xdr:ext cx="990599" cy="609013"/>
    <xdr:sp macro="" textlink="">
      <xdr:nvSpPr>
        <xdr:cNvPr id="5" name="Tekstvak 4">
          <a:extLst>
            <a:ext uri="{FF2B5EF4-FFF2-40B4-BE49-F238E27FC236}">
              <a16:creationId xmlns:a16="http://schemas.microsoft.com/office/drawing/2014/main" id="{00000000-0008-0000-04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4</xdr:col>
      <xdr:colOff>315686</xdr:colOff>
      <xdr:row>26</xdr:row>
      <xdr:rowOff>146957</xdr:rowOff>
    </xdr:from>
    <xdr:to>
      <xdr:col>4</xdr:col>
      <xdr:colOff>544286</xdr:colOff>
      <xdr:row>28</xdr:row>
      <xdr:rowOff>146957</xdr:rowOff>
    </xdr:to>
    <xdr:sp macro="" textlink="">
      <xdr:nvSpPr>
        <xdr:cNvPr id="6" name="Pijl-omhoog 5">
          <a:extLst>
            <a:ext uri="{FF2B5EF4-FFF2-40B4-BE49-F238E27FC236}">
              <a16:creationId xmlns:a16="http://schemas.microsoft.com/office/drawing/2014/main" id="{00000000-0008-0000-0400-000006000000}"/>
            </a:ext>
          </a:extLst>
        </xdr:cNvPr>
        <xdr:cNvSpPr/>
      </xdr:nvSpPr>
      <xdr:spPr>
        <a:xfrm>
          <a:off x="5078186" y="4033157"/>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3</xdr:col>
      <xdr:colOff>838201</xdr:colOff>
      <xdr:row>29</xdr:row>
      <xdr:rowOff>81643</xdr:rowOff>
    </xdr:from>
    <xdr:ext cx="990599" cy="609013"/>
    <xdr:sp macro="" textlink="">
      <xdr:nvSpPr>
        <xdr:cNvPr id="7" name="Tekstvak 6">
          <a:extLst>
            <a:ext uri="{FF2B5EF4-FFF2-40B4-BE49-F238E27FC236}">
              <a16:creationId xmlns:a16="http://schemas.microsoft.com/office/drawing/2014/main" id="{00000000-0008-0000-0400-000007000000}"/>
            </a:ext>
          </a:extLst>
        </xdr:cNvPr>
        <xdr:cNvSpPr txBox="1"/>
      </xdr:nvSpPr>
      <xdr:spPr>
        <a:xfrm>
          <a:off x="4669972" y="4523014"/>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10</xdr:col>
      <xdr:colOff>277585</xdr:colOff>
      <xdr:row>26</xdr:row>
      <xdr:rowOff>130629</xdr:rowOff>
    </xdr:from>
    <xdr:to>
      <xdr:col>10</xdr:col>
      <xdr:colOff>506185</xdr:colOff>
      <xdr:row>28</xdr:row>
      <xdr:rowOff>130629</xdr:rowOff>
    </xdr:to>
    <xdr:sp macro="" textlink="">
      <xdr:nvSpPr>
        <xdr:cNvPr id="8" name="Pijl-omhoog 7">
          <a:extLst>
            <a:ext uri="{FF2B5EF4-FFF2-40B4-BE49-F238E27FC236}">
              <a16:creationId xmlns:a16="http://schemas.microsoft.com/office/drawing/2014/main" id="{00000000-0008-0000-0400-000008000000}"/>
            </a:ext>
          </a:extLst>
        </xdr:cNvPr>
        <xdr:cNvSpPr/>
      </xdr:nvSpPr>
      <xdr:spPr>
        <a:xfrm>
          <a:off x="10014856"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9</xdr:col>
      <xdr:colOff>571500</xdr:colOff>
      <xdr:row>29</xdr:row>
      <xdr:rowOff>130630</xdr:rowOff>
    </xdr:from>
    <xdr:ext cx="990599" cy="609013"/>
    <xdr:sp macro="" textlink="">
      <xdr:nvSpPr>
        <xdr:cNvPr id="9" name="Tekstvak 8">
          <a:extLst>
            <a:ext uri="{FF2B5EF4-FFF2-40B4-BE49-F238E27FC236}">
              <a16:creationId xmlns:a16="http://schemas.microsoft.com/office/drawing/2014/main" id="{00000000-0008-0000-0400-000009000000}"/>
            </a:ext>
          </a:extLst>
        </xdr:cNvPr>
        <xdr:cNvSpPr txBox="1"/>
      </xdr:nvSpPr>
      <xdr:spPr>
        <a:xfrm>
          <a:off x="9568543" y="457200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244929</xdr:colOff>
      <xdr:row>2</xdr:row>
      <xdr:rowOff>92528</xdr:rowOff>
    </xdr:from>
    <xdr:ext cx="990599" cy="609013"/>
    <xdr:sp macro="" textlink="">
      <xdr:nvSpPr>
        <xdr:cNvPr id="10" name="Tekstvak 9">
          <a:extLst>
            <a:ext uri="{FF2B5EF4-FFF2-40B4-BE49-F238E27FC236}">
              <a16:creationId xmlns:a16="http://schemas.microsoft.com/office/drawing/2014/main" id="{00000000-0008-0000-0400-00000A000000}"/>
            </a:ext>
          </a:extLst>
        </xdr:cNvPr>
        <xdr:cNvSpPr txBox="1"/>
      </xdr:nvSpPr>
      <xdr:spPr>
        <a:xfrm>
          <a:off x="5007429"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228600</xdr:colOff>
      <xdr:row>11</xdr:row>
      <xdr:rowOff>54428</xdr:rowOff>
    </xdr:from>
    <xdr:ext cx="990599" cy="609013"/>
    <xdr:sp macro="" textlink="">
      <xdr:nvSpPr>
        <xdr:cNvPr id="11" name="Tekstvak 10">
          <a:extLst>
            <a:ext uri="{FF2B5EF4-FFF2-40B4-BE49-F238E27FC236}">
              <a16:creationId xmlns:a16="http://schemas.microsoft.com/office/drawing/2014/main" id="{00000000-0008-0000-0400-00000B000000}"/>
            </a:ext>
          </a:extLst>
        </xdr:cNvPr>
        <xdr:cNvSpPr txBox="1"/>
      </xdr:nvSpPr>
      <xdr:spPr>
        <a:xfrm>
          <a:off x="4991100"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3</xdr:col>
      <xdr:colOff>495301</xdr:colOff>
      <xdr:row>3</xdr:row>
      <xdr:rowOff>65314</xdr:rowOff>
    </xdr:from>
    <xdr:to>
      <xdr:col>4</xdr:col>
      <xdr:colOff>59872</xdr:colOff>
      <xdr:row>4</xdr:row>
      <xdr:rowOff>185057</xdr:rowOff>
    </xdr:to>
    <xdr:sp macro="" textlink="">
      <xdr:nvSpPr>
        <xdr:cNvPr id="12" name="Pijl-links 11">
          <a:extLst>
            <a:ext uri="{FF2B5EF4-FFF2-40B4-BE49-F238E27FC236}">
              <a16:creationId xmlns:a16="http://schemas.microsoft.com/office/drawing/2014/main" id="{00000000-0008-0000-0400-00000C000000}"/>
            </a:ext>
          </a:extLst>
        </xdr:cNvPr>
        <xdr:cNvSpPr/>
      </xdr:nvSpPr>
      <xdr:spPr>
        <a:xfrm>
          <a:off x="4327072"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478973</xdr:colOff>
      <xdr:row>12</xdr:row>
      <xdr:rowOff>5442</xdr:rowOff>
    </xdr:from>
    <xdr:to>
      <xdr:col>4</xdr:col>
      <xdr:colOff>43544</xdr:colOff>
      <xdr:row>13</xdr:row>
      <xdr:rowOff>125185</xdr:rowOff>
    </xdr:to>
    <xdr:sp macro="" textlink="">
      <xdr:nvSpPr>
        <xdr:cNvPr id="13" name="Pijl-links 12">
          <a:extLst>
            <a:ext uri="{FF2B5EF4-FFF2-40B4-BE49-F238E27FC236}">
              <a16:creationId xmlns:a16="http://schemas.microsoft.com/office/drawing/2014/main" id="{00000000-0008-0000-0400-00000D000000}"/>
            </a:ext>
          </a:extLst>
        </xdr:cNvPr>
        <xdr:cNvSpPr/>
      </xdr:nvSpPr>
      <xdr:spPr>
        <a:xfrm>
          <a:off x="4310744"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381001</xdr:colOff>
      <xdr:row>9</xdr:row>
      <xdr:rowOff>59872</xdr:rowOff>
    </xdr:from>
    <xdr:to>
      <xdr:col>9</xdr:col>
      <xdr:colOff>609601</xdr:colOff>
      <xdr:row>11</xdr:row>
      <xdr:rowOff>59872</xdr:rowOff>
    </xdr:to>
    <xdr:sp macro="" textlink="">
      <xdr:nvSpPr>
        <xdr:cNvPr id="14" name="Pijl-omhoog 13">
          <a:extLst>
            <a:ext uri="{FF2B5EF4-FFF2-40B4-BE49-F238E27FC236}">
              <a16:creationId xmlns:a16="http://schemas.microsoft.com/office/drawing/2014/main" id="{00000000-0008-0000-0400-00000E000000}"/>
            </a:ext>
          </a:extLst>
        </xdr:cNvPr>
        <xdr:cNvSpPr/>
      </xdr:nvSpPr>
      <xdr:spPr>
        <a:xfrm>
          <a:off x="9949544" y="1540329"/>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7</xdr:col>
      <xdr:colOff>740229</xdr:colOff>
      <xdr:row>11</xdr:row>
      <xdr:rowOff>119744</xdr:rowOff>
    </xdr:from>
    <xdr:ext cx="2362200" cy="436786"/>
    <xdr:sp macro="" textlink="">
      <xdr:nvSpPr>
        <xdr:cNvPr id="15" name="Tekstvak 14">
          <a:extLst>
            <a:ext uri="{FF2B5EF4-FFF2-40B4-BE49-F238E27FC236}">
              <a16:creationId xmlns:a16="http://schemas.microsoft.com/office/drawing/2014/main" id="{00000000-0008-0000-0400-00000F000000}"/>
            </a:ext>
          </a:extLst>
        </xdr:cNvPr>
        <xdr:cNvSpPr txBox="1"/>
      </xdr:nvSpPr>
      <xdr:spPr>
        <a:xfrm>
          <a:off x="8811986" y="1970315"/>
          <a:ext cx="2362200" cy="436786"/>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twoCellAnchor>
    <xdr:from>
      <xdr:col>7</xdr:col>
      <xdr:colOff>348343</xdr:colOff>
      <xdr:row>26</xdr:row>
      <xdr:rowOff>157843</xdr:rowOff>
    </xdr:from>
    <xdr:to>
      <xdr:col>7</xdr:col>
      <xdr:colOff>576943</xdr:colOff>
      <xdr:row>28</xdr:row>
      <xdr:rowOff>157843</xdr:rowOff>
    </xdr:to>
    <xdr:sp macro="" textlink="">
      <xdr:nvSpPr>
        <xdr:cNvPr id="16" name="Pijl-omhoog 15">
          <a:extLst>
            <a:ext uri="{FF2B5EF4-FFF2-40B4-BE49-F238E27FC236}">
              <a16:creationId xmlns:a16="http://schemas.microsoft.com/office/drawing/2014/main" id="{00000000-0008-0000-0400-000010000000}"/>
            </a:ext>
          </a:extLst>
        </xdr:cNvPr>
        <xdr:cNvSpPr/>
      </xdr:nvSpPr>
      <xdr:spPr>
        <a:xfrm>
          <a:off x="7848600" y="4044043"/>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6</xdr:col>
      <xdr:colOff>849086</xdr:colOff>
      <xdr:row>29</xdr:row>
      <xdr:rowOff>92529</xdr:rowOff>
    </xdr:from>
    <xdr:ext cx="990599" cy="1125693"/>
    <xdr:sp macro="" textlink="">
      <xdr:nvSpPr>
        <xdr:cNvPr id="17" name="Tekstvak 16">
          <a:extLst>
            <a:ext uri="{FF2B5EF4-FFF2-40B4-BE49-F238E27FC236}">
              <a16:creationId xmlns:a16="http://schemas.microsoft.com/office/drawing/2014/main" id="{00000000-0008-0000-0400-000011000000}"/>
            </a:ext>
          </a:extLst>
        </xdr:cNvPr>
        <xdr:cNvSpPr txBox="1"/>
      </xdr:nvSpPr>
      <xdr:spPr>
        <a:xfrm>
          <a:off x="7440386" y="4533900"/>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oneCellAnchor>
    <xdr:from>
      <xdr:col>14</xdr:col>
      <xdr:colOff>898072</xdr:colOff>
      <xdr:row>12</xdr:row>
      <xdr:rowOff>61233</xdr:rowOff>
    </xdr:from>
    <xdr:ext cx="1265026" cy="264560"/>
    <xdr:sp macro="" textlink="">
      <xdr:nvSpPr>
        <xdr:cNvPr id="19" name="Tekstvak 18">
          <a:extLst>
            <a:ext uri="{FF2B5EF4-FFF2-40B4-BE49-F238E27FC236}">
              <a16:creationId xmlns:a16="http://schemas.microsoft.com/office/drawing/2014/main" id="{00000000-0008-0000-0400-000013000000}"/>
            </a:ext>
          </a:extLst>
        </xdr:cNvPr>
        <xdr:cNvSpPr txBox="1"/>
      </xdr:nvSpPr>
      <xdr:spPr>
        <a:xfrm>
          <a:off x="15083518" y="2823483"/>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15</xdr:col>
      <xdr:colOff>312964</xdr:colOff>
      <xdr:row>9</xdr:row>
      <xdr:rowOff>122465</xdr:rowOff>
    </xdr:from>
    <xdr:to>
      <xdr:col>15</xdr:col>
      <xdr:colOff>639535</xdr:colOff>
      <xdr:row>11</xdr:row>
      <xdr:rowOff>68036</xdr:rowOff>
    </xdr:to>
    <xdr:sp macro="" textlink="">
      <xdr:nvSpPr>
        <xdr:cNvPr id="20" name="Pijl-omhoog 19">
          <a:extLst>
            <a:ext uri="{FF2B5EF4-FFF2-40B4-BE49-F238E27FC236}">
              <a16:creationId xmlns:a16="http://schemas.microsoft.com/office/drawing/2014/main" id="{00000000-0008-0000-0400-000014000000}"/>
            </a:ext>
          </a:extLst>
        </xdr:cNvPr>
        <xdr:cNvSpPr/>
      </xdr:nvSpPr>
      <xdr:spPr>
        <a:xfrm>
          <a:off x="15525750" y="2333626"/>
          <a:ext cx="326571" cy="312964"/>
        </a:xfrm>
        <a:prstGeom prst="up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workbookViewId="0">
      <selection activeCell="B36" sqref="B36"/>
    </sheetView>
  </sheetViews>
  <sheetFormatPr defaultRowHeight="15"/>
  <cols>
    <col min="1" max="1" width="28.140625" bestFit="1" customWidth="1"/>
    <col min="2" max="2" width="13.28515625" customWidth="1"/>
    <col min="3" max="3" width="12.85546875" customWidth="1"/>
    <col min="4" max="4" width="13.140625" customWidth="1"/>
    <col min="5" max="5" width="11.42578125" customWidth="1"/>
    <col min="6" max="6" width="10.7109375" customWidth="1"/>
    <col min="7" max="7" width="12.85546875" customWidth="1"/>
    <col min="9" max="9" width="12.28515625" customWidth="1"/>
    <col min="10" max="10" width="10.42578125" customWidth="1"/>
    <col min="12" max="12" width="10.85546875" bestFit="1" customWidth="1"/>
    <col min="15" max="15" width="5.140625" customWidth="1"/>
    <col min="16" max="16" width="14.28515625" customWidth="1"/>
    <col min="17" max="17" width="14.7109375" customWidth="1"/>
    <col min="18" max="18" width="15.7109375" customWidth="1"/>
    <col min="19" max="19" width="13.85546875" bestFit="1" customWidth="1"/>
  </cols>
  <sheetData>
    <row r="1" spans="1:19">
      <c r="A1" t="s">
        <v>0</v>
      </c>
    </row>
    <row r="2" spans="1:19">
      <c r="B2" t="s">
        <v>1</v>
      </c>
    </row>
    <row r="3" spans="1:19">
      <c r="A3" t="e">
        <f>#REF!</f>
        <v>#REF!</v>
      </c>
      <c r="B3" s="12">
        <v>25</v>
      </c>
    </row>
    <row r="4" spans="1:19">
      <c r="A4" t="e">
        <f>#REF!</f>
        <v>#REF!</v>
      </c>
      <c r="B4" s="12">
        <v>65</v>
      </c>
    </row>
    <row r="5" spans="1:19">
      <c r="A5" t="e">
        <f>#REF!</f>
        <v>#REF!</v>
      </c>
      <c r="B5" s="12">
        <v>10</v>
      </c>
    </row>
    <row r="7" spans="1:19">
      <c r="A7" t="s">
        <v>2</v>
      </c>
      <c r="B7" s="12">
        <v>2100</v>
      </c>
    </row>
    <row r="8" spans="1:19">
      <c r="A8" t="s">
        <v>3</v>
      </c>
      <c r="B8" s="12">
        <v>5</v>
      </c>
      <c r="C8" t="s">
        <v>4</v>
      </c>
    </row>
    <row r="9" spans="1:19">
      <c r="A9" t="s">
        <v>5</v>
      </c>
      <c r="B9" s="12">
        <v>13</v>
      </c>
      <c r="C9" t="s">
        <v>6</v>
      </c>
    </row>
    <row r="10" spans="1:19">
      <c r="A10" t="s">
        <v>7</v>
      </c>
      <c r="B10" s="12">
        <v>5</v>
      </c>
      <c r="C10" t="s">
        <v>4</v>
      </c>
    </row>
    <row r="12" spans="1:19">
      <c r="C12" s="4" t="e">
        <f>A3</f>
        <v>#REF!</v>
      </c>
      <c r="F12" s="4" t="e">
        <f>A4</f>
        <v>#REF!</v>
      </c>
      <c r="G12" s="4"/>
      <c r="J12" s="4" t="e">
        <f>A5</f>
        <v>#REF!</v>
      </c>
    </row>
    <row r="14" spans="1:19">
      <c r="C14" t="s">
        <v>8</v>
      </c>
      <c r="F14" t="s">
        <v>8</v>
      </c>
      <c r="J14" t="s">
        <v>8</v>
      </c>
      <c r="S14" t="s">
        <v>9</v>
      </c>
    </row>
    <row r="15" spans="1:19">
      <c r="C15" s="21">
        <f>VLOOKUP(1,B$17:C$21,2,FALSE)</f>
        <v>150000</v>
      </c>
      <c r="F15" s="2">
        <f>VLOOKUP(1,E$17:F$21,2,FALSE)</f>
        <v>10</v>
      </c>
      <c r="G15" s="10"/>
      <c r="J15" s="21">
        <f>VLOOKUP(1,I$17:J$21,2,FALSE)</f>
        <v>100</v>
      </c>
      <c r="P15" t="s">
        <v>10</v>
      </c>
      <c r="S15" s="16">
        <f>VLOOKUP(1,R$17:S$21,2,FALSE)</f>
        <v>3130000</v>
      </c>
    </row>
    <row r="16" spans="1:19">
      <c r="A16" s="1"/>
      <c r="B16" s="13" t="s">
        <v>11</v>
      </c>
      <c r="C16" s="13"/>
      <c r="D16" s="13" t="s">
        <v>12</v>
      </c>
      <c r="E16" s="3" t="s">
        <v>11</v>
      </c>
      <c r="F16" s="3"/>
      <c r="G16" s="3" t="s">
        <v>3</v>
      </c>
      <c r="H16" s="3" t="s">
        <v>12</v>
      </c>
      <c r="I16" s="13" t="s">
        <v>11</v>
      </c>
      <c r="J16" s="13"/>
      <c r="K16" s="22" t="s">
        <v>12</v>
      </c>
      <c r="L16" s="6" t="s">
        <v>13</v>
      </c>
      <c r="M16" s="6" t="s">
        <v>11</v>
      </c>
      <c r="N16" s="25"/>
      <c r="P16" s="15" t="s">
        <v>14</v>
      </c>
      <c r="Q16" s="15" t="s">
        <v>15</v>
      </c>
      <c r="R16" s="15" t="s">
        <v>16</v>
      </c>
      <c r="S16" s="15" t="s">
        <v>17</v>
      </c>
    </row>
    <row r="17" spans="1:19">
      <c r="A17" s="1" t="s">
        <v>18</v>
      </c>
      <c r="B17" s="18">
        <f>RANK(C17,$C$17:$C$21,1)</f>
        <v>5</v>
      </c>
      <c r="C17" s="19">
        <v>400000</v>
      </c>
      <c r="D17" s="20">
        <f>$C$15/C17*$B$3</f>
        <v>9.375</v>
      </c>
      <c r="E17" s="17">
        <f>RANK(F17,$F$17:$F$21,1)</f>
        <v>1</v>
      </c>
      <c r="F17" s="9">
        <v>10</v>
      </c>
      <c r="G17" s="11">
        <f>F17*$B$8*$B$9*$B$7</f>
        <v>1365000</v>
      </c>
      <c r="H17" s="5">
        <f>$F$15/F17*$B$4</f>
        <v>65</v>
      </c>
      <c r="I17" s="18">
        <f>RANK(J17,$J$17:$J$21,1)</f>
        <v>1</v>
      </c>
      <c r="J17" s="19">
        <v>100</v>
      </c>
      <c r="K17" s="23">
        <f>$J$15/J17*$B$5</f>
        <v>10</v>
      </c>
      <c r="L17" s="7">
        <f>SUM(D17,H17,K17)</f>
        <v>84.375</v>
      </c>
      <c r="M17" s="8">
        <f>RANK(L17,$L$17:$L$21,0)</f>
        <v>2</v>
      </c>
      <c r="N17" s="26"/>
      <c r="O17" s="24">
        <f>RANK(P17,$P$17:$P$21,1)</f>
        <v>3</v>
      </c>
      <c r="P17" s="16">
        <f>C17+(F17*$B$7*$B$9*$B$8)</f>
        <v>1765000</v>
      </c>
      <c r="Q17" s="16">
        <f>(F17*$B$7*$B$9*$B$10)</f>
        <v>1365000</v>
      </c>
      <c r="R17" s="24">
        <f>RANK(S17,$S$17:$S$21,1)</f>
        <v>1</v>
      </c>
      <c r="S17" s="16">
        <f>P17+Q17</f>
        <v>3130000</v>
      </c>
    </row>
    <row r="18" spans="1:19">
      <c r="A18" s="1" t="s">
        <v>19</v>
      </c>
      <c r="B18" s="18">
        <f>RANK(C18,$C$17:$C$21,1)</f>
        <v>4</v>
      </c>
      <c r="C18" s="19">
        <v>200000</v>
      </c>
      <c r="D18" s="20">
        <f>$C$15/C18*$B$3</f>
        <v>18.75</v>
      </c>
      <c r="E18" s="17">
        <f>RANK(F18,$F$17:$F$21,1)</f>
        <v>2</v>
      </c>
      <c r="F18" s="9">
        <v>11</v>
      </c>
      <c r="G18" s="11">
        <f>F18*$B$8*$B$9*$B$7</f>
        <v>1501500</v>
      </c>
      <c r="H18" s="5">
        <f>$F$15/F18*$B$4</f>
        <v>59.090909090909086</v>
      </c>
      <c r="I18" s="18">
        <f>RANK(J18,$J$17:$J$21,1)</f>
        <v>4</v>
      </c>
      <c r="J18" s="19">
        <v>150</v>
      </c>
      <c r="K18" s="23">
        <f>$J$15/J18*$B$5</f>
        <v>6.6666666666666661</v>
      </c>
      <c r="L18" s="7">
        <f>SUM(D18,H18,K18)</f>
        <v>84.507575757575765</v>
      </c>
      <c r="M18" s="8">
        <f>RANK(L18,$L$17:$L$21,0)</f>
        <v>1</v>
      </c>
      <c r="N18" s="26"/>
      <c r="O18" s="24">
        <f>RANK(P18,$P$17:$P$21,1)</f>
        <v>1</v>
      </c>
      <c r="P18" s="16">
        <f>C18+(F18*$B$7*$B$9*$B$8)</f>
        <v>1701500</v>
      </c>
      <c r="Q18" s="16">
        <f>(F18*$B$7*$B$9*$B$10)</f>
        <v>1501500</v>
      </c>
      <c r="R18" s="24">
        <f>RANK(S18,$S$17:$S$21,1)</f>
        <v>2</v>
      </c>
      <c r="S18" s="16">
        <f>P18+Q18</f>
        <v>3203000</v>
      </c>
    </row>
    <row r="19" spans="1:19">
      <c r="A19" s="1" t="s">
        <v>20</v>
      </c>
      <c r="B19" s="18">
        <f>RANK(C19,$C$17:$C$21,1)</f>
        <v>1</v>
      </c>
      <c r="C19" s="19">
        <v>150000</v>
      </c>
      <c r="D19" s="20">
        <f>$C$15/C19*$B$3</f>
        <v>25</v>
      </c>
      <c r="E19" s="17">
        <f>RANK(F19,$F$17:$F$21,1)</f>
        <v>5</v>
      </c>
      <c r="F19" s="9">
        <v>15</v>
      </c>
      <c r="G19" s="11">
        <f>F19*$B$8*$B$9*$B$7</f>
        <v>2047500</v>
      </c>
      <c r="H19" s="5">
        <f>$F$15/F19*$B$4</f>
        <v>43.333333333333329</v>
      </c>
      <c r="I19" s="18">
        <f>RANK(J19,$J$17:$J$21,1)</f>
        <v>3</v>
      </c>
      <c r="J19" s="19">
        <v>120</v>
      </c>
      <c r="K19" s="23">
        <f>$J$15/J19*$B$5</f>
        <v>8.3333333333333339</v>
      </c>
      <c r="L19" s="7">
        <f>SUM(D19,H19,K19)</f>
        <v>76.666666666666657</v>
      </c>
      <c r="M19" s="8">
        <f>RANK(L19,$L$17:$L$21,0)</f>
        <v>5</v>
      </c>
      <c r="N19" s="26"/>
      <c r="O19" s="24">
        <f>RANK(P19,$P$17:$P$21,1)</f>
        <v>5</v>
      </c>
      <c r="P19" s="16">
        <f>C19+(F19*$B$7*$B$9*$B$8)</f>
        <v>2197500</v>
      </c>
      <c r="Q19" s="16">
        <f>(F19*$B$7*$B$9*$B$10)</f>
        <v>2047500</v>
      </c>
      <c r="R19" s="24">
        <f>RANK(S19,$S$17:$S$21,1)</f>
        <v>5</v>
      </c>
      <c r="S19" s="16">
        <f>P19+Q19</f>
        <v>4245000</v>
      </c>
    </row>
    <row r="20" spans="1:19">
      <c r="A20" s="1" t="s">
        <v>21</v>
      </c>
      <c r="B20" s="18">
        <f>RANK(C20,$C$17:$C$21,1)</f>
        <v>3</v>
      </c>
      <c r="C20" s="19">
        <v>180000</v>
      </c>
      <c r="D20" s="20">
        <f>$C$15/C20*$B$3</f>
        <v>20.833333333333336</v>
      </c>
      <c r="E20" s="17">
        <f>RANK(F20,$F$17:$F$21,1)</f>
        <v>3</v>
      </c>
      <c r="F20" s="9">
        <v>11.5</v>
      </c>
      <c r="G20" s="11">
        <f>F20*$B$8*$B$9*$B$7</f>
        <v>1569750</v>
      </c>
      <c r="H20" s="5">
        <f>$F$15/F20*$B$4</f>
        <v>56.521739130434781</v>
      </c>
      <c r="I20" s="18">
        <f>RANK(J20,$J$17:$J$21,1)</f>
        <v>4</v>
      </c>
      <c r="J20" s="19">
        <v>150</v>
      </c>
      <c r="K20" s="23">
        <f>$J$15/J20*$B$5</f>
        <v>6.6666666666666661</v>
      </c>
      <c r="L20" s="7">
        <f>SUM(D20,H20,K20)</f>
        <v>84.021739130434796</v>
      </c>
      <c r="M20" s="8">
        <f>RANK(L20,$L$17:$L$21,0)</f>
        <v>3</v>
      </c>
      <c r="N20" s="26"/>
      <c r="O20" s="24">
        <f>RANK(P20,$P$17:$P$21,1)</f>
        <v>2</v>
      </c>
      <c r="P20" s="16">
        <f>C20+(F20*$B$7*$B$9*$B$8)</f>
        <v>1749750</v>
      </c>
      <c r="Q20" s="16">
        <f>(F20*$B$7*$B$9*$B$10)</f>
        <v>1569750</v>
      </c>
      <c r="R20" s="24">
        <f>RANK(S20,$S$17:$S$21,1)</f>
        <v>3</v>
      </c>
      <c r="S20" s="16">
        <f>P20+Q20</f>
        <v>3319500</v>
      </c>
    </row>
    <row r="21" spans="1:19">
      <c r="A21" s="1" t="s">
        <v>22</v>
      </c>
      <c r="B21" s="18">
        <f>RANK(C21,$C$17:$C$21,1)</f>
        <v>2</v>
      </c>
      <c r="C21" s="19">
        <v>165000</v>
      </c>
      <c r="D21" s="20">
        <f>$C$15/C21*$B$3</f>
        <v>22.727272727272727</v>
      </c>
      <c r="E21" s="17">
        <f>RANK(F21,$F$17:$F$21,1)</f>
        <v>4</v>
      </c>
      <c r="F21" s="9">
        <v>14</v>
      </c>
      <c r="G21" s="11">
        <f>F21*$B$8*$B$9*$B$7</f>
        <v>1911000</v>
      </c>
      <c r="H21" s="5">
        <f>$F$15/F21*$B$4</f>
        <v>46.428571428571431</v>
      </c>
      <c r="I21" s="18">
        <f>RANK(J21,$J$17:$J$21,1)</f>
        <v>2</v>
      </c>
      <c r="J21" s="19">
        <v>110</v>
      </c>
      <c r="K21" s="23">
        <f>$J$15/J21*$B$5</f>
        <v>9.0909090909090899</v>
      </c>
      <c r="L21" s="7">
        <f>SUM(D21,H21,K21)</f>
        <v>78.246753246753258</v>
      </c>
      <c r="M21" s="8">
        <f>RANK(L21,$L$17:$L$21,0)</f>
        <v>4</v>
      </c>
      <c r="N21" s="26"/>
      <c r="O21" s="24">
        <f>RANK(P21,$P$17:$P$21,1)</f>
        <v>4</v>
      </c>
      <c r="P21" s="16">
        <f>C21+(F21*$B$7*$B$9*$B$8)</f>
        <v>2076000</v>
      </c>
      <c r="Q21" s="16">
        <f>(F21*$B$7*$B$9*$B$10)</f>
        <v>1911000</v>
      </c>
      <c r="R21" s="24">
        <f>RANK(S21,$S$17:$S$21,1)</f>
        <v>4</v>
      </c>
      <c r="S21" s="16">
        <f>P21+Q21</f>
        <v>3987000</v>
      </c>
    </row>
  </sheetData>
  <conditionalFormatting sqref="M17:N21">
    <cfRule type="cellIs" dxfId="89" priority="16" operator="equal">
      <formula>3</formula>
    </cfRule>
    <cfRule type="cellIs" dxfId="88" priority="17" operator="equal">
      <formula>2</formula>
    </cfRule>
    <cfRule type="cellIs" dxfId="87" priority="18" operator="equal">
      <formula>1</formula>
    </cfRule>
  </conditionalFormatting>
  <conditionalFormatting sqref="E17:E21">
    <cfRule type="cellIs" dxfId="86" priority="13" operator="equal">
      <formula>3</formula>
    </cfRule>
    <cfRule type="cellIs" dxfId="85" priority="14" operator="equal">
      <formula>2</formula>
    </cfRule>
    <cfRule type="cellIs" dxfId="84" priority="15" operator="equal">
      <formula>1</formula>
    </cfRule>
  </conditionalFormatting>
  <conditionalFormatting sqref="I17:I21">
    <cfRule type="cellIs" dxfId="83" priority="10" operator="equal">
      <formula>3</formula>
    </cfRule>
    <cfRule type="cellIs" dxfId="82" priority="11" operator="equal">
      <formula>2</formula>
    </cfRule>
    <cfRule type="cellIs" dxfId="81" priority="12" operator="equal">
      <formula>1</formula>
    </cfRule>
  </conditionalFormatting>
  <conditionalFormatting sqref="R17:R21">
    <cfRule type="cellIs" dxfId="80" priority="7" operator="equal">
      <formula>3</formula>
    </cfRule>
    <cfRule type="cellIs" dxfId="79" priority="8" operator="equal">
      <formula>2</formula>
    </cfRule>
    <cfRule type="cellIs" dxfId="78" priority="9" operator="equal">
      <formula>1</formula>
    </cfRule>
  </conditionalFormatting>
  <conditionalFormatting sqref="B17:B21">
    <cfRule type="cellIs" dxfId="77" priority="4" operator="equal">
      <formula>3</formula>
    </cfRule>
    <cfRule type="cellIs" dxfId="76" priority="5" operator="equal">
      <formula>2</formula>
    </cfRule>
    <cfRule type="cellIs" dxfId="75" priority="6" operator="equal">
      <formula>1</formula>
    </cfRule>
  </conditionalFormatting>
  <conditionalFormatting sqref="O17:O21">
    <cfRule type="cellIs" dxfId="74" priority="1" operator="equal">
      <formula>3</formula>
    </cfRule>
    <cfRule type="cellIs" dxfId="73" priority="2" operator="equal">
      <formula>2</formula>
    </cfRule>
    <cfRule type="cellIs" dxfId="72" priority="3" operator="equal">
      <formula>1</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1"/>
  <sheetViews>
    <sheetView workbookViewId="0">
      <selection activeCell="B35" sqref="B35"/>
    </sheetView>
  </sheetViews>
  <sheetFormatPr defaultRowHeight="15"/>
  <cols>
    <col min="1" max="1" width="28.140625" bestFit="1" customWidth="1"/>
    <col min="2" max="2" width="13.28515625" customWidth="1"/>
    <col min="3" max="3" width="12.85546875" customWidth="1"/>
    <col min="4" max="4" width="13.140625" customWidth="1"/>
    <col min="5" max="5" width="11.42578125" customWidth="1"/>
    <col min="6" max="6" width="14.42578125" customWidth="1"/>
    <col min="7" max="7" width="12.85546875" customWidth="1"/>
    <col min="8" max="8" width="11.28515625" bestFit="1" customWidth="1"/>
    <col min="9" max="9" width="9.85546875" customWidth="1"/>
    <col min="10" max="10" width="10.42578125" customWidth="1"/>
    <col min="11" max="11" width="10.7109375" customWidth="1"/>
    <col min="13" max="13" width="12" customWidth="1"/>
    <col min="14" max="14" width="12.7109375" customWidth="1"/>
    <col min="15" max="15" width="6.140625" customWidth="1"/>
    <col min="16" max="16" width="4.7109375" customWidth="1"/>
    <col min="17" max="20" width="13.85546875" bestFit="1" customWidth="1"/>
  </cols>
  <sheetData>
    <row r="1" spans="1:20">
      <c r="A1" t="s">
        <v>0</v>
      </c>
    </row>
    <row r="2" spans="1:20">
      <c r="B2" t="s">
        <v>1</v>
      </c>
    </row>
    <row r="3" spans="1:20">
      <c r="A3" t="e">
        <f>#REF!</f>
        <v>#REF!</v>
      </c>
      <c r="B3" s="12"/>
      <c r="C3" s="177">
        <v>95</v>
      </c>
    </row>
    <row r="4" spans="1:20">
      <c r="A4" t="e">
        <f>#REF!</f>
        <v>#REF!</v>
      </c>
      <c r="B4" s="12"/>
      <c r="C4" s="177"/>
    </row>
    <row r="5" spans="1:20">
      <c r="A5" t="e">
        <f>#REF!</f>
        <v>#REF!</v>
      </c>
      <c r="B5" s="37">
        <v>5</v>
      </c>
    </row>
    <row r="7" spans="1:20">
      <c r="A7" t="s">
        <v>2</v>
      </c>
      <c r="B7" s="12">
        <v>2100</v>
      </c>
    </row>
    <row r="8" spans="1:20">
      <c r="A8" t="s">
        <v>3</v>
      </c>
      <c r="B8" s="12">
        <v>5</v>
      </c>
      <c r="C8" t="s">
        <v>4</v>
      </c>
    </row>
    <row r="9" spans="1:20">
      <c r="A9" t="s">
        <v>5</v>
      </c>
      <c r="B9" s="12">
        <v>13</v>
      </c>
      <c r="C9" t="s">
        <v>6</v>
      </c>
    </row>
    <row r="10" spans="1:20">
      <c r="A10" t="s">
        <v>7</v>
      </c>
      <c r="B10" s="12">
        <v>5</v>
      </c>
      <c r="C10" t="s">
        <v>4</v>
      </c>
    </row>
    <row r="12" spans="1:20">
      <c r="C12" s="4" t="e">
        <f>A3</f>
        <v>#REF!</v>
      </c>
      <c r="F12" s="4" t="e">
        <f>A4</f>
        <v>#REF!</v>
      </c>
      <c r="G12" s="4"/>
      <c r="K12" s="4" t="e">
        <f>A5</f>
        <v>#REF!</v>
      </c>
    </row>
    <row r="14" spans="1:20">
      <c r="C14" t="s">
        <v>8</v>
      </c>
      <c r="E14" t="s">
        <v>8</v>
      </c>
      <c r="K14" t="s">
        <v>8</v>
      </c>
      <c r="S14" t="s">
        <v>9</v>
      </c>
    </row>
    <row r="15" spans="1:20">
      <c r="C15" s="21">
        <f>VLOOKUP(1,B$17:C$21,2,FALSE)</f>
        <v>150000</v>
      </c>
      <c r="E15" s="2">
        <f>VLOOKUP(1,D$17:E$21,2,FALSE)</f>
        <v>10</v>
      </c>
      <c r="F15" s="27"/>
      <c r="H15" s="30">
        <f>VLOOKUP(1,G$17:H$21,2,FALSE)</f>
        <v>1701500</v>
      </c>
      <c r="K15" s="21">
        <f>VLOOKUP(1,J$17:K$21,2,FALSE)</f>
        <v>100</v>
      </c>
      <c r="Q15" t="s">
        <v>10</v>
      </c>
      <c r="T15" s="16">
        <f>VLOOKUP(1,S$17:T$21,2,FALSE)</f>
        <v>3130000</v>
      </c>
    </row>
    <row r="16" spans="1:20">
      <c r="A16" s="1"/>
      <c r="B16" s="13" t="s">
        <v>11</v>
      </c>
      <c r="C16" s="13"/>
      <c r="D16" s="3" t="s">
        <v>11</v>
      </c>
      <c r="E16" s="3"/>
      <c r="F16" s="3" t="s">
        <v>3</v>
      </c>
      <c r="G16" s="28" t="s">
        <v>11</v>
      </c>
      <c r="H16" s="31" t="s">
        <v>23</v>
      </c>
      <c r="I16" s="31" t="s">
        <v>12</v>
      </c>
      <c r="J16" s="13" t="s">
        <v>11</v>
      </c>
      <c r="K16" s="13"/>
      <c r="L16" s="22"/>
      <c r="M16" s="14" t="s">
        <v>13</v>
      </c>
      <c r="N16" s="14" t="s">
        <v>24</v>
      </c>
      <c r="Q16" s="15" t="s">
        <v>14</v>
      </c>
      <c r="R16" s="15" t="s">
        <v>15</v>
      </c>
      <c r="S16" s="15" t="s">
        <v>16</v>
      </c>
      <c r="T16" s="15" t="s">
        <v>17</v>
      </c>
    </row>
    <row r="17" spans="1:20">
      <c r="A17" s="1" t="s">
        <v>18</v>
      </c>
      <c r="B17" s="18">
        <f>RANK(C17,$C$17:$C$21,1)</f>
        <v>5</v>
      </c>
      <c r="C17" s="19">
        <v>400000</v>
      </c>
      <c r="D17" s="17">
        <f>RANK(E17,$E$17:$E$21,1)</f>
        <v>1</v>
      </c>
      <c r="E17" s="9">
        <v>10</v>
      </c>
      <c r="F17" s="11">
        <f>E17*$B$8*$B$9*$B$7</f>
        <v>1365000</v>
      </c>
      <c r="G17" s="29">
        <f>RANK(H17,$H$17:$H$21,1)</f>
        <v>3</v>
      </c>
      <c r="H17" s="30">
        <f>C17+F17</f>
        <v>1765000</v>
      </c>
      <c r="I17" s="32">
        <f>$H$15/H17*$C$3</f>
        <v>91.582152974504254</v>
      </c>
      <c r="J17" s="18">
        <f>RANK(K17,$K$17:$K$21,1)</f>
        <v>1</v>
      </c>
      <c r="K17" s="19">
        <v>100</v>
      </c>
      <c r="L17" s="23">
        <f>$K$15/K17*$B$5</f>
        <v>5</v>
      </c>
      <c r="M17" s="36">
        <f>I17+L17</f>
        <v>96.582152974504254</v>
      </c>
      <c r="N17" s="35">
        <f>RANK(M17,$M$17:$M$21,0)</f>
        <v>2</v>
      </c>
      <c r="P17" s="24">
        <f>RANK(Q17,$Q$17:$Q$21,1)</f>
        <v>3</v>
      </c>
      <c r="Q17" s="33">
        <f>C17+(E17*$B$7*$B$9*$B$8)</f>
        <v>1765000</v>
      </c>
      <c r="R17" s="33">
        <f>(E17*$B$7*$B$9*$B$10)</f>
        <v>1365000</v>
      </c>
      <c r="S17" s="24">
        <f>RANK(T17,$T$17:$T$21,1)</f>
        <v>1</v>
      </c>
      <c r="T17" s="33">
        <f>Q17+R17</f>
        <v>3130000</v>
      </c>
    </row>
    <row r="18" spans="1:20">
      <c r="A18" s="1" t="s">
        <v>19</v>
      </c>
      <c r="B18" s="18">
        <f>RANK(C18,$C$17:$C$21,1)</f>
        <v>4</v>
      </c>
      <c r="C18" s="19">
        <v>200000</v>
      </c>
      <c r="D18" s="17">
        <f>RANK(E18,$E$17:$E$21,1)</f>
        <v>2</v>
      </c>
      <c r="E18" s="9">
        <v>11</v>
      </c>
      <c r="F18" s="11">
        <f>E18*$B$8*$B$9*$B$7</f>
        <v>1501500</v>
      </c>
      <c r="G18" s="29">
        <f>RANK(H18,$H$17:$H$21,1)</f>
        <v>1</v>
      </c>
      <c r="H18" s="30">
        <f>C18+F18</f>
        <v>1701500</v>
      </c>
      <c r="I18" s="32">
        <f>$H$15/H18*$C$3</f>
        <v>95</v>
      </c>
      <c r="J18" s="18">
        <f>RANK(K18,$K$17:$K$21,1)</f>
        <v>4</v>
      </c>
      <c r="K18" s="19">
        <v>150</v>
      </c>
      <c r="L18" s="23">
        <f>$K$15/K18*$B$5</f>
        <v>3.333333333333333</v>
      </c>
      <c r="M18" s="36">
        <f>I18+L18</f>
        <v>98.333333333333329</v>
      </c>
      <c r="N18" s="35">
        <f>RANK(M18,$M$17:$M$21,0)</f>
        <v>1</v>
      </c>
      <c r="P18" s="24">
        <f>RANK(Q18,$Q$17:$Q$21,1)</f>
        <v>1</v>
      </c>
      <c r="Q18" s="33">
        <f>C18+(E18*$B$7*$B$9*$B$8)</f>
        <v>1701500</v>
      </c>
      <c r="R18" s="33">
        <f>(E18*$B$7*$B$9*$B$10)</f>
        <v>1501500</v>
      </c>
      <c r="S18" s="24">
        <f>RANK(T18,$T$17:$T$21,1)</f>
        <v>2</v>
      </c>
      <c r="T18" s="33">
        <f>Q18+R18</f>
        <v>3203000</v>
      </c>
    </row>
    <row r="19" spans="1:20">
      <c r="A19" s="1" t="s">
        <v>20</v>
      </c>
      <c r="B19" s="18">
        <f>RANK(C19,$C$17:$C$21,1)</f>
        <v>1</v>
      </c>
      <c r="C19" s="19">
        <v>150000</v>
      </c>
      <c r="D19" s="17">
        <f>RANK(E19,$E$17:$E$21,1)</f>
        <v>5</v>
      </c>
      <c r="E19" s="9">
        <v>15</v>
      </c>
      <c r="F19" s="11">
        <f>E19*$B$8*$B$9*$B$7</f>
        <v>2047500</v>
      </c>
      <c r="G19" s="29">
        <f>RANK(H19,$H$17:$H$21,1)</f>
        <v>5</v>
      </c>
      <c r="H19" s="30">
        <f>C19+F19</f>
        <v>2197500</v>
      </c>
      <c r="I19" s="32">
        <f>$H$15/H19*$C$3</f>
        <v>73.557451649601816</v>
      </c>
      <c r="J19" s="18">
        <f>RANK(K19,$K$17:$K$21,1)</f>
        <v>3</v>
      </c>
      <c r="K19" s="19">
        <v>120</v>
      </c>
      <c r="L19" s="23">
        <f>$K$15/K19*$B$5</f>
        <v>4.166666666666667</v>
      </c>
      <c r="M19" s="36">
        <f>I19+L19</f>
        <v>77.724118316268488</v>
      </c>
      <c r="N19" s="35">
        <f>RANK(M19,$M$17:$M$21,0)</f>
        <v>5</v>
      </c>
      <c r="P19" s="24">
        <f>RANK(Q19,$Q$17:$Q$21,1)</f>
        <v>5</v>
      </c>
      <c r="Q19" s="33">
        <f>C19+(E19*$B$7*$B$9*$B$8)</f>
        <v>2197500</v>
      </c>
      <c r="R19" s="33">
        <f>(E19*$B$7*$B$9*$B$10)</f>
        <v>2047500</v>
      </c>
      <c r="S19" s="24">
        <f>RANK(T19,$T$17:$T$21,1)</f>
        <v>5</v>
      </c>
      <c r="T19" s="33">
        <f>Q19+R19</f>
        <v>4245000</v>
      </c>
    </row>
    <row r="20" spans="1:20">
      <c r="A20" s="1" t="s">
        <v>21</v>
      </c>
      <c r="B20" s="18">
        <f>RANK(C20,$C$17:$C$21,1)</f>
        <v>3</v>
      </c>
      <c r="C20" s="19">
        <v>180000</v>
      </c>
      <c r="D20" s="17">
        <f>RANK(E20,$E$17:$E$21,1)</f>
        <v>3</v>
      </c>
      <c r="E20" s="9">
        <v>11.5</v>
      </c>
      <c r="F20" s="11">
        <f>E20*$B$8*$B$9*$B$7</f>
        <v>1569750</v>
      </c>
      <c r="G20" s="29">
        <f>RANK(H20,$H$17:$H$21,1)</f>
        <v>2</v>
      </c>
      <c r="H20" s="30">
        <f>C20+F20</f>
        <v>1749750</v>
      </c>
      <c r="I20" s="32">
        <f>$H$15/H20*$C$3</f>
        <v>92.380340048578361</v>
      </c>
      <c r="J20" s="18">
        <f>RANK(K20,$K$17:$K$21,1)</f>
        <v>4</v>
      </c>
      <c r="K20" s="19">
        <v>150</v>
      </c>
      <c r="L20" s="23">
        <f>$K$15/K20*$B$5</f>
        <v>3.333333333333333</v>
      </c>
      <c r="M20" s="36">
        <f>I20+L20</f>
        <v>95.71367338191169</v>
      </c>
      <c r="N20" s="35">
        <f>RANK(M20,$M$17:$M$21,0)</f>
        <v>3</v>
      </c>
      <c r="P20" s="24">
        <f>RANK(Q20,$Q$17:$Q$21,1)</f>
        <v>2</v>
      </c>
      <c r="Q20" s="33">
        <f>C20+(E20*$B$7*$B$9*$B$8)</f>
        <v>1749750</v>
      </c>
      <c r="R20" s="33">
        <f>(E20*$B$7*$B$9*$B$10)</f>
        <v>1569750</v>
      </c>
      <c r="S20" s="24">
        <f>RANK(T20,$T$17:$T$21,1)</f>
        <v>3</v>
      </c>
      <c r="T20" s="33">
        <f>Q20+R20</f>
        <v>3319500</v>
      </c>
    </row>
    <row r="21" spans="1:20">
      <c r="A21" s="1" t="s">
        <v>22</v>
      </c>
      <c r="B21" s="18">
        <f>RANK(C21,$C$17:$C$21,1)</f>
        <v>2</v>
      </c>
      <c r="C21" s="19">
        <v>165000</v>
      </c>
      <c r="D21" s="17">
        <f>RANK(E21,$E$17:$E$21,1)</f>
        <v>4</v>
      </c>
      <c r="E21" s="9">
        <v>14</v>
      </c>
      <c r="F21" s="11">
        <f>E21*$B$8*$B$9*$B$7</f>
        <v>1911000</v>
      </c>
      <c r="G21" s="29">
        <f>RANK(H21,$H$17:$H$21,1)</f>
        <v>4</v>
      </c>
      <c r="H21" s="30">
        <f>C21+F21</f>
        <v>2076000</v>
      </c>
      <c r="I21" s="32">
        <f>$H$15/H21*$C$3</f>
        <v>77.86247591522158</v>
      </c>
      <c r="J21" s="18">
        <f>RANK(K21,$K$17:$K$21,1)</f>
        <v>2</v>
      </c>
      <c r="K21" s="19">
        <v>110</v>
      </c>
      <c r="L21" s="23">
        <f>$K$15/K21*$B$5</f>
        <v>4.545454545454545</v>
      </c>
      <c r="M21" s="36">
        <f>I21+L21</f>
        <v>82.407930460676127</v>
      </c>
      <c r="N21" s="35">
        <f>RANK(M21,$M$17:$M$21,0)</f>
        <v>4</v>
      </c>
      <c r="P21" s="24">
        <f>RANK(Q21,$Q$17:$Q$21,1)</f>
        <v>4</v>
      </c>
      <c r="Q21" s="33">
        <f>C21+(E21*$B$7*$B$9*$B$8)</f>
        <v>2076000</v>
      </c>
      <c r="R21" s="33">
        <f>(E21*$B$7*$B$9*$B$10)</f>
        <v>1911000</v>
      </c>
      <c r="S21" s="24">
        <f>RANK(T21,$T$17:$T$21,1)</f>
        <v>4</v>
      </c>
      <c r="T21" s="33">
        <f>Q21+R21</f>
        <v>3987000</v>
      </c>
    </row>
  </sheetData>
  <mergeCells count="1">
    <mergeCell ref="C3:C4"/>
  </mergeCells>
  <conditionalFormatting sqref="D17:D21">
    <cfRule type="cellIs" dxfId="71" priority="19" operator="equal">
      <formula>3</formula>
    </cfRule>
    <cfRule type="cellIs" dxfId="70" priority="20" operator="equal">
      <formula>2</formula>
    </cfRule>
    <cfRule type="cellIs" dxfId="69" priority="21" operator="equal">
      <formula>1</formula>
    </cfRule>
  </conditionalFormatting>
  <conditionalFormatting sqref="J17:J21">
    <cfRule type="cellIs" dxfId="68" priority="16" operator="equal">
      <formula>3</formula>
    </cfRule>
    <cfRule type="cellIs" dxfId="67" priority="17" operator="equal">
      <formula>2</formula>
    </cfRule>
    <cfRule type="cellIs" dxfId="66" priority="18" operator="equal">
      <formula>1</formula>
    </cfRule>
  </conditionalFormatting>
  <conditionalFormatting sqref="S17:S21">
    <cfRule type="cellIs" dxfId="65" priority="13" operator="equal">
      <formula>3</formula>
    </cfRule>
    <cfRule type="cellIs" dxfId="64" priority="14" operator="equal">
      <formula>2</formula>
    </cfRule>
    <cfRule type="cellIs" dxfId="63" priority="15" operator="equal">
      <formula>1</formula>
    </cfRule>
  </conditionalFormatting>
  <conditionalFormatting sqref="B17:B21">
    <cfRule type="cellIs" dxfId="62" priority="10" operator="equal">
      <formula>3</formula>
    </cfRule>
    <cfRule type="cellIs" dxfId="61" priority="11" operator="equal">
      <formula>2</formula>
    </cfRule>
    <cfRule type="cellIs" dxfId="60" priority="12" operator="equal">
      <formula>1</formula>
    </cfRule>
  </conditionalFormatting>
  <conditionalFormatting sqref="P17:P21">
    <cfRule type="cellIs" dxfId="59" priority="7" operator="equal">
      <formula>3</formula>
    </cfRule>
    <cfRule type="cellIs" dxfId="58" priority="8" operator="equal">
      <formula>2</formula>
    </cfRule>
    <cfRule type="cellIs" dxfId="57" priority="9" operator="equal">
      <formula>1</formula>
    </cfRule>
  </conditionalFormatting>
  <conditionalFormatting sqref="G17:G21">
    <cfRule type="cellIs" dxfId="56" priority="4" operator="equal">
      <formula>3</formula>
    </cfRule>
    <cfRule type="cellIs" dxfId="55" priority="5" operator="equal">
      <formula>2</formula>
    </cfRule>
    <cfRule type="cellIs" dxfId="54" priority="6" operator="equal">
      <formula>1</formula>
    </cfRule>
  </conditionalFormatting>
  <conditionalFormatting sqref="N17:N21">
    <cfRule type="cellIs" dxfId="53" priority="1" operator="equal">
      <formula>3</formula>
    </cfRule>
    <cfRule type="cellIs" dxfId="52" priority="2" operator="equal">
      <formula>2</formula>
    </cfRule>
    <cfRule type="cellIs" dxfId="51" priority="3" operator="equal">
      <formula>1</formula>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5"/>
  <sheetViews>
    <sheetView topLeftCell="A2" zoomScale="90" zoomScaleNormal="80" workbookViewId="0">
      <selection activeCell="J5" sqref="J5"/>
    </sheetView>
  </sheetViews>
  <sheetFormatPr defaultRowHeight="15"/>
  <cols>
    <col min="1" max="1" width="36.140625" customWidth="1"/>
    <col min="2" max="2" width="13.28515625" customWidth="1"/>
    <col min="3" max="3" width="12.85546875" customWidth="1"/>
    <col min="4" max="4" width="13.140625" customWidth="1"/>
    <col min="5" max="5" width="11.42578125" customWidth="1"/>
    <col min="6" max="6" width="14.42578125" customWidth="1"/>
    <col min="7" max="7" width="12.85546875" customWidth="1"/>
    <col min="8" max="8" width="14.7109375" customWidth="1"/>
    <col min="9" max="9" width="9.85546875" customWidth="1"/>
    <col min="10" max="10" width="15.42578125" customWidth="1"/>
    <col min="11" max="11" width="12.5703125" customWidth="1"/>
    <col min="12" max="12" width="11.85546875" customWidth="1"/>
    <col min="13" max="13" width="13" customWidth="1"/>
    <col min="14" max="14" width="12.7109375" customWidth="1"/>
    <col min="15" max="15" width="14.5703125" customWidth="1"/>
    <col min="16" max="16" width="12.28515625" bestFit="1" customWidth="1"/>
    <col min="17" max="20" width="13.85546875" bestFit="1" customWidth="1"/>
  </cols>
  <sheetData>
    <row r="2" spans="1:17" ht="30">
      <c r="A2" t="s">
        <v>0</v>
      </c>
      <c r="M2" s="52" t="s">
        <v>25</v>
      </c>
      <c r="O2" s="52" t="s">
        <v>26</v>
      </c>
    </row>
    <row r="3" spans="1:17" ht="30">
      <c r="B3" t="s">
        <v>1</v>
      </c>
      <c r="C3" t="s">
        <v>1</v>
      </c>
      <c r="J3" s="52" t="s">
        <v>10</v>
      </c>
      <c r="M3" s="33">
        <f>VLOOKUP(1,L$5:M$9,2,FALSE)</f>
        <v>1639200</v>
      </c>
      <c r="O3" s="33"/>
    </row>
    <row r="4" spans="1:17" ht="45">
      <c r="A4" t="e">
        <f>#REF!</f>
        <v>#REF!</v>
      </c>
      <c r="B4" s="12"/>
      <c r="C4" s="177">
        <v>90</v>
      </c>
      <c r="J4" s="15" t="s">
        <v>14</v>
      </c>
      <c r="K4" s="15" t="s">
        <v>15</v>
      </c>
      <c r="L4" s="53" t="s">
        <v>27</v>
      </c>
      <c r="M4" s="53" t="s">
        <v>28</v>
      </c>
      <c r="N4" s="53" t="s">
        <v>29</v>
      </c>
      <c r="O4" s="53" t="s">
        <v>30</v>
      </c>
      <c r="P4" s="14" t="s">
        <v>13</v>
      </c>
      <c r="Q4" s="14" t="s">
        <v>24</v>
      </c>
    </row>
    <row r="5" spans="1:17">
      <c r="A5" t="e">
        <f>#REF!</f>
        <v>#REF!</v>
      </c>
      <c r="B5" s="12"/>
      <c r="C5" s="177"/>
      <c r="G5" t="str">
        <f>A22</f>
        <v>Leverancier 1</v>
      </c>
      <c r="I5" s="24">
        <f>RANK(J5,$J$5:$J$9,1)</f>
        <v>4</v>
      </c>
      <c r="J5" s="33">
        <f>C22+(E22*$B$12*$B$14*$B$13)</f>
        <v>1082500</v>
      </c>
      <c r="K5" s="33">
        <f>(E22*$B$12*$B$14*$B$15)</f>
        <v>682500</v>
      </c>
      <c r="L5" s="24">
        <f>RANK(M5,$M$5:$M$9,1)</f>
        <v>3</v>
      </c>
      <c r="M5" s="33">
        <f>J5+K5</f>
        <v>1765000</v>
      </c>
      <c r="N5" s="24">
        <f>RANK(O5,$O$5:$O$9,1)</f>
        <v>3</v>
      </c>
      <c r="O5" s="33">
        <f>M5+N22+Q22+T22+W22</f>
        <v>1797000</v>
      </c>
      <c r="P5" s="36">
        <f>I22+L22+O22+R22+U22+X22</f>
        <v>82.801385681293297</v>
      </c>
      <c r="Q5" s="35">
        <f>RANK(P5,$P$5:$P$9,0)</f>
        <v>4</v>
      </c>
    </row>
    <row r="6" spans="1:17">
      <c r="A6" t="s">
        <v>31</v>
      </c>
      <c r="B6" s="37">
        <v>2</v>
      </c>
      <c r="C6" s="38"/>
      <c r="G6" t="str">
        <f>A23</f>
        <v>Leverancier 2</v>
      </c>
      <c r="I6" s="24">
        <f>RANK(J6,$J$5:$J$9,1)</f>
        <v>3</v>
      </c>
      <c r="J6" s="33">
        <f>C23+(E23*$B$12*$B$14*$B$13)</f>
        <v>1019000</v>
      </c>
      <c r="K6" s="33">
        <f>(E23*$B$12*$B$14*$B$15)</f>
        <v>819000</v>
      </c>
      <c r="L6" s="24">
        <f>RANK(M6,$M$5:$M$9,1)</f>
        <v>4</v>
      </c>
      <c r="M6" s="33">
        <f>J6+K6</f>
        <v>1838000</v>
      </c>
      <c r="N6" s="24">
        <f>RANK(O6,$O$5:$O$9,1)</f>
        <v>4</v>
      </c>
      <c r="O6" s="33">
        <f>M6+N23+Q23+T23+W23</f>
        <v>1891000</v>
      </c>
      <c r="P6" s="36">
        <f>I23+L23+O23+R23+U23+X23</f>
        <v>85.058505070330384</v>
      </c>
      <c r="Q6" s="35">
        <f>RANK(P6,$P$5:$P$9,0)</f>
        <v>3</v>
      </c>
    </row>
    <row r="7" spans="1:17">
      <c r="A7" t="s">
        <v>32</v>
      </c>
      <c r="B7" s="37">
        <v>2</v>
      </c>
      <c r="C7" s="38"/>
      <c r="G7" t="str">
        <f>A24</f>
        <v>Leverancier 3</v>
      </c>
      <c r="I7" s="24">
        <f>RANK(J7,$J$5:$J$9,1)</f>
        <v>5</v>
      </c>
      <c r="J7" s="33">
        <f>C24+(E24*$B$12*$B$14*$B$13)</f>
        <v>1378500</v>
      </c>
      <c r="K7" s="33">
        <f>(E24*$B$12*$B$14*$B$15)</f>
        <v>1228500</v>
      </c>
      <c r="L7" s="24">
        <f>RANK(M7,$M$5:$M$9,1)</f>
        <v>5</v>
      </c>
      <c r="M7" s="33">
        <f>J7+K7</f>
        <v>2607000</v>
      </c>
      <c r="N7" s="24">
        <f>RANK(O7,$O$5:$O$9,1)</f>
        <v>5</v>
      </c>
      <c r="O7" s="33">
        <f>M7+N24+Q24+T24+W24</f>
        <v>2695000</v>
      </c>
      <c r="P7" s="36">
        <f>I24+L24+O24+R24+U24+X24</f>
        <v>64.281079996157828</v>
      </c>
      <c r="Q7" s="35">
        <f>RANK(P7,$P$5:$P$9,0)</f>
        <v>5</v>
      </c>
    </row>
    <row r="8" spans="1:17">
      <c r="A8" t="s">
        <v>33</v>
      </c>
      <c r="B8" s="37">
        <v>2</v>
      </c>
      <c r="C8" s="38"/>
      <c r="G8" t="str">
        <f>A25</f>
        <v>Leverancier 4</v>
      </c>
      <c r="I8" s="24">
        <f>RANK(J8,$J$5:$J$9,1)</f>
        <v>2</v>
      </c>
      <c r="J8" s="33">
        <f>C25+(E25*$B$12*$B$14*$B$13)</f>
        <v>930750</v>
      </c>
      <c r="K8" s="33">
        <f>(E25*$B$12*$B$14*$B$15)</f>
        <v>750750</v>
      </c>
      <c r="L8" s="24">
        <f>RANK(M8,$M$5:$M$9,1)</f>
        <v>2</v>
      </c>
      <c r="M8" s="33">
        <f>J8+K8</f>
        <v>1681500</v>
      </c>
      <c r="N8" s="24">
        <f>RANK(O8,$O$5:$O$9,1)</f>
        <v>2</v>
      </c>
      <c r="O8" s="33">
        <f>M8+N25+Q25+T25+W25</f>
        <v>1720500</v>
      </c>
      <c r="P8" s="36">
        <f>I25+L25+O25+R25+U25+X25</f>
        <v>93.534415409999625</v>
      </c>
      <c r="Q8" s="35">
        <f>RANK(P8,$P$5:$P$9,0)</f>
        <v>2</v>
      </c>
    </row>
    <row r="9" spans="1:17">
      <c r="A9" t="s">
        <v>34</v>
      </c>
      <c r="B9" s="37">
        <v>2</v>
      </c>
      <c r="C9" s="38"/>
      <c r="G9" t="str">
        <f>A26</f>
        <v>Leverancier 5</v>
      </c>
      <c r="I9" s="24">
        <f>RANK(J9,$J$5:$J$9,1)</f>
        <v>1</v>
      </c>
      <c r="J9" s="33">
        <f>C26+(E26*$B$12*$B$14*$B$13)</f>
        <v>902100</v>
      </c>
      <c r="K9" s="33">
        <f>(E26*$B$12*$B$14*$B$15)</f>
        <v>737100</v>
      </c>
      <c r="L9" s="24">
        <f>RANK(M9,$M$5:$M$9,1)</f>
        <v>1</v>
      </c>
      <c r="M9" s="33">
        <f>J9+K9</f>
        <v>1639200</v>
      </c>
      <c r="N9" s="24">
        <f>RANK(O9,$O$5:$O$9,1)</f>
        <v>1</v>
      </c>
      <c r="O9" s="33">
        <f>M9+N26+Q26+T26+W26</f>
        <v>1679200</v>
      </c>
      <c r="P9" s="36">
        <f>I26+L26+O26+R26+U26+X26</f>
        <v>96.018181818181816</v>
      </c>
      <c r="Q9" s="35">
        <f>RANK(P9,$P$5:$P$9,0)</f>
        <v>1</v>
      </c>
    </row>
    <row r="10" spans="1:17">
      <c r="A10" s="58" t="e">
        <f>#REF!</f>
        <v>#REF!</v>
      </c>
      <c r="B10" s="59">
        <v>2</v>
      </c>
    </row>
    <row r="11" spans="1:17">
      <c r="N11" s="51" t="s">
        <v>35</v>
      </c>
    </row>
    <row r="12" spans="1:17">
      <c r="A12" t="s">
        <v>2</v>
      </c>
      <c r="B12" s="12">
        <v>2100</v>
      </c>
    </row>
    <row r="13" spans="1:17">
      <c r="A13" t="s">
        <v>3</v>
      </c>
      <c r="B13" s="12">
        <v>5</v>
      </c>
      <c r="C13" t="s">
        <v>4</v>
      </c>
    </row>
    <row r="14" spans="1:17">
      <c r="A14" t="s">
        <v>5</v>
      </c>
      <c r="B14" s="12">
        <v>13</v>
      </c>
      <c r="C14" t="s">
        <v>6</v>
      </c>
    </row>
    <row r="15" spans="1:17">
      <c r="A15" t="s">
        <v>7</v>
      </c>
      <c r="B15" s="12">
        <v>5</v>
      </c>
      <c r="C15" t="s">
        <v>4</v>
      </c>
    </row>
    <row r="17" spans="1:24">
      <c r="C17" s="4" t="e">
        <f>A4</f>
        <v>#REF!</v>
      </c>
      <c r="F17" s="4" t="e">
        <f>A5</f>
        <v>#REF!</v>
      </c>
      <c r="G17" s="4"/>
      <c r="K17" s="4" t="e">
        <f>A10</f>
        <v>#REF!</v>
      </c>
    </row>
    <row r="19" spans="1:24">
      <c r="C19" t="s">
        <v>8</v>
      </c>
      <c r="E19" t="s">
        <v>8</v>
      </c>
      <c r="K19" t="s">
        <v>8</v>
      </c>
      <c r="N19" t="s">
        <v>36</v>
      </c>
      <c r="Q19" t="s">
        <v>37</v>
      </c>
      <c r="T19" t="s">
        <v>38</v>
      </c>
      <c r="W19" t="s">
        <v>39</v>
      </c>
    </row>
    <row r="20" spans="1:24">
      <c r="C20" s="21">
        <f>VLOOKUP(1,B$22:C$26,2,FALSE)</f>
        <v>150000</v>
      </c>
      <c r="E20" s="2">
        <f>VLOOKUP(1,D$22:E$26,2,FALSE)</f>
        <v>5</v>
      </c>
      <c r="F20" s="27"/>
      <c r="H20" s="30">
        <f>VLOOKUP(1,G$22:H$26,2,FALSE)</f>
        <v>902100</v>
      </c>
      <c r="K20" s="21">
        <f>VLOOKUP(1,J$22:K$26,2,FALSE)</f>
        <v>100</v>
      </c>
      <c r="N20" s="43">
        <f>VLOOKUP(1,M$22:N$26,2,FALSE)</f>
        <v>5000</v>
      </c>
      <c r="Q20" s="44">
        <f>VLOOKUP(1,P$22:Q$26,2,FALSE)</f>
        <v>4000</v>
      </c>
      <c r="T20" s="45">
        <f>VLOOKUP(1,S$22:T$26,2,FALSE)</f>
        <v>5000</v>
      </c>
      <c r="W20" s="46">
        <f>VLOOKUP(1,V$22:W$26,2,FALSE)</f>
        <v>7000</v>
      </c>
    </row>
    <row r="21" spans="1:24">
      <c r="A21" s="1"/>
      <c r="B21" s="13" t="s">
        <v>11</v>
      </c>
      <c r="C21" s="13"/>
      <c r="D21" s="3" t="s">
        <v>11</v>
      </c>
      <c r="E21" s="3"/>
      <c r="F21" s="3" t="s">
        <v>3</v>
      </c>
      <c r="G21" s="28" t="s">
        <v>11</v>
      </c>
      <c r="H21" s="31" t="s">
        <v>23</v>
      </c>
      <c r="I21" s="31" t="s">
        <v>12</v>
      </c>
      <c r="J21" s="13" t="s">
        <v>11</v>
      </c>
      <c r="K21" s="13" t="s">
        <v>40</v>
      </c>
      <c r="L21" s="13" t="s">
        <v>12</v>
      </c>
      <c r="M21" s="39" t="s">
        <v>11</v>
      </c>
      <c r="N21" s="39" t="s">
        <v>41</v>
      </c>
      <c r="O21" s="39" t="s">
        <v>12</v>
      </c>
      <c r="P21" s="40" t="s">
        <v>11</v>
      </c>
      <c r="Q21" s="40" t="s">
        <v>41</v>
      </c>
      <c r="R21" s="40" t="s">
        <v>12</v>
      </c>
      <c r="S21" s="41" t="s">
        <v>11</v>
      </c>
      <c r="T21" s="41" t="s">
        <v>41</v>
      </c>
      <c r="U21" s="41" t="s">
        <v>12</v>
      </c>
      <c r="V21" s="42" t="s">
        <v>11</v>
      </c>
      <c r="W21" s="42" t="s">
        <v>41</v>
      </c>
      <c r="X21" s="42" t="s">
        <v>12</v>
      </c>
    </row>
    <row r="22" spans="1:24">
      <c r="A22" s="1" t="s">
        <v>18</v>
      </c>
      <c r="B22" s="18">
        <f>RANK(C22,$C$22:$C$26,1)</f>
        <v>5</v>
      </c>
      <c r="C22" s="19">
        <v>400000</v>
      </c>
      <c r="D22" s="17">
        <f>RANK(E22,$E$22:$E$26,1)</f>
        <v>1</v>
      </c>
      <c r="E22" s="9">
        <v>5</v>
      </c>
      <c r="F22" s="11">
        <f>E22*$B$13*$B$14*$B$12</f>
        <v>682500</v>
      </c>
      <c r="G22" s="29">
        <f>RANK(H22,$H$22:$H$26,1)</f>
        <v>4</v>
      </c>
      <c r="H22" s="30">
        <f>C22+F22</f>
        <v>1082500</v>
      </c>
      <c r="I22" s="32">
        <f>$H$20/H22*$C$4</f>
        <v>75.0013856812933</v>
      </c>
      <c r="J22" s="18">
        <f>RANK(K22,$K$22:$K$26,1)</f>
        <v>1</v>
      </c>
      <c r="K22" s="19">
        <v>100</v>
      </c>
      <c r="L22" s="20">
        <f>$K$20/K22*$B$10</f>
        <v>2</v>
      </c>
      <c r="M22" s="55">
        <f>RANK(N22,$N$22:$N$26,1)</f>
        <v>2</v>
      </c>
      <c r="N22" s="43">
        <v>10000</v>
      </c>
      <c r="O22" s="48">
        <f>$N$20/N22*B6</f>
        <v>1</v>
      </c>
      <c r="P22" s="56">
        <f>RANK(Q22,$Q$22:$Q$26,1)</f>
        <v>3</v>
      </c>
      <c r="Q22" s="44">
        <v>10000</v>
      </c>
      <c r="R22" s="47">
        <f>$Q$20/Q22*$B$7</f>
        <v>0.8</v>
      </c>
      <c r="S22" s="54">
        <f>RANK(T22,$T$22:$T$26,1)</f>
        <v>1</v>
      </c>
      <c r="T22" s="45">
        <v>5000</v>
      </c>
      <c r="U22" s="49">
        <f>$T$20/T22*$B$8</f>
        <v>2</v>
      </c>
      <c r="V22" s="57">
        <f>RANK(W22,$W$22:$W$26,1)</f>
        <v>1</v>
      </c>
      <c r="W22" s="46">
        <v>7000</v>
      </c>
      <c r="X22" s="50">
        <f>$W$20/W22*$B$9</f>
        <v>2</v>
      </c>
    </row>
    <row r="23" spans="1:24">
      <c r="A23" s="1" t="s">
        <v>19</v>
      </c>
      <c r="B23" s="18">
        <f>RANK(C23,$C$22:$C$26,1)</f>
        <v>4</v>
      </c>
      <c r="C23" s="19">
        <v>200000</v>
      </c>
      <c r="D23" s="17">
        <f>RANK(E23,$E$22:$E$26,1)</f>
        <v>4</v>
      </c>
      <c r="E23" s="9">
        <v>6</v>
      </c>
      <c r="F23" s="11">
        <f>E23*$B$13*$B$14*$B$12</f>
        <v>819000</v>
      </c>
      <c r="G23" s="29">
        <f>RANK(H23,$H$22:$H$26,1)</f>
        <v>3</v>
      </c>
      <c r="H23" s="30">
        <f>C23+F23</f>
        <v>1019000</v>
      </c>
      <c r="I23" s="32">
        <f>$H$20/H23*$C$4</f>
        <v>79.675171736997058</v>
      </c>
      <c r="J23" s="18">
        <f>RANK(K23,$K$22:$K$26,1)</f>
        <v>4</v>
      </c>
      <c r="K23" s="19">
        <v>150</v>
      </c>
      <c r="L23" s="20">
        <f>$K$20/K23*$B$10</f>
        <v>1.3333333333333333</v>
      </c>
      <c r="M23" s="55">
        <f>RANK(N23,$N$22:$N$26,1)</f>
        <v>4</v>
      </c>
      <c r="N23" s="43">
        <v>20000</v>
      </c>
      <c r="O23" s="48">
        <f>$N$20/N23*B7</f>
        <v>0.5</v>
      </c>
      <c r="P23" s="56">
        <f>RANK(Q23,$Q$22:$Q$26,1)</f>
        <v>2</v>
      </c>
      <c r="Q23" s="44">
        <v>5000</v>
      </c>
      <c r="R23" s="47">
        <f>$Q$20/Q23*$B$7</f>
        <v>1.6</v>
      </c>
      <c r="S23" s="54">
        <f>RANK(T23,$T$22:$T$26,1)</f>
        <v>2</v>
      </c>
      <c r="T23" s="45">
        <v>8000</v>
      </c>
      <c r="U23" s="49">
        <f>$T$20/T23*$B$8</f>
        <v>1.25</v>
      </c>
      <c r="V23" s="57">
        <f>RANK(W23,$W$22:$W$26,1)</f>
        <v>4</v>
      </c>
      <c r="W23" s="46">
        <v>20000</v>
      </c>
      <c r="X23" s="50">
        <f>$W$20/W23*$B$9</f>
        <v>0.7</v>
      </c>
    </row>
    <row r="24" spans="1:24">
      <c r="A24" s="1" t="s">
        <v>20</v>
      </c>
      <c r="B24" s="18">
        <f>RANK(C24,$C$22:$C$26,1)</f>
        <v>1</v>
      </c>
      <c r="C24" s="19">
        <v>150000</v>
      </c>
      <c r="D24" s="17">
        <f>RANK(E24,$E$22:$E$26,1)</f>
        <v>5</v>
      </c>
      <c r="E24" s="9">
        <v>9</v>
      </c>
      <c r="F24" s="11">
        <f>E24*$B$13*$B$14*$B$12</f>
        <v>1228500</v>
      </c>
      <c r="G24" s="29">
        <f>RANK(H24,$H$22:$H$26,1)</f>
        <v>5</v>
      </c>
      <c r="H24" s="30">
        <f>C24+F24</f>
        <v>1378500</v>
      </c>
      <c r="I24" s="32">
        <f>$H$20/H24*$C$4</f>
        <v>58.896626768226341</v>
      </c>
      <c r="J24" s="18">
        <f>RANK(K24,$K$22:$K$26,1)</f>
        <v>3</v>
      </c>
      <c r="K24" s="19">
        <v>120</v>
      </c>
      <c r="L24" s="20">
        <f>$K$20/K24*$B$10</f>
        <v>1.6666666666666667</v>
      </c>
      <c r="M24" s="55">
        <f>RANK(N24,$N$22:$N$26,1)</f>
        <v>5</v>
      </c>
      <c r="N24" s="43">
        <v>50000</v>
      </c>
      <c r="O24" s="48">
        <f>$N$20/N24*B8</f>
        <v>0.2</v>
      </c>
      <c r="P24" s="56">
        <f>RANK(Q24,$Q$22:$Q$26,1)</f>
        <v>1</v>
      </c>
      <c r="Q24" s="44">
        <v>4000</v>
      </c>
      <c r="R24" s="47">
        <f>$Q$20/Q24*$B$7</f>
        <v>2</v>
      </c>
      <c r="S24" s="54">
        <f>RANK(T24,$T$22:$T$26,1)</f>
        <v>5</v>
      </c>
      <c r="T24" s="45">
        <v>11000</v>
      </c>
      <c r="U24" s="49">
        <f>$T$20/T24*$B$8</f>
        <v>0.90909090909090906</v>
      </c>
      <c r="V24" s="57">
        <f>RANK(W24,$W$22:$W$26,1)</f>
        <v>5</v>
      </c>
      <c r="W24" s="46">
        <v>23000</v>
      </c>
      <c r="X24" s="50">
        <f>$W$20/W24*$B$9</f>
        <v>0.60869565217391308</v>
      </c>
    </row>
    <row r="25" spans="1:24">
      <c r="A25" s="1" t="s">
        <v>21</v>
      </c>
      <c r="B25" s="18">
        <f>RANK(C25,$C$22:$C$26,1)</f>
        <v>3</v>
      </c>
      <c r="C25" s="19">
        <v>180000</v>
      </c>
      <c r="D25" s="17">
        <f>RANK(E25,$E$22:$E$26,1)</f>
        <v>3</v>
      </c>
      <c r="E25" s="9">
        <v>5.5</v>
      </c>
      <c r="F25" s="11">
        <f>E25*$B$13*$B$14*$B$12</f>
        <v>750750</v>
      </c>
      <c r="G25" s="29">
        <f>RANK(H25,$H$22:$H$26,1)</f>
        <v>2</v>
      </c>
      <c r="H25" s="30">
        <f>C25+F25</f>
        <v>930750</v>
      </c>
      <c r="I25" s="32">
        <f>$H$20/H25*$C$4</f>
        <v>87.229653505237721</v>
      </c>
      <c r="J25" s="18">
        <f>RANK(K25,$K$22:$K$26,1)</f>
        <v>4</v>
      </c>
      <c r="K25" s="19">
        <v>150</v>
      </c>
      <c r="L25" s="20">
        <f>$K$20/K25*$B$10</f>
        <v>1.3333333333333333</v>
      </c>
      <c r="M25" s="55">
        <f>RANK(N25,$N$22:$N$26,1)</f>
        <v>1</v>
      </c>
      <c r="N25" s="43">
        <v>5000</v>
      </c>
      <c r="O25" s="48">
        <f>$N$20/N25*B9</f>
        <v>2</v>
      </c>
      <c r="P25" s="56">
        <f>RANK(Q25,$Q$22:$Q$26,1)</f>
        <v>5</v>
      </c>
      <c r="Q25" s="44">
        <v>14000</v>
      </c>
      <c r="R25" s="47">
        <f>$Q$20/Q25*$B$7</f>
        <v>0.5714285714285714</v>
      </c>
      <c r="S25" s="54">
        <f>RANK(T25,$T$22:$T$26,1)</f>
        <v>3</v>
      </c>
      <c r="T25" s="45">
        <v>10000</v>
      </c>
      <c r="U25" s="49">
        <f>$T$20/T25*$B$8</f>
        <v>1</v>
      </c>
      <c r="V25" s="57">
        <f>RANK(W25,$W$22:$W$26,1)</f>
        <v>2</v>
      </c>
      <c r="W25" s="46">
        <v>10000</v>
      </c>
      <c r="X25" s="50">
        <f>$W$20/W25*$B$9</f>
        <v>1.4</v>
      </c>
    </row>
    <row r="26" spans="1:24">
      <c r="A26" s="1" t="s">
        <v>22</v>
      </c>
      <c r="B26" s="18">
        <f>RANK(C26,$C$22:$C$26,1)</f>
        <v>2</v>
      </c>
      <c r="C26" s="19">
        <v>165000</v>
      </c>
      <c r="D26" s="17">
        <f>RANK(E26,$E$22:$E$26,1)</f>
        <v>2</v>
      </c>
      <c r="E26" s="9">
        <v>5.4</v>
      </c>
      <c r="F26" s="11">
        <f>E26*$B$13*$B$14*$B$12</f>
        <v>737100</v>
      </c>
      <c r="G26" s="29">
        <f>RANK(H26,$H$22:$H$26,1)</f>
        <v>1</v>
      </c>
      <c r="H26" s="30">
        <f>C26+F26</f>
        <v>902100</v>
      </c>
      <c r="I26" s="32">
        <f>$H$20/H26*$C$4</f>
        <v>90</v>
      </c>
      <c r="J26" s="18">
        <f>RANK(K26,$K$22:$K$26,1)</f>
        <v>2</v>
      </c>
      <c r="K26" s="19">
        <v>110</v>
      </c>
      <c r="L26" s="20">
        <f>$K$20/K26*$B$10</f>
        <v>1.8181818181818181</v>
      </c>
      <c r="M26" s="55">
        <f>RANK(N26,$N$22:$N$26,1)</f>
        <v>2</v>
      </c>
      <c r="N26" s="43">
        <v>10000</v>
      </c>
      <c r="O26" s="48">
        <f>$N$20/N26*B10</f>
        <v>1</v>
      </c>
      <c r="P26" s="56">
        <f>RANK(Q26,$Q$22:$Q$26,1)</f>
        <v>3</v>
      </c>
      <c r="Q26" s="44">
        <v>10000</v>
      </c>
      <c r="R26" s="47">
        <f>$Q$20/Q26*$B$7</f>
        <v>0.8</v>
      </c>
      <c r="S26" s="54">
        <f>RANK(T26,$T$22:$T$26,1)</f>
        <v>3</v>
      </c>
      <c r="T26" s="45">
        <v>10000</v>
      </c>
      <c r="U26" s="49">
        <f>$T$20/T26*$B$8</f>
        <v>1</v>
      </c>
      <c r="V26" s="57">
        <f>RANK(W26,$W$22:$W$26,1)</f>
        <v>2</v>
      </c>
      <c r="W26" s="46">
        <v>10000</v>
      </c>
      <c r="X26" s="50">
        <f>$W$20/W26*$B$9</f>
        <v>1.4</v>
      </c>
    </row>
    <row r="28" spans="1:24">
      <c r="M28" s="34" t="s">
        <v>42</v>
      </c>
    </row>
    <row r="35" spans="16:16">
      <c r="P35" s="51" t="s">
        <v>35</v>
      </c>
    </row>
  </sheetData>
  <mergeCells count="1">
    <mergeCell ref="C4:C5"/>
  </mergeCells>
  <conditionalFormatting sqref="D22:D26">
    <cfRule type="cellIs" dxfId="50" priority="34" operator="equal">
      <formula>3</formula>
    </cfRule>
    <cfRule type="cellIs" dxfId="49" priority="35" operator="equal">
      <formula>2</formula>
    </cfRule>
    <cfRule type="cellIs" dxfId="48" priority="36" operator="equal">
      <formula>1</formula>
    </cfRule>
  </conditionalFormatting>
  <conditionalFormatting sqref="J22:J26">
    <cfRule type="cellIs" dxfId="47" priority="31" operator="equal">
      <formula>3</formula>
    </cfRule>
    <cfRule type="cellIs" dxfId="46" priority="32" operator="equal">
      <formula>2</formula>
    </cfRule>
    <cfRule type="cellIs" dxfId="45" priority="33" operator="equal">
      <formula>1</formula>
    </cfRule>
  </conditionalFormatting>
  <conditionalFormatting sqref="L5:L9">
    <cfRule type="cellIs" dxfId="44" priority="28" operator="equal">
      <formula>3</formula>
    </cfRule>
    <cfRule type="cellIs" dxfId="43" priority="29" operator="equal">
      <formula>2</formula>
    </cfRule>
    <cfRule type="cellIs" dxfId="42" priority="30" operator="equal">
      <formula>1</formula>
    </cfRule>
  </conditionalFormatting>
  <conditionalFormatting sqref="B22:B26">
    <cfRule type="cellIs" dxfId="41" priority="25" operator="equal">
      <formula>3</formula>
    </cfRule>
    <cfRule type="cellIs" dxfId="40" priority="26" operator="equal">
      <formula>2</formula>
    </cfRule>
    <cfRule type="cellIs" dxfId="39" priority="27" operator="equal">
      <formula>1</formula>
    </cfRule>
  </conditionalFormatting>
  <conditionalFormatting sqref="I5:I9">
    <cfRule type="cellIs" dxfId="38" priority="22" operator="equal">
      <formula>3</formula>
    </cfRule>
    <cfRule type="cellIs" dxfId="37" priority="23" operator="equal">
      <formula>2</formula>
    </cfRule>
    <cfRule type="cellIs" dxfId="36" priority="24" operator="equal">
      <formula>1</formula>
    </cfRule>
  </conditionalFormatting>
  <conditionalFormatting sqref="G22:G26">
    <cfRule type="cellIs" dxfId="35" priority="19" operator="equal">
      <formula>3</formula>
    </cfRule>
    <cfRule type="cellIs" dxfId="34" priority="20" operator="equal">
      <formula>2</formula>
    </cfRule>
    <cfRule type="cellIs" dxfId="33" priority="21" operator="equal">
      <formula>1</formula>
    </cfRule>
  </conditionalFormatting>
  <conditionalFormatting sqref="Q5:Q9">
    <cfRule type="cellIs" dxfId="32" priority="16" operator="equal">
      <formula>3</formula>
    </cfRule>
    <cfRule type="cellIs" dxfId="31" priority="17" operator="equal">
      <formula>2</formula>
    </cfRule>
    <cfRule type="cellIs" dxfId="30" priority="18" operator="equal">
      <formula>1</formula>
    </cfRule>
  </conditionalFormatting>
  <conditionalFormatting sqref="N5:N9">
    <cfRule type="cellIs" dxfId="29" priority="13" operator="equal">
      <formula>3</formula>
    </cfRule>
    <cfRule type="cellIs" dxfId="28" priority="14" operator="equal">
      <formula>2</formula>
    </cfRule>
    <cfRule type="cellIs" dxfId="27" priority="15" operator="equal">
      <formula>1</formula>
    </cfRule>
  </conditionalFormatting>
  <conditionalFormatting sqref="M22:M26">
    <cfRule type="cellIs" dxfId="26" priority="10" operator="equal">
      <formula>3</formula>
    </cfRule>
    <cfRule type="cellIs" dxfId="25" priority="11" operator="equal">
      <formula>2</formula>
    </cfRule>
    <cfRule type="cellIs" dxfId="24" priority="12" operator="equal">
      <formula>1</formula>
    </cfRule>
  </conditionalFormatting>
  <conditionalFormatting sqref="P22:P26">
    <cfRule type="cellIs" dxfId="23" priority="7" operator="equal">
      <formula>3</formula>
    </cfRule>
    <cfRule type="cellIs" dxfId="22" priority="8" operator="equal">
      <formula>2</formula>
    </cfRule>
    <cfRule type="cellIs" dxfId="21" priority="9" operator="equal">
      <formula>1</formula>
    </cfRule>
  </conditionalFormatting>
  <conditionalFormatting sqref="S22:S26">
    <cfRule type="cellIs" dxfId="20" priority="4" operator="equal">
      <formula>3</formula>
    </cfRule>
    <cfRule type="cellIs" dxfId="19" priority="5" operator="equal">
      <formula>2</formula>
    </cfRule>
    <cfRule type="cellIs" dxfId="18" priority="6" operator="equal">
      <formula>1</formula>
    </cfRule>
  </conditionalFormatting>
  <conditionalFormatting sqref="V22:V26">
    <cfRule type="cellIs" dxfId="17" priority="1" operator="equal">
      <formula>3</formula>
    </cfRule>
    <cfRule type="cellIs" dxfId="16" priority="2" operator="equal">
      <formula>2</formula>
    </cfRule>
    <cfRule type="cellIs" dxfId="15" priority="3" operator="equal">
      <formula>1</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75"/>
  <sheetViews>
    <sheetView tabSelected="1" topLeftCell="A25" zoomScale="110" zoomScaleNormal="110" workbookViewId="0">
      <selection activeCell="E34" sqref="E34"/>
    </sheetView>
  </sheetViews>
  <sheetFormatPr defaultColWidth="9.140625" defaultRowHeight="15"/>
  <cols>
    <col min="1" max="1" width="69" style="70" customWidth="1"/>
    <col min="2" max="2" width="21.5703125" style="70" bestFit="1" customWidth="1"/>
    <col min="3" max="3" width="23.140625" style="70" bestFit="1" customWidth="1"/>
    <col min="4" max="4" width="19.140625" style="70" customWidth="1"/>
    <col min="5" max="5" width="19.5703125" style="70" customWidth="1"/>
    <col min="6" max="6" width="20.85546875" style="70" customWidth="1"/>
    <col min="7" max="7" width="40.85546875" style="70" customWidth="1"/>
    <col min="8" max="8" width="14.7109375" style="70" customWidth="1"/>
    <col min="9" max="9" width="9.85546875" style="70" customWidth="1"/>
    <col min="10" max="10" width="17.5703125" style="70" customWidth="1"/>
    <col min="11" max="11" width="16.85546875" style="70" customWidth="1"/>
    <col min="12" max="12" width="17.140625" style="70" customWidth="1"/>
    <col min="13" max="13" width="17" style="70" customWidth="1"/>
    <col min="14" max="14" width="12.7109375" style="70" customWidth="1"/>
    <col min="15" max="15" width="20.140625" style="70" customWidth="1"/>
    <col min="16" max="16" width="12.28515625" style="70" bestFit="1" customWidth="1"/>
    <col min="17" max="20" width="13.85546875" style="70" bestFit="1" customWidth="1"/>
    <col min="21" max="16384" width="9.140625" style="70"/>
  </cols>
  <sheetData>
    <row r="1" spans="1:17" ht="15.75" thickBot="1">
      <c r="A1" s="179" t="s">
        <v>43</v>
      </c>
      <c r="B1" s="180"/>
      <c r="C1" s="180"/>
      <c r="D1" s="180"/>
      <c r="E1" s="180"/>
      <c r="F1" s="181"/>
    </row>
    <row r="2" spans="1:17" s="107" customFormat="1" ht="15.75" thickBot="1">
      <c r="A2" s="156"/>
      <c r="B2" s="156"/>
      <c r="C2" s="156"/>
      <c r="D2" s="156"/>
      <c r="E2" s="156"/>
      <c r="F2" s="156"/>
    </row>
    <row r="3" spans="1:17" ht="15.75" thickBot="1">
      <c r="A3" s="157" t="s">
        <v>44</v>
      </c>
      <c r="B3" s="190"/>
      <c r="C3" s="191"/>
      <c r="D3" s="191"/>
      <c r="E3" s="192"/>
      <c r="F3" s="175"/>
      <c r="G3" s="176"/>
    </row>
    <row r="5" spans="1:17">
      <c r="A5" s="183" t="s">
        <v>45</v>
      </c>
      <c r="B5" s="183"/>
      <c r="C5" s="183"/>
      <c r="D5" s="183"/>
      <c r="E5" s="183"/>
      <c r="F5" s="183"/>
    </row>
    <row r="6" spans="1:17">
      <c r="A6" s="74"/>
      <c r="B6" s="74"/>
      <c r="G6" s="72"/>
      <c r="H6" s="72"/>
      <c r="I6" s="72"/>
      <c r="J6" s="73"/>
      <c r="K6" s="72"/>
      <c r="L6" s="72"/>
      <c r="M6" s="75"/>
      <c r="N6" s="72"/>
      <c r="O6" s="75"/>
      <c r="P6" s="72"/>
      <c r="Q6" s="72"/>
    </row>
    <row r="7" spans="1:17" s="124" customFormat="1" ht="45">
      <c r="A7" s="120" t="s">
        <v>46</v>
      </c>
      <c r="B7" s="143" t="s">
        <v>47</v>
      </c>
      <c r="C7" s="119" t="s">
        <v>48</v>
      </c>
      <c r="D7" s="119" t="s">
        <v>49</v>
      </c>
      <c r="E7" s="119" t="s">
        <v>50</v>
      </c>
      <c r="F7" s="119" t="s">
        <v>51</v>
      </c>
      <c r="G7" s="121"/>
      <c r="H7" s="121"/>
      <c r="I7" s="121"/>
      <c r="J7" s="122"/>
      <c r="K7" s="121"/>
      <c r="L7" s="121"/>
      <c r="M7" s="123"/>
      <c r="N7" s="121"/>
      <c r="O7" s="123"/>
      <c r="P7" s="121"/>
      <c r="Q7" s="121"/>
    </row>
    <row r="8" spans="1:17">
      <c r="A8" s="105" t="s">
        <v>52</v>
      </c>
      <c r="B8" s="142">
        <v>500</v>
      </c>
      <c r="C8" s="144"/>
      <c r="D8" s="164"/>
      <c r="E8" s="76">
        <v>0</v>
      </c>
      <c r="F8" s="165">
        <f>B8*D8-(B8*D8*E8)</f>
        <v>0</v>
      </c>
      <c r="G8" s="72"/>
      <c r="H8" s="72"/>
      <c r="I8" s="72"/>
      <c r="J8" s="73"/>
      <c r="K8" s="72"/>
      <c r="L8" s="72"/>
      <c r="M8" s="75"/>
      <c r="N8" s="72"/>
      <c r="O8" s="75"/>
      <c r="P8" s="72"/>
      <c r="Q8" s="72"/>
    </row>
    <row r="9" spans="1:17">
      <c r="A9" s="105" t="s">
        <v>52</v>
      </c>
      <c r="B9" s="145"/>
      <c r="C9" s="125">
        <v>1500</v>
      </c>
      <c r="D9" s="164"/>
      <c r="E9" s="76">
        <v>0</v>
      </c>
      <c r="F9" s="165">
        <f>C9*D9-(C9*D9*E9)</f>
        <v>0</v>
      </c>
      <c r="G9" s="72"/>
      <c r="H9" s="72"/>
      <c r="I9" s="72"/>
      <c r="J9" s="73"/>
      <c r="K9" s="72"/>
      <c r="L9" s="72"/>
      <c r="M9" s="75"/>
      <c r="N9" s="72"/>
      <c r="O9" s="75"/>
      <c r="P9" s="72"/>
      <c r="Q9" s="72"/>
    </row>
    <row r="10" spans="1:17" customFormat="1" ht="14.45" customHeight="1">
      <c r="A10" s="94" t="s">
        <v>53</v>
      </c>
      <c r="B10" s="101">
        <v>1000</v>
      </c>
      <c r="C10" s="144"/>
      <c r="D10" s="164"/>
      <c r="E10" s="76">
        <v>0</v>
      </c>
      <c r="F10" s="165">
        <f>B10*D10-(B10*D10*E10)</f>
        <v>0</v>
      </c>
      <c r="J10" s="34"/>
      <c r="K10" s="100"/>
      <c r="L10" s="99"/>
      <c r="M10" s="99"/>
      <c r="N10" s="99"/>
      <c r="O10" s="99"/>
      <c r="P10" s="34"/>
      <c r="Q10" s="34"/>
    </row>
    <row r="11" spans="1:17" customFormat="1" ht="14.45" customHeight="1">
      <c r="A11" s="94" t="s">
        <v>53</v>
      </c>
      <c r="B11" s="145"/>
      <c r="C11" s="101">
        <v>5000</v>
      </c>
      <c r="D11" s="164"/>
      <c r="E11" s="76">
        <v>0</v>
      </c>
      <c r="F11" s="165">
        <f>C11*D11-(C11*D11*E11)</f>
        <v>0</v>
      </c>
      <c r="J11" s="34"/>
      <c r="K11" s="100"/>
      <c r="L11" s="99"/>
      <c r="M11" s="99"/>
      <c r="N11" s="99"/>
      <c r="O11" s="99"/>
      <c r="P11" s="34"/>
      <c r="Q11" s="34"/>
    </row>
    <row r="12" spans="1:17" customFormat="1" ht="14.45" customHeight="1">
      <c r="A12" s="94" t="s">
        <v>54</v>
      </c>
      <c r="B12" s="101">
        <v>1500</v>
      </c>
      <c r="C12" s="144"/>
      <c r="D12" s="164"/>
      <c r="E12" s="76">
        <v>0</v>
      </c>
      <c r="F12" s="165">
        <f>B12*D12-(B12*D12*E12)</f>
        <v>0</v>
      </c>
      <c r="I12" s="98"/>
      <c r="J12" s="97"/>
      <c r="K12" s="96"/>
      <c r="L12" s="98"/>
      <c r="M12" s="97"/>
      <c r="N12" s="98"/>
      <c r="O12" s="97"/>
      <c r="P12" s="95"/>
      <c r="Q12" s="98"/>
    </row>
    <row r="13" spans="1:17" customFormat="1" ht="14.45" customHeight="1">
      <c r="A13" s="94" t="s">
        <v>54</v>
      </c>
      <c r="B13" s="145"/>
      <c r="C13" s="101">
        <v>9500</v>
      </c>
      <c r="D13" s="164"/>
      <c r="E13" s="76">
        <v>0</v>
      </c>
      <c r="F13" s="165">
        <f>C13*D13-(C13*D13*E13)</f>
        <v>0</v>
      </c>
      <c r="I13" s="98"/>
      <c r="J13" s="97"/>
      <c r="K13" s="96"/>
      <c r="L13" s="98"/>
      <c r="M13" s="97"/>
      <c r="N13" s="98"/>
      <c r="O13" s="97"/>
      <c r="P13" s="95"/>
      <c r="Q13" s="98"/>
    </row>
    <row r="14" spans="1:17" customFormat="1" ht="14.45" customHeight="1">
      <c r="A14" s="94" t="s">
        <v>55</v>
      </c>
      <c r="B14" s="101">
        <v>1500</v>
      </c>
      <c r="C14" s="144"/>
      <c r="D14" s="164"/>
      <c r="E14" s="76">
        <v>0</v>
      </c>
      <c r="F14" s="165">
        <f>B14*D14-(B14*D14*E14)</f>
        <v>0</v>
      </c>
      <c r="I14" s="98"/>
      <c r="J14" s="97"/>
      <c r="K14" s="96"/>
      <c r="L14" s="98"/>
      <c r="M14" s="97"/>
      <c r="N14" s="98"/>
      <c r="O14" s="97"/>
      <c r="P14" s="95"/>
      <c r="Q14" s="98"/>
    </row>
    <row r="15" spans="1:17" customFormat="1" ht="14.45" customHeight="1">
      <c r="A15" s="94" t="s">
        <v>55</v>
      </c>
      <c r="B15" s="145"/>
      <c r="C15" s="101">
        <v>13500</v>
      </c>
      <c r="D15" s="164"/>
      <c r="E15" s="76">
        <v>0</v>
      </c>
      <c r="F15" s="165">
        <f>C15*D15-(C15*D15*E15)</f>
        <v>0</v>
      </c>
      <c r="I15" s="98"/>
      <c r="J15" s="97"/>
      <c r="K15" s="96"/>
      <c r="L15" s="98"/>
      <c r="M15" s="97"/>
      <c r="N15" s="98"/>
      <c r="O15" s="97"/>
      <c r="P15" s="95"/>
      <c r="Q15" s="98"/>
    </row>
    <row r="16" spans="1:17" customFormat="1" ht="17.25">
      <c r="A16" s="94" t="s">
        <v>56</v>
      </c>
      <c r="B16" s="101">
        <v>1500</v>
      </c>
      <c r="C16" s="145"/>
      <c r="D16" s="164"/>
      <c r="E16" s="76">
        <v>0</v>
      </c>
      <c r="F16" s="165">
        <f>B16*D16-(B16*D16*E16)</f>
        <v>0</v>
      </c>
      <c r="G16" s="70"/>
      <c r="I16" s="98"/>
      <c r="J16" s="97"/>
      <c r="K16" s="96"/>
      <c r="L16" s="98"/>
      <c r="M16" s="97"/>
      <c r="N16" s="98"/>
      <c r="O16" s="97"/>
      <c r="P16" s="95"/>
      <c r="Q16" s="98"/>
    </row>
    <row r="17" spans="1:17" customFormat="1" ht="17.25">
      <c r="A17" s="94" t="s">
        <v>56</v>
      </c>
      <c r="B17" s="145"/>
      <c r="C17" s="101">
        <v>16500</v>
      </c>
      <c r="D17" s="164"/>
      <c r="E17" s="76">
        <v>0</v>
      </c>
      <c r="F17" s="165">
        <f>C17*D17-(C17*D17*E17)</f>
        <v>0</v>
      </c>
      <c r="G17" s="70"/>
      <c r="I17" s="98"/>
      <c r="J17" s="97"/>
      <c r="K17" s="96"/>
      <c r="L17" s="98"/>
      <c r="M17" s="97"/>
      <c r="N17" s="98"/>
      <c r="O17" s="97"/>
      <c r="P17" s="95"/>
      <c r="Q17" s="98"/>
    </row>
    <row r="18" spans="1:17" customFormat="1" ht="14.45" customHeight="1">
      <c r="A18" s="94" t="s">
        <v>57</v>
      </c>
      <c r="B18" s="101">
        <v>1500</v>
      </c>
      <c r="C18" s="145"/>
      <c r="D18" s="164"/>
      <c r="E18" s="76">
        <v>0</v>
      </c>
      <c r="F18" s="165">
        <f>B18*D18-(B18*D18*E18)</f>
        <v>0</v>
      </c>
      <c r="I18" s="98"/>
      <c r="J18" s="97"/>
      <c r="K18" s="96"/>
      <c r="L18" s="98"/>
      <c r="M18" s="97"/>
      <c r="N18" s="98"/>
      <c r="O18" s="97"/>
      <c r="P18" s="95"/>
      <c r="Q18" s="98"/>
    </row>
    <row r="19" spans="1:17" customFormat="1" ht="14.45" customHeight="1">
      <c r="A19" s="94" t="s">
        <v>57</v>
      </c>
      <c r="B19" s="145"/>
      <c r="C19" s="101">
        <v>18500</v>
      </c>
      <c r="D19" s="164"/>
      <c r="E19" s="76">
        <v>0</v>
      </c>
      <c r="F19" s="165">
        <f>C19*D19-(C19*D19*E19)</f>
        <v>0</v>
      </c>
      <c r="I19" s="98"/>
      <c r="J19" s="97"/>
      <c r="K19" s="96"/>
      <c r="L19" s="98"/>
      <c r="M19" s="97"/>
      <c r="N19" s="98"/>
      <c r="O19" s="97"/>
      <c r="P19" s="95"/>
      <c r="Q19" s="98"/>
    </row>
    <row r="20" spans="1:17" customFormat="1" ht="14.45" customHeight="1">
      <c r="A20" s="94" t="s">
        <v>58</v>
      </c>
      <c r="B20" s="101">
        <v>1500</v>
      </c>
      <c r="C20" s="145"/>
      <c r="D20" s="164"/>
      <c r="E20" s="76">
        <v>0</v>
      </c>
      <c r="F20" s="165">
        <f>B20*D20-(B20*D20*E20)</f>
        <v>0</v>
      </c>
      <c r="I20" s="98"/>
      <c r="J20" s="97"/>
      <c r="K20" s="96"/>
      <c r="L20" s="98"/>
      <c r="M20" s="97"/>
      <c r="N20" s="98"/>
      <c r="O20" s="97"/>
      <c r="P20" s="95"/>
      <c r="Q20" s="98"/>
    </row>
    <row r="21" spans="1:17" customFormat="1" ht="14.45" customHeight="1">
      <c r="A21" s="94" t="s">
        <v>58</v>
      </c>
      <c r="B21" s="145"/>
      <c r="C21" s="101">
        <v>18500</v>
      </c>
      <c r="D21" s="164"/>
      <c r="E21" s="76">
        <v>0</v>
      </c>
      <c r="F21" s="165">
        <f>C21*D21-(C21*D21*E21)</f>
        <v>0</v>
      </c>
      <c r="I21" s="98"/>
      <c r="J21" s="97"/>
      <c r="K21" s="96"/>
      <c r="L21" s="98"/>
      <c r="M21" s="97"/>
      <c r="N21" s="98"/>
      <c r="O21" s="97"/>
      <c r="P21" s="95"/>
      <c r="Q21" s="98"/>
    </row>
    <row r="22" spans="1:17" customFormat="1" ht="14.45" customHeight="1">
      <c r="A22" s="94" t="s">
        <v>59</v>
      </c>
      <c r="B22" s="101">
        <v>1500</v>
      </c>
      <c r="C22" s="145"/>
      <c r="D22" s="164"/>
      <c r="E22" s="76">
        <v>0</v>
      </c>
      <c r="F22" s="165">
        <f>B22*D22-(B22*D22*E22)</f>
        <v>0</v>
      </c>
      <c r="I22" s="98"/>
      <c r="J22" s="97"/>
      <c r="K22" s="96"/>
      <c r="L22" s="98"/>
      <c r="M22" s="97"/>
      <c r="N22" s="98"/>
      <c r="O22" s="97"/>
      <c r="P22" s="95"/>
      <c r="Q22" s="98"/>
    </row>
    <row r="23" spans="1:17" customFormat="1" ht="14.45" customHeight="1">
      <c r="A23" s="94" t="s">
        <v>59</v>
      </c>
      <c r="B23" s="145"/>
      <c r="C23" s="101">
        <v>18500</v>
      </c>
      <c r="D23" s="164"/>
      <c r="E23" s="76">
        <v>0</v>
      </c>
      <c r="F23" s="165">
        <f>C23*D23-(C23*D23*E23)</f>
        <v>0</v>
      </c>
      <c r="I23" s="98"/>
      <c r="J23" s="97"/>
      <c r="K23" s="96"/>
      <c r="L23" s="98"/>
      <c r="M23" s="97"/>
      <c r="N23" s="98"/>
      <c r="O23" s="97"/>
      <c r="P23" s="95"/>
      <c r="Q23" s="98"/>
    </row>
    <row r="24" spans="1:17" s="151" customFormat="1" ht="60">
      <c r="A24" s="172" t="s">
        <v>60</v>
      </c>
      <c r="B24" s="148"/>
      <c r="C24" s="149"/>
      <c r="D24" s="149"/>
      <c r="E24" s="149"/>
      <c r="F24" s="171">
        <f>IF(ISBLANK(B46),C46,B46)</f>
        <v>66990</v>
      </c>
      <c r="G24" s="150"/>
      <c r="I24" s="152"/>
      <c r="J24" s="153"/>
      <c r="K24" s="154"/>
      <c r="L24" s="152"/>
      <c r="M24" s="153"/>
      <c r="N24" s="152"/>
      <c r="O24" s="153"/>
      <c r="P24" s="155"/>
      <c r="Q24" s="152"/>
    </row>
    <row r="25" spans="1:17" s="151" customFormat="1" ht="72" customHeight="1">
      <c r="A25" s="172" t="s">
        <v>61</v>
      </c>
      <c r="B25" s="148"/>
      <c r="C25" s="149"/>
      <c r="D25" s="149"/>
      <c r="E25" s="149"/>
      <c r="F25" s="171">
        <f>IF(ISBLANK(B47),C47,B47)</f>
        <v>232000</v>
      </c>
      <c r="G25" s="150"/>
      <c r="I25" s="152"/>
      <c r="J25" s="153"/>
      <c r="K25" s="154"/>
      <c r="L25" s="152"/>
      <c r="M25" s="153"/>
      <c r="N25" s="152"/>
      <c r="O25" s="153"/>
      <c r="P25" s="155"/>
      <c r="Q25" s="152"/>
    </row>
    <row r="26" spans="1:17" customFormat="1" ht="14.45" customHeight="1">
      <c r="C26" s="12"/>
      <c r="D26" s="12"/>
      <c r="E26" s="134" t="s">
        <v>62</v>
      </c>
      <c r="F26" s="147">
        <f>SUM(F8:F25)</f>
        <v>298990</v>
      </c>
      <c r="I26" s="98"/>
      <c r="J26" s="97"/>
      <c r="K26" s="96"/>
      <c r="L26" s="98"/>
      <c r="M26" s="97"/>
      <c r="N26" s="98"/>
      <c r="O26" s="97"/>
      <c r="P26" s="95"/>
      <c r="Q26" s="98"/>
    </row>
    <row r="27" spans="1:17" customFormat="1" ht="14.45" customHeight="1">
      <c r="C27" s="12"/>
      <c r="D27" s="12"/>
      <c r="E27" s="70"/>
      <c r="F27" s="135"/>
      <c r="I27" s="98"/>
      <c r="J27" s="97"/>
      <c r="K27" s="96"/>
      <c r="L27" s="98"/>
      <c r="M27" s="97"/>
      <c r="N27" s="98"/>
      <c r="O27" s="97"/>
      <c r="P27" s="95"/>
      <c r="Q27" s="98"/>
    </row>
    <row r="28" spans="1:17" customFormat="1" ht="14.45" customHeight="1">
      <c r="A28" s="63" t="s">
        <v>63</v>
      </c>
      <c r="B28" s="138"/>
      <c r="C28" s="12"/>
      <c r="D28" s="12"/>
      <c r="E28" s="93"/>
      <c r="F28" s="92"/>
      <c r="I28" s="98"/>
      <c r="J28" s="97"/>
      <c r="K28" s="96"/>
      <c r="L28" s="98"/>
      <c r="M28" s="97"/>
      <c r="N28" s="98"/>
      <c r="O28" s="97"/>
      <c r="P28" s="95"/>
      <c r="Q28" s="98"/>
    </row>
    <row r="29" spans="1:17" customFormat="1" ht="14.45" customHeight="1">
      <c r="A29" s="71" t="s">
        <v>64</v>
      </c>
      <c r="B29" s="139"/>
      <c r="C29" s="112"/>
      <c r="D29" s="127"/>
      <c r="E29" s="113"/>
      <c r="F29" s="166">
        <v>0</v>
      </c>
      <c r="I29" s="98"/>
      <c r="J29" s="97"/>
      <c r="K29" s="96"/>
      <c r="L29" s="98"/>
      <c r="M29" s="97"/>
      <c r="N29" s="98"/>
      <c r="O29" s="97"/>
      <c r="P29" s="95"/>
      <c r="Q29" s="98"/>
    </row>
    <row r="30" spans="1:17" customFormat="1" ht="14.45" customHeight="1">
      <c r="A30" s="1" t="s">
        <v>65</v>
      </c>
      <c r="B30" s="140"/>
      <c r="C30" s="114"/>
      <c r="D30" s="128"/>
      <c r="E30" s="115"/>
      <c r="F30" s="166">
        <v>0</v>
      </c>
      <c r="I30" s="98"/>
      <c r="J30" s="97"/>
      <c r="K30" s="96"/>
      <c r="L30" s="98"/>
      <c r="M30" s="97"/>
      <c r="N30" s="98"/>
      <c r="O30" s="97"/>
      <c r="P30" s="95"/>
      <c r="Q30" s="98"/>
    </row>
    <row r="31" spans="1:17" customFormat="1" ht="14.45" customHeight="1">
      <c r="A31" s="1" t="s">
        <v>66</v>
      </c>
      <c r="B31" s="140"/>
      <c r="C31" s="114"/>
      <c r="D31" s="128"/>
      <c r="E31" s="115"/>
      <c r="F31" s="166">
        <v>0</v>
      </c>
      <c r="I31" s="98"/>
      <c r="J31" s="97"/>
      <c r="K31" s="96"/>
      <c r="L31" s="98"/>
      <c r="M31" s="97"/>
      <c r="N31" s="98"/>
      <c r="O31" s="97"/>
      <c r="P31" s="95"/>
      <c r="Q31" s="98"/>
    </row>
    <row r="32" spans="1:17" customFormat="1" ht="14.45" customHeight="1">
      <c r="A32" s="71" t="s">
        <v>67</v>
      </c>
      <c r="B32" s="141"/>
      <c r="C32" s="116"/>
      <c r="D32" s="129"/>
      <c r="E32" s="117"/>
      <c r="F32" s="166">
        <v>0</v>
      </c>
      <c r="I32" s="98"/>
      <c r="J32" s="97"/>
      <c r="K32" s="96"/>
      <c r="L32" s="98"/>
      <c r="M32" s="97"/>
      <c r="N32" s="98"/>
      <c r="O32" s="97"/>
      <c r="P32" s="95"/>
      <c r="Q32" s="98"/>
    </row>
    <row r="33" spans="1:70" customFormat="1" ht="14.45" customHeight="1">
      <c r="A33" s="1" t="s">
        <v>68</v>
      </c>
      <c r="B33" s="1"/>
      <c r="C33" s="136" t="s">
        <v>69</v>
      </c>
      <c r="D33" s="111"/>
      <c r="E33" s="167">
        <v>0</v>
      </c>
      <c r="F33" s="106">
        <f>E33*120</f>
        <v>0</v>
      </c>
      <c r="I33" s="98"/>
      <c r="J33" s="97"/>
      <c r="K33" s="96"/>
      <c r="L33" s="98"/>
      <c r="M33" s="97"/>
      <c r="N33" s="98"/>
      <c r="O33" s="97"/>
      <c r="P33" s="95"/>
      <c r="Q33" s="98"/>
    </row>
    <row r="34" spans="1:70" customFormat="1" ht="14.45" customHeight="1">
      <c r="A34" s="1" t="s">
        <v>70</v>
      </c>
      <c r="B34" s="1"/>
      <c r="C34" s="136" t="s">
        <v>69</v>
      </c>
      <c r="D34" s="111"/>
      <c r="E34" s="167">
        <v>0</v>
      </c>
      <c r="F34" s="106">
        <f t="shared" ref="F34:F36" si="0">E34*120</f>
        <v>0</v>
      </c>
      <c r="I34" s="98"/>
      <c r="J34" s="97"/>
      <c r="K34" s="96"/>
      <c r="L34" s="98"/>
      <c r="M34" s="97"/>
      <c r="N34" s="98"/>
      <c r="O34" s="97"/>
      <c r="P34" s="95"/>
      <c r="Q34" s="98"/>
    </row>
    <row r="35" spans="1:70" customFormat="1" ht="14.45" customHeight="1">
      <c r="A35" s="1" t="s">
        <v>71</v>
      </c>
      <c r="B35" s="1"/>
      <c r="C35" s="136" t="s">
        <v>69</v>
      </c>
      <c r="D35" s="111"/>
      <c r="E35" s="167">
        <v>0</v>
      </c>
      <c r="F35" s="106">
        <f t="shared" si="0"/>
        <v>0</v>
      </c>
      <c r="I35" s="98"/>
      <c r="J35" s="97"/>
      <c r="K35" s="96"/>
      <c r="L35" s="98"/>
      <c r="M35" s="97"/>
      <c r="N35" s="98"/>
      <c r="O35" s="97"/>
      <c r="P35" s="95"/>
      <c r="Q35" s="98"/>
    </row>
    <row r="36" spans="1:70" customFormat="1" ht="14.45" customHeight="1">
      <c r="A36" s="1" t="s">
        <v>72</v>
      </c>
      <c r="B36" s="1"/>
      <c r="C36" s="137" t="s">
        <v>69</v>
      </c>
      <c r="D36" s="71"/>
      <c r="E36" s="167">
        <v>0</v>
      </c>
      <c r="F36" s="106">
        <f t="shared" si="0"/>
        <v>0</v>
      </c>
      <c r="I36" s="98"/>
      <c r="J36" s="97"/>
      <c r="K36" s="96"/>
      <c r="L36" s="98"/>
      <c r="M36" s="97"/>
      <c r="N36" s="98"/>
      <c r="O36" s="97"/>
      <c r="P36" s="95"/>
      <c r="Q36" s="98"/>
    </row>
    <row r="37" spans="1:70" customFormat="1" ht="14.45" customHeight="1">
      <c r="A37" s="130"/>
      <c r="B37" s="130"/>
      <c r="C37" s="131"/>
      <c r="D37" s="131"/>
      <c r="E37" s="133"/>
      <c r="F37" s="132"/>
      <c r="I37" s="98"/>
      <c r="J37" s="97"/>
      <c r="K37" s="96"/>
      <c r="L37" s="98"/>
      <c r="M37" s="97"/>
      <c r="N37" s="98"/>
      <c r="O37" s="97"/>
      <c r="P37" s="95"/>
      <c r="Q37" s="98"/>
    </row>
    <row r="38" spans="1:70" customFormat="1" ht="14.45" customHeight="1">
      <c r="A38" s="70"/>
      <c r="B38" s="70"/>
      <c r="C38" s="64"/>
      <c r="D38" s="186" t="s">
        <v>73</v>
      </c>
      <c r="E38" s="186"/>
      <c r="F38" s="118">
        <f>SUM(F26,F29:F36)</f>
        <v>298990</v>
      </c>
    </row>
    <row r="39" spans="1:70" customFormat="1" ht="14.45" customHeight="1" thickBot="1">
      <c r="A39" s="70"/>
      <c r="B39" s="58"/>
      <c r="C39" s="91" t="s">
        <v>74</v>
      </c>
      <c r="D39" s="91"/>
      <c r="E39" s="158">
        <v>0</v>
      </c>
      <c r="F39" s="159">
        <f>F38*E39*-1</f>
        <v>0</v>
      </c>
    </row>
    <row r="40" spans="1:70" customFormat="1" ht="14.45" customHeight="1" thickBot="1">
      <c r="A40" s="188" t="s">
        <v>75</v>
      </c>
      <c r="B40" s="189"/>
      <c r="C40" s="189"/>
      <c r="D40" s="184" t="s">
        <v>76</v>
      </c>
      <c r="E40" s="184"/>
      <c r="F40" s="161">
        <f>F38+F39</f>
        <v>298990</v>
      </c>
    </row>
    <row r="41" spans="1:70">
      <c r="A41" s="126" t="s">
        <v>77</v>
      </c>
      <c r="B41" s="126"/>
      <c r="C41" s="60"/>
      <c r="D41" s="185" t="s">
        <v>78</v>
      </c>
      <c r="E41" s="185"/>
      <c r="F41" s="160">
        <f>(F40*1.21)</f>
        <v>361777.89999999997</v>
      </c>
      <c r="G41" s="72"/>
      <c r="H41" s="72"/>
      <c r="I41" s="72"/>
      <c r="J41" s="72"/>
      <c r="K41" s="72"/>
      <c r="L41" s="72"/>
      <c r="M41" s="72"/>
      <c r="N41" s="72"/>
      <c r="O41" s="72"/>
      <c r="P41" s="72"/>
      <c r="Q41" s="72"/>
    </row>
    <row r="42" spans="1:70">
      <c r="A42" s="173" t="s">
        <v>79</v>
      </c>
      <c r="C42" s="60"/>
      <c r="D42" s="60"/>
      <c r="E42" s="74"/>
      <c r="F42" s="81"/>
      <c r="G42" s="72"/>
      <c r="H42" s="72"/>
      <c r="I42" s="72"/>
      <c r="J42" s="72"/>
      <c r="K42" s="72"/>
      <c r="L42" s="72"/>
      <c r="M42" s="72"/>
      <c r="N42" s="72"/>
      <c r="O42" s="72"/>
      <c r="P42" s="72"/>
      <c r="Q42" s="72"/>
    </row>
    <row r="43" spans="1:70">
      <c r="A43" s="68"/>
      <c r="B43" s="68"/>
      <c r="C43" s="60"/>
      <c r="D43" s="60"/>
      <c r="E43" s="74"/>
      <c r="F43" s="81"/>
      <c r="G43" s="72"/>
      <c r="H43" s="72"/>
      <c r="I43" s="72"/>
      <c r="J43" s="72"/>
      <c r="K43" s="72"/>
      <c r="L43" s="72"/>
      <c r="M43" s="72"/>
      <c r="N43" s="72"/>
      <c r="O43" s="72"/>
      <c r="P43" s="72"/>
      <c r="Q43" s="72"/>
    </row>
    <row r="44" spans="1:70" s="86" customFormat="1" ht="53.25" customHeight="1">
      <c r="A44" s="187" t="s">
        <v>80</v>
      </c>
      <c r="B44" s="187"/>
      <c r="C44" s="187"/>
      <c r="D44" s="187"/>
      <c r="E44" s="187"/>
      <c r="F44" s="187"/>
      <c r="G44" s="107"/>
      <c r="H44" s="107"/>
      <c r="I44" s="107"/>
      <c r="J44" s="108"/>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row>
    <row r="45" spans="1:70" s="86" customFormat="1">
      <c r="A45" s="110" t="s">
        <v>81</v>
      </c>
      <c r="B45" s="110" t="s">
        <v>82</v>
      </c>
      <c r="C45" s="110" t="s">
        <v>83</v>
      </c>
      <c r="D45" s="107"/>
      <c r="E45" s="107"/>
      <c r="F45" s="107"/>
      <c r="G45" s="107"/>
      <c r="H45" s="107"/>
      <c r="I45" s="109"/>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row>
    <row r="46" spans="1:70" s="86" customFormat="1" ht="77.25">
      <c r="A46" s="162" t="s">
        <v>84</v>
      </c>
      <c r="B46" s="163"/>
      <c r="C46" s="146">
        <v>66990</v>
      </c>
      <c r="D46" s="107"/>
      <c r="E46" s="107"/>
      <c r="F46" s="107"/>
      <c r="G46" s="107"/>
      <c r="H46" s="107"/>
      <c r="I46" s="109"/>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row>
    <row r="47" spans="1:70" s="86" customFormat="1" ht="92.25">
      <c r="A47" s="162" t="s">
        <v>85</v>
      </c>
      <c r="B47" s="168"/>
      <c r="C47" s="146">
        <v>232000</v>
      </c>
      <c r="D47" s="107"/>
      <c r="E47" s="107"/>
      <c r="F47" s="107"/>
      <c r="G47" s="107"/>
      <c r="H47" s="107"/>
      <c r="I47" s="108"/>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row>
    <row r="48" spans="1:70">
      <c r="A48" s="66"/>
      <c r="B48" s="66"/>
      <c r="C48" s="65"/>
      <c r="D48" s="65"/>
      <c r="E48" s="107"/>
      <c r="F48" s="80"/>
      <c r="G48" s="72"/>
      <c r="H48" s="72"/>
      <c r="I48" s="72"/>
      <c r="J48" s="102"/>
      <c r="K48" s="72"/>
      <c r="L48" s="72"/>
      <c r="M48" s="72"/>
      <c r="N48" s="72"/>
      <c r="O48" s="72"/>
      <c r="P48" s="72"/>
      <c r="Q48" s="72"/>
    </row>
    <row r="49" spans="1:22">
      <c r="A49" s="182" t="s">
        <v>86</v>
      </c>
      <c r="B49" s="182"/>
      <c r="C49" s="182"/>
      <c r="D49" s="182"/>
      <c r="E49" s="182"/>
      <c r="F49" s="182"/>
      <c r="G49" s="72"/>
      <c r="H49" s="72"/>
      <c r="I49" s="72"/>
      <c r="K49" s="72"/>
      <c r="L49" s="72"/>
      <c r="M49" s="72"/>
      <c r="N49" s="72"/>
      <c r="O49" s="72"/>
      <c r="P49" s="72"/>
      <c r="Q49" s="72"/>
    </row>
    <row r="50" spans="1:22">
      <c r="A50" s="61" t="s">
        <v>87</v>
      </c>
      <c r="B50" s="61"/>
      <c r="C50" s="61" t="s">
        <v>88</v>
      </c>
      <c r="D50" s="25"/>
      <c r="E50" s="72"/>
      <c r="F50" s="80"/>
      <c r="G50" s="72"/>
      <c r="H50" s="72"/>
      <c r="I50" s="72"/>
      <c r="J50" s="102"/>
      <c r="K50" s="72"/>
      <c r="L50" s="72"/>
      <c r="M50" s="72"/>
      <c r="N50" s="62"/>
      <c r="O50" s="72"/>
      <c r="P50" s="72"/>
      <c r="Q50" s="72"/>
    </row>
    <row r="51" spans="1:22">
      <c r="A51" s="174" t="s">
        <v>89</v>
      </c>
      <c r="B51" s="82"/>
      <c r="C51" s="169">
        <v>0</v>
      </c>
      <c r="D51" s="25"/>
      <c r="E51" s="72"/>
      <c r="F51" s="67"/>
      <c r="G51" s="72"/>
      <c r="H51" s="72"/>
      <c r="I51" s="72"/>
      <c r="J51" s="103"/>
      <c r="K51" s="72"/>
      <c r="L51" s="72"/>
      <c r="M51" s="72"/>
      <c r="N51" s="72"/>
      <c r="O51" s="72"/>
      <c r="P51" s="72"/>
      <c r="Q51" s="72"/>
    </row>
    <row r="52" spans="1:22">
      <c r="A52" s="174" t="s">
        <v>90</v>
      </c>
      <c r="B52" s="82"/>
      <c r="C52" s="170">
        <v>0</v>
      </c>
      <c r="D52" s="25"/>
      <c r="E52" s="79"/>
      <c r="F52" s="80"/>
      <c r="G52" s="72"/>
      <c r="H52" s="72"/>
      <c r="I52" s="72"/>
      <c r="J52" s="104"/>
      <c r="K52" s="72"/>
      <c r="L52" s="72"/>
      <c r="M52" s="72"/>
      <c r="N52" s="72"/>
      <c r="O52" s="72"/>
      <c r="P52" s="72"/>
      <c r="Q52" s="72"/>
    </row>
    <row r="53" spans="1:22">
      <c r="A53" s="174" t="s">
        <v>91</v>
      </c>
      <c r="B53" s="82"/>
      <c r="C53" s="169">
        <v>0</v>
      </c>
      <c r="D53" s="25"/>
      <c r="G53" s="72"/>
      <c r="H53" s="72"/>
      <c r="I53" s="72"/>
      <c r="J53" s="102"/>
      <c r="K53" s="72"/>
      <c r="L53" s="72"/>
      <c r="M53" s="72"/>
      <c r="N53" s="72"/>
      <c r="O53" s="72"/>
      <c r="P53" s="72"/>
      <c r="Q53" s="72"/>
    </row>
    <row r="54" spans="1:22">
      <c r="A54" s="174" t="s">
        <v>92</v>
      </c>
      <c r="B54" s="82"/>
      <c r="C54" s="169">
        <v>0</v>
      </c>
      <c r="D54" s="25"/>
      <c r="E54" s="72"/>
      <c r="G54" s="72"/>
      <c r="H54" s="72"/>
      <c r="I54" s="72"/>
      <c r="J54" s="72"/>
      <c r="K54" s="72"/>
      <c r="L54" s="72"/>
      <c r="M54" s="72"/>
      <c r="N54" s="72"/>
      <c r="O54" s="72"/>
      <c r="P54" s="72"/>
      <c r="Q54" s="72"/>
    </row>
    <row r="55" spans="1:22">
      <c r="A55" s="174" t="s">
        <v>93</v>
      </c>
      <c r="B55" s="82"/>
      <c r="C55" s="169">
        <v>0</v>
      </c>
      <c r="D55" s="25"/>
      <c r="E55" s="72"/>
      <c r="G55" s="72"/>
      <c r="H55" s="72"/>
      <c r="I55" s="72"/>
      <c r="J55" s="72"/>
      <c r="K55" s="72"/>
      <c r="L55" s="72"/>
      <c r="M55" s="72"/>
      <c r="N55" s="72"/>
      <c r="O55" s="72"/>
      <c r="P55" s="72"/>
      <c r="Q55" s="72"/>
    </row>
    <row r="56" spans="1:22">
      <c r="A56" s="84"/>
      <c r="B56" s="84"/>
      <c r="C56" s="85"/>
      <c r="D56" s="85"/>
      <c r="E56" s="72"/>
      <c r="G56" s="72"/>
      <c r="H56" s="72"/>
      <c r="I56" s="72"/>
      <c r="J56" s="72"/>
      <c r="K56" s="72"/>
      <c r="L56" s="72"/>
      <c r="M56" s="72"/>
      <c r="N56" s="72"/>
      <c r="O56" s="72"/>
      <c r="P56" s="72"/>
      <c r="Q56" s="72"/>
    </row>
    <row r="57" spans="1:22">
      <c r="A57" s="84"/>
      <c r="B57" s="84"/>
      <c r="C57" s="85"/>
      <c r="D57" s="85"/>
      <c r="E57" s="72"/>
      <c r="G57" s="72"/>
      <c r="H57" s="72"/>
      <c r="I57" s="72"/>
      <c r="J57" s="72"/>
      <c r="K57" s="72"/>
      <c r="L57" s="72"/>
      <c r="M57" s="72"/>
      <c r="N57" s="72"/>
      <c r="O57" s="72"/>
      <c r="P57" s="72"/>
      <c r="Q57" s="72"/>
    </row>
    <row r="58" spans="1:22">
      <c r="A58" s="25" t="s">
        <v>94</v>
      </c>
      <c r="B58" s="25"/>
      <c r="C58" s="72"/>
      <c r="D58" s="72"/>
      <c r="E58" s="72"/>
      <c r="F58" s="72"/>
      <c r="G58" s="72"/>
      <c r="H58" s="72"/>
      <c r="I58" s="72"/>
      <c r="J58" s="72"/>
      <c r="K58" s="72"/>
      <c r="L58" s="72"/>
      <c r="M58" s="72"/>
      <c r="N58" s="72"/>
      <c r="O58" s="72"/>
      <c r="P58" s="72"/>
      <c r="Q58" s="72"/>
    </row>
    <row r="59" spans="1:22">
      <c r="A59" s="178"/>
      <c r="B59" s="178"/>
      <c r="C59" s="178"/>
      <c r="D59" s="178"/>
      <c r="E59" s="178"/>
      <c r="F59" s="178"/>
      <c r="G59" s="72"/>
      <c r="H59" s="72"/>
      <c r="I59" s="72"/>
      <c r="J59" s="72"/>
      <c r="K59" s="72"/>
      <c r="L59" s="72"/>
      <c r="M59" s="72"/>
      <c r="N59" s="72"/>
      <c r="O59" s="72"/>
      <c r="P59" s="72"/>
      <c r="Q59" s="72"/>
      <c r="R59" s="72"/>
      <c r="S59" s="72"/>
      <c r="T59" s="72"/>
      <c r="U59" s="72"/>
      <c r="V59" s="72"/>
    </row>
    <row r="60" spans="1:22">
      <c r="A60" s="178"/>
      <c r="B60" s="178"/>
      <c r="C60" s="178"/>
      <c r="D60" s="178"/>
      <c r="E60" s="178"/>
      <c r="F60" s="178"/>
      <c r="G60" s="75"/>
      <c r="H60" s="72"/>
      <c r="I60" s="72"/>
      <c r="J60" s="72"/>
      <c r="K60" s="75"/>
      <c r="L60" s="72"/>
      <c r="M60" s="72"/>
      <c r="N60" s="75"/>
      <c r="O60" s="72"/>
      <c r="P60" s="72"/>
      <c r="Q60" s="75"/>
      <c r="R60" s="72"/>
      <c r="S60" s="72"/>
      <c r="T60" s="75"/>
      <c r="U60" s="72"/>
      <c r="V60" s="72"/>
    </row>
    <row r="61" spans="1:22">
      <c r="A61" s="178"/>
      <c r="B61" s="178"/>
      <c r="C61" s="178"/>
      <c r="D61" s="178"/>
      <c r="E61" s="178"/>
      <c r="F61" s="178"/>
      <c r="G61" s="25"/>
      <c r="H61" s="25"/>
      <c r="I61" s="72"/>
      <c r="J61" s="25"/>
      <c r="K61" s="25"/>
      <c r="L61" s="25"/>
      <c r="M61" s="25"/>
      <c r="N61" s="25"/>
      <c r="O61" s="25"/>
      <c r="P61" s="25"/>
      <c r="Q61" s="25"/>
      <c r="R61" s="25"/>
      <c r="S61" s="25"/>
      <c r="T61" s="25"/>
      <c r="U61" s="25"/>
      <c r="V61" s="72"/>
    </row>
    <row r="62" spans="1:22">
      <c r="A62" s="178"/>
      <c r="B62" s="178"/>
      <c r="C62" s="178"/>
      <c r="D62" s="178"/>
      <c r="E62" s="178"/>
      <c r="F62" s="178"/>
      <c r="G62" s="75"/>
      <c r="H62" s="83"/>
      <c r="I62" s="72"/>
      <c r="J62" s="77"/>
      <c r="K62" s="75"/>
      <c r="L62" s="78"/>
      <c r="M62" s="77"/>
      <c r="N62" s="75"/>
      <c r="O62" s="78"/>
      <c r="P62" s="77"/>
      <c r="Q62" s="75"/>
      <c r="R62" s="78"/>
      <c r="S62" s="77"/>
      <c r="T62" s="75"/>
      <c r="U62" s="78"/>
      <c r="V62" s="72"/>
    </row>
    <row r="63" spans="1:22">
      <c r="A63" s="178"/>
      <c r="B63" s="178"/>
      <c r="C63" s="178"/>
      <c r="D63" s="178"/>
      <c r="E63" s="178"/>
      <c r="F63" s="178"/>
      <c r="G63" s="75"/>
      <c r="H63" s="83"/>
      <c r="I63" s="72"/>
      <c r="J63" s="77"/>
      <c r="K63" s="75"/>
      <c r="L63" s="78"/>
      <c r="M63" s="77"/>
      <c r="N63" s="75"/>
      <c r="O63" s="78"/>
      <c r="P63" s="77"/>
      <c r="Q63" s="75"/>
      <c r="R63" s="78"/>
      <c r="S63" s="77"/>
      <c r="T63" s="75"/>
      <c r="U63" s="78"/>
      <c r="V63" s="72"/>
    </row>
    <row r="64" spans="1:22">
      <c r="A64" s="178"/>
      <c r="B64" s="178"/>
      <c r="C64" s="178"/>
      <c r="D64" s="178"/>
      <c r="E64" s="178"/>
      <c r="F64" s="178"/>
      <c r="G64" s="75"/>
      <c r="H64" s="83"/>
      <c r="I64" s="72"/>
      <c r="J64" s="77"/>
      <c r="K64" s="75"/>
      <c r="L64" s="78"/>
      <c r="M64" s="77"/>
      <c r="N64" s="75"/>
      <c r="O64" s="78"/>
      <c r="P64" s="77"/>
      <c r="Q64" s="75"/>
      <c r="R64" s="78"/>
      <c r="S64" s="77"/>
      <c r="T64" s="75"/>
      <c r="U64" s="78"/>
      <c r="V64" s="72"/>
    </row>
    <row r="65" spans="1:22">
      <c r="A65" s="178"/>
      <c r="B65" s="178"/>
      <c r="C65" s="178"/>
      <c r="D65" s="178"/>
      <c r="E65" s="178"/>
      <c r="F65" s="178"/>
      <c r="G65" s="75"/>
      <c r="H65" s="83"/>
      <c r="I65" s="72"/>
      <c r="J65" s="77"/>
      <c r="K65" s="75"/>
      <c r="L65" s="78"/>
      <c r="M65" s="77"/>
      <c r="N65" s="75"/>
      <c r="O65" s="78"/>
      <c r="P65" s="77"/>
      <c r="Q65" s="75"/>
      <c r="R65" s="78"/>
      <c r="S65" s="77"/>
      <c r="T65" s="75"/>
      <c r="U65" s="78"/>
      <c r="V65" s="72"/>
    </row>
    <row r="66" spans="1:22">
      <c r="A66" s="178"/>
      <c r="B66" s="178"/>
      <c r="C66" s="178"/>
      <c r="D66" s="178"/>
      <c r="E66" s="178"/>
      <c r="F66" s="178"/>
      <c r="G66" s="75"/>
      <c r="H66" s="83"/>
      <c r="I66" s="72"/>
      <c r="J66" s="77"/>
      <c r="K66" s="75"/>
      <c r="L66" s="78"/>
      <c r="M66" s="77"/>
      <c r="N66" s="75"/>
      <c r="O66" s="78"/>
      <c r="P66" s="77"/>
      <c r="Q66" s="75"/>
      <c r="R66" s="78"/>
      <c r="S66" s="77"/>
      <c r="T66" s="75"/>
      <c r="U66" s="78"/>
      <c r="V66" s="72"/>
    </row>
    <row r="67" spans="1:22">
      <c r="A67" s="178"/>
      <c r="B67" s="178"/>
      <c r="C67" s="178"/>
      <c r="D67" s="178"/>
      <c r="E67" s="178"/>
      <c r="F67" s="178"/>
      <c r="G67" s="72"/>
      <c r="H67" s="72"/>
      <c r="I67" s="72"/>
      <c r="J67" s="72"/>
      <c r="K67" s="72"/>
      <c r="L67" s="72"/>
      <c r="M67" s="72"/>
      <c r="N67" s="72"/>
      <c r="O67" s="72"/>
      <c r="P67" s="72"/>
      <c r="Q67" s="72"/>
    </row>
    <row r="68" spans="1:22">
      <c r="A68" s="178"/>
      <c r="B68" s="178"/>
      <c r="C68" s="178"/>
      <c r="D68" s="178"/>
      <c r="E68" s="178"/>
      <c r="F68" s="178"/>
      <c r="G68" s="72"/>
      <c r="H68" s="72"/>
      <c r="I68" s="72"/>
      <c r="J68" s="25"/>
      <c r="K68" s="72"/>
      <c r="L68" s="72"/>
      <c r="M68" s="72"/>
      <c r="N68" s="72"/>
      <c r="O68" s="72"/>
      <c r="P68" s="72"/>
      <c r="Q68" s="72"/>
    </row>
    <row r="69" spans="1:22">
      <c r="A69" s="178"/>
      <c r="B69" s="178"/>
      <c r="C69" s="178"/>
      <c r="D69" s="178"/>
      <c r="E69" s="178"/>
      <c r="F69" s="178"/>
      <c r="G69" s="72"/>
      <c r="H69" s="72"/>
      <c r="I69" s="72"/>
      <c r="J69" s="25"/>
      <c r="K69" s="72"/>
      <c r="L69" s="72"/>
      <c r="M69" s="72"/>
      <c r="N69" s="72"/>
      <c r="O69" s="72"/>
      <c r="P69" s="72"/>
      <c r="Q69" s="72"/>
    </row>
    <row r="70" spans="1:22">
      <c r="A70" s="178"/>
      <c r="B70" s="178"/>
      <c r="C70" s="178"/>
      <c r="D70" s="178"/>
      <c r="E70" s="178"/>
      <c r="F70" s="178"/>
      <c r="G70" s="72"/>
      <c r="H70" s="72"/>
      <c r="I70" s="72"/>
      <c r="J70" s="25"/>
      <c r="K70" s="72"/>
      <c r="L70" s="72"/>
      <c r="M70" s="72"/>
      <c r="N70" s="72"/>
      <c r="O70" s="72"/>
      <c r="P70" s="72"/>
      <c r="Q70" s="72"/>
    </row>
    <row r="71" spans="1:22">
      <c r="A71" s="178"/>
      <c r="B71" s="178"/>
      <c r="C71" s="178"/>
      <c r="D71" s="178"/>
      <c r="E71" s="178"/>
      <c r="F71" s="178"/>
      <c r="G71" s="72"/>
      <c r="H71" s="72"/>
      <c r="I71" s="72"/>
      <c r="J71" s="25"/>
      <c r="K71" s="72"/>
      <c r="L71" s="72"/>
      <c r="M71" s="72"/>
      <c r="N71" s="72"/>
      <c r="O71" s="72"/>
      <c r="P71" s="72"/>
      <c r="Q71" s="72"/>
    </row>
    <row r="72" spans="1:22">
      <c r="A72" s="34" t="s">
        <v>95</v>
      </c>
      <c r="B72" s="34"/>
      <c r="G72" s="72"/>
      <c r="H72" s="72"/>
      <c r="I72" s="72"/>
      <c r="J72" s="72"/>
      <c r="K72" s="72"/>
      <c r="L72" s="72"/>
      <c r="M72" s="72"/>
      <c r="N72" s="72"/>
      <c r="O72" s="72"/>
      <c r="P72" s="72"/>
      <c r="Q72" s="72"/>
    </row>
    <row r="73" spans="1:22">
      <c r="A73" s="70" t="s">
        <v>96</v>
      </c>
      <c r="G73" s="72"/>
      <c r="H73" s="72"/>
      <c r="I73" s="72"/>
      <c r="J73" s="72"/>
      <c r="K73" s="72"/>
      <c r="L73" s="72"/>
      <c r="M73" s="72"/>
      <c r="N73" s="72"/>
      <c r="O73" s="72"/>
      <c r="P73" s="72"/>
      <c r="Q73" s="72"/>
    </row>
    <row r="74" spans="1:22">
      <c r="C74" s="69"/>
      <c r="D74" s="69"/>
      <c r="G74" s="72"/>
      <c r="H74" s="72"/>
      <c r="I74" s="72"/>
      <c r="J74" s="72"/>
      <c r="K74" s="72"/>
      <c r="L74" s="72"/>
      <c r="M74" s="72"/>
      <c r="N74" s="72"/>
      <c r="O74" s="72"/>
      <c r="P74" s="72"/>
      <c r="Q74" s="72"/>
    </row>
    <row r="75" spans="1:22">
      <c r="G75" s="72"/>
      <c r="H75" s="72"/>
      <c r="I75" s="72"/>
      <c r="J75" s="72"/>
      <c r="K75" s="72"/>
      <c r="L75" s="72"/>
      <c r="M75" s="72"/>
      <c r="N75" s="72"/>
      <c r="O75" s="72"/>
      <c r="P75" s="62"/>
      <c r="Q75" s="72"/>
    </row>
  </sheetData>
  <protectedRanges>
    <protectedRange algorithmName="SHA-512" hashValue="/3kfvMuRfowRNnL31HvyrbkKh6zxurq1xmqV7EPnlwcdeMgj6WtCX7O+hgWRKT+IiuKe/SQWnfp70Un8rDDZ/w==" saltValue="e67U+f5SYoJxYDQZvqCeMQ==" spinCount="100000" sqref="B46:B47" name="aanvullende functionaliteit"/>
    <protectedRange sqref="D8:D23" name="prijs"/>
    <protectedRange sqref="E8:E23" name="korting"/>
    <protectedRange sqref="F29:F32" name="eenmalige kosten"/>
    <protectedRange sqref="E33:E36" name="consultancy"/>
    <protectedRange sqref="E39" name="korting totaal"/>
    <protectedRange sqref="C51:C55" name="onderdelen"/>
    <protectedRange sqref="A59:XFD71" name="aannames"/>
    <protectedRange sqref="B3" name="naam inschrijver"/>
  </protectedRanges>
  <mergeCells count="22">
    <mergeCell ref="A1:F1"/>
    <mergeCell ref="A49:F49"/>
    <mergeCell ref="A5:F5"/>
    <mergeCell ref="D40:E40"/>
    <mergeCell ref="D41:E41"/>
    <mergeCell ref="D38:E38"/>
    <mergeCell ref="A44:F44"/>
    <mergeCell ref="A40:C40"/>
    <mergeCell ref="B3:E3"/>
    <mergeCell ref="A59:F59"/>
    <mergeCell ref="A60:F60"/>
    <mergeCell ref="A61:F61"/>
    <mergeCell ref="A62:F62"/>
    <mergeCell ref="A63:F63"/>
    <mergeCell ref="A69:F69"/>
    <mergeCell ref="A70:F70"/>
    <mergeCell ref="A71:F71"/>
    <mergeCell ref="A64:F64"/>
    <mergeCell ref="A65:F65"/>
    <mergeCell ref="A66:F66"/>
    <mergeCell ref="A67:F67"/>
    <mergeCell ref="A68:F68"/>
  </mergeCells>
  <conditionalFormatting sqref="L12:L37 I12:I37 Q12:Q37 N12:N37">
    <cfRule type="cellIs" dxfId="14" priority="31" operator="equal">
      <formula>3</formula>
    </cfRule>
    <cfRule type="cellIs" dxfId="13" priority="32" operator="equal">
      <formula>2</formula>
    </cfRule>
    <cfRule type="cellIs" dxfId="12" priority="33" operator="equal">
      <formula>1</formula>
    </cfRule>
  </conditionalFormatting>
  <conditionalFormatting sqref="J62:J66">
    <cfRule type="cellIs" dxfId="11" priority="13" operator="equal">
      <formula>3</formula>
    </cfRule>
    <cfRule type="cellIs" dxfId="10" priority="14" operator="equal">
      <formula>2</formula>
    </cfRule>
    <cfRule type="cellIs" dxfId="9" priority="15" operator="equal">
      <formula>1</formula>
    </cfRule>
  </conditionalFormatting>
  <conditionalFormatting sqref="M62:M66">
    <cfRule type="cellIs" dxfId="8" priority="10" operator="equal">
      <formula>3</formula>
    </cfRule>
    <cfRule type="cellIs" dxfId="7" priority="11" operator="equal">
      <formula>2</formula>
    </cfRule>
    <cfRule type="cellIs" dxfId="6" priority="12" operator="equal">
      <formula>1</formula>
    </cfRule>
  </conditionalFormatting>
  <conditionalFormatting sqref="P62:P66">
    <cfRule type="cellIs" dxfId="5" priority="7" operator="equal">
      <formula>3</formula>
    </cfRule>
    <cfRule type="cellIs" dxfId="4" priority="8" operator="equal">
      <formula>2</formula>
    </cfRule>
    <cfRule type="cellIs" dxfId="3" priority="9" operator="equal">
      <formula>1</formula>
    </cfRule>
  </conditionalFormatting>
  <conditionalFormatting sqref="S62:S66">
    <cfRule type="cellIs" dxfId="2" priority="4" operator="equal">
      <formula>3</formula>
    </cfRule>
    <cfRule type="cellIs" dxfId="1" priority="5" operator="equal">
      <formula>2</formula>
    </cfRule>
    <cfRule type="cellIs" dxfId="0" priority="6" operator="equal">
      <formula>1</formula>
    </cfRule>
  </conditionalFormatting>
  <pageMargins left="0.70866141732283472" right="0.70866141732283472" top="0.74803149606299213" bottom="0.74803149606299213" header="0.31496062992125984" footer="0.31496062992125984"/>
  <pageSetup paperSize="9" scale="78" fitToHeight="0" orientation="landscape" r:id="rId1"/>
  <headerFooter>
    <oddFooter>&amp;F</oddFooter>
  </headerFooter>
  <ignoredErrors>
    <ignoredError sqref="F9:F2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0"/>
  <sheetViews>
    <sheetView workbookViewId="0">
      <selection activeCell="B4" sqref="B4"/>
    </sheetView>
  </sheetViews>
  <sheetFormatPr defaultRowHeight="15"/>
  <cols>
    <col min="1" max="1" width="30.7109375" customWidth="1"/>
    <col min="2" max="2" width="12.42578125" bestFit="1" customWidth="1"/>
  </cols>
  <sheetData>
    <row r="2" spans="1:4">
      <c r="B2" t="s">
        <v>97</v>
      </c>
    </row>
    <row r="3" spans="1:4">
      <c r="B3" t="s">
        <v>98</v>
      </c>
    </row>
    <row r="4" spans="1:4">
      <c r="A4" s="87"/>
    </row>
    <row r="9" spans="1:4">
      <c r="B9" s="88"/>
      <c r="C9" s="89"/>
      <c r="D9" s="90"/>
    </row>
    <row r="10" spans="1:4">
      <c r="B10" s="88"/>
      <c r="C10" s="89"/>
      <c r="D10" s="90"/>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F2C740B8F4424DA27B7AB197A07305" ma:contentTypeVersion="9" ma:contentTypeDescription="Een nieuw document maken." ma:contentTypeScope="" ma:versionID="679eb9811d3ddf1de4bf431e036602c8">
  <xsd:schema xmlns:xsd="http://www.w3.org/2001/XMLSchema" xmlns:xs="http://www.w3.org/2001/XMLSchema" xmlns:p="http://schemas.microsoft.com/office/2006/metadata/properties" xmlns:ns2="b65eb6df-646f-4f58-838e-7643873555fe" xmlns:ns3="1e0b38e7-4e51-49e3-bee2-427e5c2795d3" targetNamespace="http://schemas.microsoft.com/office/2006/metadata/properties" ma:root="true" ma:fieldsID="15be6a06d13dfe1b956828530d1fef7d" ns2:_="" ns3:_="">
    <xsd:import namespace="b65eb6df-646f-4f58-838e-7643873555fe"/>
    <xsd:import namespace="1e0b38e7-4e51-49e3-bee2-427e5c2795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eb6df-646f-4f58-838e-764387355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0b38e7-4e51-49e3-bee2-427e5c2795d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e0b38e7-4e51-49e3-bee2-427e5c2795d3">
      <UserInfo>
        <DisplayName>Bakel, Karin van</DisplayName>
        <AccountId>3</AccountId>
        <AccountType/>
      </UserInfo>
      <UserInfo>
        <DisplayName>Molenaar, Frank</DisplayName>
        <AccountId>80</AccountId>
        <AccountType/>
      </UserInfo>
    </SharedWithUsers>
  </documentManagement>
</p:properties>
</file>

<file path=customXml/itemProps1.xml><?xml version="1.0" encoding="utf-8"?>
<ds:datastoreItem xmlns:ds="http://schemas.openxmlformats.org/officeDocument/2006/customXml" ds:itemID="{25905A15-74BA-412D-8B6C-6043240DF86A}"/>
</file>

<file path=customXml/itemProps2.xml><?xml version="1.0" encoding="utf-8"?>
<ds:datastoreItem xmlns:ds="http://schemas.openxmlformats.org/officeDocument/2006/customXml" ds:itemID="{1FF17D3D-CC25-4923-9FA4-56A9D1A4D487}"/>
</file>

<file path=customXml/itemProps3.xml><?xml version="1.0" encoding="utf-8"?>
<ds:datastoreItem xmlns:ds="http://schemas.openxmlformats.org/officeDocument/2006/customXml" ds:itemID="{CB6E143F-C32B-440B-84AA-36B95D6DE8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M.J. (Marjon)</dc:creator>
  <cp:keywords/>
  <dc:description/>
  <cp:lastModifiedBy>Rietveld, M.J. (Marjon)</cp:lastModifiedBy>
  <cp:revision/>
  <dcterms:created xsi:type="dcterms:W3CDTF">2015-06-30T08:14:05Z</dcterms:created>
  <dcterms:modified xsi:type="dcterms:W3CDTF">2020-04-24T08:47:43Z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0x01010022F2C740B8F4424DA27B7AB197A07305</vt:lpwstr>
  </property>
</Properties>
</file>