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hidePivotFieldList="1"/>
  <mc:AlternateContent xmlns:mc="http://schemas.openxmlformats.org/markup-compatibility/2006">
    <mc:Choice Requires="x15">
      <x15ac:absPath xmlns:x15ac="http://schemas.microsoft.com/office/spreadsheetml/2010/11/ac" url="P:\1194\119437\WIP\01. Geothermie\05. marktconsultatie Q4 2020\"/>
    </mc:Choice>
  </mc:AlternateContent>
  <xr:revisionPtr revIDLastSave="0" documentId="13_ncr:1_{F2ACBAAD-C834-4E01-9D8E-382F68C4766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Test" sheetId="3" r:id="rId3"/>
  </sheets>
  <definedNames>
    <definedName name="_xlnm._FilterDatabase" localSheetId="0" hidden="1">Blad1!$A$1:$AC$19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" i="3" l="1"/>
  <c r="Z4" i="3"/>
  <c r="Z5" i="3"/>
  <c r="Z6" i="3"/>
  <c r="Z7" i="3"/>
  <c r="Z8" i="3"/>
  <c r="Z9" i="3"/>
  <c r="Z2" i="3"/>
  <c r="Y3" i="3"/>
  <c r="Y4" i="3"/>
  <c r="Y5" i="3"/>
  <c r="Y6" i="3"/>
  <c r="Y7" i="3"/>
  <c r="Y8" i="3"/>
  <c r="Y9" i="3"/>
  <c r="Y2" i="3"/>
  <c r="X3" i="3"/>
  <c r="X4" i="3"/>
  <c r="X5" i="3"/>
  <c r="X6" i="3"/>
  <c r="X7" i="3"/>
  <c r="X8" i="3"/>
  <c r="X9" i="3"/>
  <c r="X2" i="3"/>
  <c r="W3" i="3"/>
  <c r="W4" i="3"/>
  <c r="W5" i="3"/>
  <c r="W6" i="3"/>
  <c r="W7" i="3"/>
  <c r="W8" i="3"/>
  <c r="W9" i="3"/>
  <c r="W2" i="3"/>
  <c r="V3" i="3"/>
  <c r="V4" i="3"/>
  <c r="V5" i="3"/>
  <c r="V6" i="3"/>
  <c r="V7" i="3"/>
  <c r="V8" i="3"/>
  <c r="V9" i="3"/>
  <c r="V2" i="3"/>
  <c r="N4" i="3"/>
  <c r="O4" i="3" s="1"/>
  <c r="U4" i="3" s="1"/>
  <c r="P4" i="3"/>
  <c r="Q4" i="3"/>
  <c r="R4" i="3"/>
  <c r="N5" i="3"/>
  <c r="O5" i="3" s="1"/>
  <c r="U5" i="3" s="1"/>
  <c r="P5" i="3"/>
  <c r="Q5" i="3"/>
  <c r="R5" i="3"/>
  <c r="T5" i="3" s="1"/>
  <c r="N7" i="3"/>
  <c r="O7" i="3" s="1"/>
  <c r="U7" i="3" s="1"/>
  <c r="P7" i="3"/>
  <c r="Q7" i="3"/>
  <c r="R7" i="3"/>
  <c r="N9" i="3"/>
  <c r="O9" i="3" s="1"/>
  <c r="U9" i="3" s="1"/>
  <c r="P9" i="3"/>
  <c r="Q9" i="3"/>
  <c r="R9" i="3"/>
  <c r="T4" i="3" l="1"/>
  <c r="S4" i="3"/>
  <c r="T9" i="3"/>
  <c r="T7" i="3"/>
  <c r="S5" i="3"/>
  <c r="S9" i="3"/>
  <c r="S7" i="3"/>
  <c r="P2" i="3" l="1"/>
  <c r="P3" i="3"/>
  <c r="P6" i="3"/>
  <c r="P8" i="3"/>
  <c r="R2" i="3"/>
  <c r="R3" i="3"/>
  <c r="R6" i="3"/>
  <c r="R8" i="3"/>
  <c r="Q2" i="3"/>
  <c r="Q3" i="3"/>
  <c r="Q6" i="3"/>
  <c r="Q8" i="3"/>
  <c r="N2" i="3"/>
  <c r="O2" i="3" s="1"/>
  <c r="U2" i="3" s="1"/>
  <c r="N3" i="3"/>
  <c r="O3" i="3" s="1"/>
  <c r="U3" i="3" s="1"/>
  <c r="N6" i="3"/>
  <c r="O6" i="3" s="1"/>
  <c r="U6" i="3" s="1"/>
  <c r="N8" i="3"/>
  <c r="O8" i="3" s="1"/>
  <c r="U8" i="3" s="1"/>
  <c r="T8" i="3" l="1"/>
  <c r="T2" i="3"/>
  <c r="S3" i="3"/>
  <c r="S6" i="3"/>
  <c r="T6" i="3"/>
  <c r="T3" i="3"/>
  <c r="S8" i="3"/>
  <c r="S2" i="3"/>
  <c r="AB13" i="1"/>
  <c r="AB4" i="1"/>
  <c r="AB14" i="1"/>
  <c r="AB5" i="1"/>
  <c r="AB16" i="1"/>
  <c r="AB2" i="1"/>
  <c r="AB15" i="1"/>
  <c r="AB6" i="1"/>
  <c r="AB8" i="1"/>
  <c r="AB17" i="1"/>
  <c r="AB12" i="1"/>
  <c r="M11" i="1"/>
  <c r="AB11" i="1" s="1"/>
  <c r="M19" i="1"/>
  <c r="AB19" i="1" s="1"/>
  <c r="M10" i="1"/>
  <c r="AB10" i="1" s="1"/>
  <c r="M3" i="1"/>
  <c r="AB3" i="1" s="1"/>
  <c r="M9" i="1"/>
  <c r="AB9" i="1" s="1"/>
  <c r="M18" i="1"/>
  <c r="AB18" i="1" s="1"/>
  <c r="X11" i="1"/>
  <c r="Y11" i="1"/>
  <c r="Z11" i="1"/>
  <c r="AA11" i="1"/>
  <c r="X12" i="1"/>
  <c r="Y12" i="1"/>
  <c r="Z12" i="1"/>
  <c r="AA12" i="1"/>
  <c r="X10" i="1" l="1"/>
  <c r="Y10" i="1"/>
  <c r="Z10" i="1"/>
  <c r="AA10" i="1"/>
  <c r="X19" i="1"/>
  <c r="Y19" i="1"/>
  <c r="Z19" i="1"/>
  <c r="AA19" i="1"/>
  <c r="Y3" i="1" l="1"/>
  <c r="AA3" i="1"/>
  <c r="X3" i="1"/>
  <c r="Z3" i="1"/>
  <c r="X17" i="1" l="1"/>
  <c r="Y17" i="1"/>
  <c r="Z17" i="1"/>
  <c r="AA17" i="1"/>
  <c r="Y9" i="1" l="1"/>
  <c r="AA9" i="1"/>
  <c r="X9" i="1"/>
  <c r="Z9" i="1"/>
  <c r="Y18" i="1" l="1"/>
  <c r="AA18" i="1"/>
  <c r="X18" i="1"/>
  <c r="Z18" i="1"/>
  <c r="X8" i="1" l="1"/>
  <c r="Y8" i="1"/>
  <c r="Z8" i="1"/>
  <c r="AA8" i="1"/>
  <c r="Y6" i="1"/>
  <c r="AA6" i="1"/>
  <c r="X6" i="1"/>
  <c r="Z6" i="1"/>
  <c r="Y15" i="1"/>
  <c r="AA15" i="1"/>
  <c r="X15" i="1"/>
  <c r="Z15" i="1"/>
  <c r="X16" i="1"/>
  <c r="Y16" i="1"/>
  <c r="Z16" i="1"/>
  <c r="AA16" i="1"/>
  <c r="X2" i="1"/>
  <c r="Y2" i="1"/>
  <c r="Z2" i="1"/>
  <c r="AA2" i="1"/>
  <c r="X14" i="1"/>
  <c r="Y14" i="1"/>
  <c r="Z14" i="1"/>
  <c r="AA14" i="1"/>
  <c r="X5" i="1"/>
  <c r="Y5" i="1"/>
  <c r="Z5" i="1"/>
  <c r="AA5" i="1"/>
  <c r="X7" i="1"/>
  <c r="Y7" i="1"/>
  <c r="AA7" i="1"/>
  <c r="Z7" i="1"/>
  <c r="M7" i="1"/>
  <c r="AB7" i="1" s="1"/>
  <c r="AA13" i="1"/>
  <c r="AA4" i="1"/>
  <c r="Z13" i="1"/>
  <c r="Z4" i="1"/>
  <c r="Y13" i="1"/>
  <c r="Y4" i="1"/>
  <c r="X13" i="1"/>
  <c r="X4" i="1"/>
</calcChain>
</file>

<file path=xl/sharedStrings.xml><?xml version="1.0" encoding="utf-8"?>
<sst xmlns="http://schemas.openxmlformats.org/spreadsheetml/2006/main" count="223" uniqueCount="106">
  <si>
    <t>Adres</t>
  </si>
  <si>
    <t>Plaats</t>
  </si>
  <si>
    <t>Besluitnummer</t>
  </si>
  <si>
    <t>Rapportagejaar</t>
  </si>
  <si>
    <t>Vergunninghouder</t>
  </si>
  <si>
    <t>x-coordinaat</t>
  </si>
  <si>
    <t>y-coordinaat</t>
  </si>
  <si>
    <t>Gebouw</t>
  </si>
  <si>
    <t>Ring</t>
  </si>
  <si>
    <t>Den Haag</t>
  </si>
  <si>
    <t>percentage van vergunning [%]</t>
  </si>
  <si>
    <t>gemeten dT onttrekking warmte [C]</t>
  </si>
  <si>
    <t>gemeten dT onttrekking koude [C]</t>
  </si>
  <si>
    <t>onbalans jaar [m3/jaar]</t>
  </si>
  <si>
    <t>?</t>
  </si>
  <si>
    <t>Jubi-complex</t>
  </si>
  <si>
    <t>Turfmarkt 147</t>
  </si>
  <si>
    <t>2007-5475400</t>
  </si>
  <si>
    <t>Rijksvastgoedbedrijf</t>
  </si>
  <si>
    <t>81965</t>
  </si>
  <si>
    <t>455010</t>
  </si>
  <si>
    <t>Centrum</t>
  </si>
  <si>
    <t>Ministerie van Defensie</t>
  </si>
  <si>
    <t>Kalvermarkt 32</t>
  </si>
  <si>
    <t>PZH-2007-501830</t>
  </si>
  <si>
    <t>Directie vastgoedbeheer</t>
  </si>
  <si>
    <t>81650</t>
  </si>
  <si>
    <t>454980</t>
  </si>
  <si>
    <t>gem_Q_warmtelevering [m3/jaar]</t>
  </si>
  <si>
    <t>gem_Q_koudelevering [m3/jaar]</t>
  </si>
  <si>
    <t xml:space="preserve">gem_E_warmtelevering [MWh t] </t>
  </si>
  <si>
    <t>gem_E_koudelevering [MWh t}</t>
  </si>
  <si>
    <t>verg_Q_koudelevering [ [m3/jaar]</t>
  </si>
  <si>
    <t>verg_Q_warmtelevering [ [m3/jaar]</t>
  </si>
  <si>
    <t>verg_Q_tot [m3/jaar]</t>
  </si>
  <si>
    <t>onb_E</t>
  </si>
  <si>
    <t>onb_perc_Q</t>
  </si>
  <si>
    <t>onb_perc_E</t>
  </si>
  <si>
    <t>Ministerie van Financiën</t>
  </si>
  <si>
    <t>81660</t>
  </si>
  <si>
    <t>455430</t>
  </si>
  <si>
    <t>Korte Voorhout</t>
  </si>
  <si>
    <t>DGWM2006/11100</t>
  </si>
  <si>
    <t xml:space="preserve">Safire b.v. </t>
  </si>
  <si>
    <t>ont_Q_warmtelevering [ [m3/jaar]</t>
  </si>
  <si>
    <t>verg_E_warmtelevering [MWh t]</t>
  </si>
  <si>
    <t>verg_E_koudelevering [MWh t]</t>
  </si>
  <si>
    <t>455600</t>
  </si>
  <si>
    <t>opmerkingen</t>
  </si>
  <si>
    <t>koudevraag lijkt me heel erg hoog</t>
  </si>
  <si>
    <t>Raad van State</t>
  </si>
  <si>
    <t>81100</t>
  </si>
  <si>
    <t>455400</t>
  </si>
  <si>
    <t>Stadhuis Den Haag</t>
  </si>
  <si>
    <t>Spui 70</t>
  </si>
  <si>
    <t>2007-501084</t>
  </si>
  <si>
    <t>Gemeente Den Haag</t>
  </si>
  <si>
    <t>81800</t>
  </si>
  <si>
    <t>455100</t>
  </si>
  <si>
    <t>Spuimarkt</t>
  </si>
  <si>
    <t>DGWM/2005/10594</t>
  </si>
  <si>
    <t>M.Masman</t>
  </si>
  <si>
    <t>81425</t>
  </si>
  <si>
    <t>454815</t>
  </si>
  <si>
    <t>ont_Q_koudelevering [ [m3/jaar]</t>
  </si>
  <si>
    <t>Kantoor Hoge Raad</t>
  </si>
  <si>
    <t>Korte Voorhout 7 / Smidsplein</t>
  </si>
  <si>
    <t>Chpi 22</t>
  </si>
  <si>
    <t>BAM techniek BV</t>
  </si>
  <si>
    <t>81638</t>
  </si>
  <si>
    <t>Kneuterdijk 22</t>
  </si>
  <si>
    <t>DGWM/2005/17628</t>
  </si>
  <si>
    <t>Resident</t>
  </si>
  <si>
    <t>Zwarteweg</t>
  </si>
  <si>
    <t>DWM/120321</t>
  </si>
  <si>
    <t>A. van Egmond</t>
  </si>
  <si>
    <t>455200</t>
  </si>
  <si>
    <t>Eindtotaal</t>
  </si>
  <si>
    <t>Aantal van Rapportagejaar</t>
  </si>
  <si>
    <t>Max van ont_Q_warmtelevering [ [m3/jaar]</t>
  </si>
  <si>
    <t>Max van ont_Q_koudelevering [ [m3/jaar]</t>
  </si>
  <si>
    <t>Max van verg_Q_tot [m3/jaar]</t>
  </si>
  <si>
    <t>Max van verg_Q_warmtelevering [ [m3/jaar]</t>
  </si>
  <si>
    <t>Max van verg_Q_koudelevering [ [m3/jaar]</t>
  </si>
  <si>
    <t>Max van verg_E_warmtelevering [MWh t]</t>
  </si>
  <si>
    <t>Max van verg_E_koudelevering [MWh t]</t>
  </si>
  <si>
    <t>Gemiddelde van gem_Q_warmtelevering [m3/jaar]</t>
  </si>
  <si>
    <t>Gemiddelde van gem_Q_koudelevering [m3/jaar]</t>
  </si>
  <si>
    <t xml:space="preserve">Gemiddelde van gem_E_warmtelevering [MWh t] </t>
  </si>
  <si>
    <t>Gemiddelde van gem_E_koudelevering [MWh t}</t>
  </si>
  <si>
    <t>Aantal jaren</t>
  </si>
  <si>
    <t>gem_Q_tot</t>
  </si>
  <si>
    <t>gem_Q_over</t>
  </si>
  <si>
    <t>onb_Q [m3/jaar]</t>
  </si>
  <si>
    <t>onb_E [MWh t]</t>
  </si>
  <si>
    <t>gem_E_tot</t>
  </si>
  <si>
    <t>perc_Q_vergunning</t>
  </si>
  <si>
    <t>ERDH_nr</t>
  </si>
  <si>
    <t>Stadhuis</t>
  </si>
  <si>
    <t>Defensie</t>
  </si>
  <si>
    <t>Financiën</t>
  </si>
  <si>
    <t>Hoge Raad</t>
  </si>
  <si>
    <t>De Resident / VWS</t>
  </si>
  <si>
    <t>BZK en V&amp;J</t>
  </si>
  <si>
    <t>Flimhuis / Theater</t>
  </si>
  <si>
    <t>Filmhuis / Theater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</si>
</sst>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 applyAlignment="1">
      <alignment textRotation="90"/>
    </xf>
    <xf numFmtId="1" fontId="0" fillId="0" borderId="0" xfId="0" applyNumberFormat="1"/>
    <xf numFmtId="0" fontId="0" fillId="0" borderId="0" xfId="0" applyAlignment="1"/>
    <xf numFmtId="164" fontId="0" fillId="0" borderId="0" xfId="0" applyNumberFormat="1" applyAlignment="1"/>
    <xf numFmtId="165" fontId="0" fillId="0" borderId="0" xfId="0" applyNumberFormat="1" applyAlignment="1">
      <alignment textRotation="90"/>
    </xf>
    <xf numFmtId="165" fontId="0" fillId="0" borderId="0" xfId="0" applyNumberFormat="1" applyAlignment="1"/>
    <xf numFmtId="165" fontId="0" fillId="0" borderId="0" xfId="0" applyNumberFormat="1"/>
    <xf numFmtId="1" fontId="0" fillId="0" borderId="0" xfId="0" applyNumberFormat="1" applyAlignment="1">
      <alignment textRotation="90"/>
    </xf>
    <xf numFmtId="1" fontId="0" fillId="0" borderId="0" xfId="0" applyNumberFormat="1" applyAlignment="1"/>
    <xf numFmtId="49" fontId="0" fillId="0" borderId="0" xfId="0" applyNumberFormat="1" applyAlignment="1">
      <alignment textRotation="90"/>
    </xf>
    <xf numFmtId="49" fontId="0" fillId="0" borderId="0" xfId="0" applyNumberFormat="1"/>
    <xf numFmtId="49" fontId="0" fillId="2" borderId="0" xfId="0" applyNumberFormat="1" applyFill="1" applyAlignment="1"/>
    <xf numFmtId="49" fontId="0" fillId="2" borderId="0" xfId="0" applyNumberFormat="1" applyFill="1"/>
    <xf numFmtId="1" fontId="0" fillId="2" borderId="0" xfId="0" applyNumberForma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3" borderId="1" xfId="0" applyFont="1" applyFill="1" applyBorder="1" applyAlignment="1">
      <alignment textRotation="90"/>
    </xf>
    <xf numFmtId="49" fontId="0" fillId="4" borderId="0" xfId="0" applyNumberFormat="1" applyFont="1" applyFill="1" applyAlignment="1">
      <alignment textRotation="90"/>
    </xf>
    <xf numFmtId="164" fontId="0" fillId="4" borderId="0" xfId="0" applyNumberFormat="1" applyFont="1" applyFill="1" applyAlignment="1">
      <alignment textRotation="90"/>
    </xf>
    <xf numFmtId="1" fontId="0" fillId="4" borderId="0" xfId="0" applyNumberFormat="1" applyFont="1" applyFill="1" applyAlignment="1">
      <alignment textRotation="90"/>
    </xf>
    <xf numFmtId="1" fontId="0" fillId="5" borderId="0" xfId="0" applyNumberFormat="1" applyFill="1"/>
  </cellXfs>
  <cellStyles count="1">
    <cellStyle name="Normal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ogier Duijff | DWA" refreshedDate="44203.622147569447" createdVersion="6" refreshedVersion="6" minRefreshableVersion="3" recordCount="18" xr:uid="{00000000-000A-0000-FFFF-FFFF00000000}">
  <cacheSource type="worksheet">
    <worksheetSource ref="A1:AC19" sheet="Blad1"/>
  </cacheSource>
  <cacheFields count="29">
    <cacheField name="Gebouw" numFmtId="0">
      <sharedItems count="20">
        <s v="Stadhuis Den Haag"/>
        <s v="Ministerie van Defensie"/>
        <s v="Ministerie van Financiën"/>
        <s v="Kantoor Hoge Raad"/>
        <s v="Resident"/>
        <s v="Jubi-complex"/>
        <s v="Raad van State"/>
        <s v="Spuimarkt"/>
        <s v="ASN bank" u="1"/>
        <s v="De Monarch" u="1"/>
        <s v="Palijs van Justitie" u="1"/>
        <s v="Hoofdkantoor Shell International" u="1"/>
        <s v="NIBC Bank" u="1"/>
        <s v="Shell" u="1"/>
        <s v="BUZA" u="1"/>
        <s v="Hoofddirectie Rijkswaterstaat" u="1"/>
        <s v="Hogeschool InHolland" u="1"/>
        <s v="PZH" u="1"/>
        <s v="Ministerie van Economische Zaken" u="1"/>
        <s v="New Babylon" u="1"/>
      </sharedItems>
    </cacheField>
    <cacheField name="Adres" numFmtId="0">
      <sharedItems containsBlank="1"/>
    </cacheField>
    <cacheField name="Plaats" numFmtId="0">
      <sharedItems/>
    </cacheField>
    <cacheField name="ERDH_nr" numFmtId="1">
      <sharedItems containsSemiMixedTypes="0" containsString="0" containsNumber="1" containsInteger="1" minValue="1" maxValue="42"/>
    </cacheField>
    <cacheField name="Besluitnummer" numFmtId="0">
      <sharedItems containsBlank="1"/>
    </cacheField>
    <cacheField name="Rapportagejaar" numFmtId="1">
      <sharedItems containsSemiMixedTypes="0" containsString="0" containsNumber="1" containsInteger="1" minValue="2017" maxValue="2019"/>
    </cacheField>
    <cacheField name="Vergunninghouder" numFmtId="0">
      <sharedItems containsBlank="1"/>
    </cacheField>
    <cacheField name="x-coordinaat" numFmtId="49">
      <sharedItems/>
    </cacheField>
    <cacheField name="y-coordinaat" numFmtId="49">
      <sharedItems/>
    </cacheField>
    <cacheField name="Ring" numFmtId="0">
      <sharedItems containsBlank="1"/>
    </cacheField>
    <cacheField name="ont_Q_warmtelevering [ [m3/jaar]" numFmtId="1">
      <sharedItems containsString="0" containsBlank="1" containsNumber="1" containsInteger="1" minValue="260000" maxValue="260000"/>
    </cacheField>
    <cacheField name="ont_Q_koudelevering [ [m3/jaar]" numFmtId="1">
      <sharedItems containsString="0" containsBlank="1" containsNumber="1" containsInteger="1" minValue="260000" maxValue="260000"/>
    </cacheField>
    <cacheField name="verg_Q_tot [m3/jaar]" numFmtId="0">
      <sharedItems containsSemiMixedTypes="0" containsString="0" containsNumber="1" containsInteger="1" minValue="220000" maxValue="1560000"/>
    </cacheField>
    <cacheField name="verg_Q_warmtelevering [ [m3/jaar]" numFmtId="1">
      <sharedItems containsString="0" containsBlank="1" containsNumber="1" containsInteger="1" minValue="150000" maxValue="780000"/>
    </cacheField>
    <cacheField name="verg_Q_koudelevering [ [m3/jaar]" numFmtId="1">
      <sharedItems containsString="0" containsBlank="1" containsNumber="1" containsInteger="1" minValue="150000" maxValue="780000"/>
    </cacheField>
    <cacheField name="verg_E_warmtelevering [MWh t]" numFmtId="1">
      <sharedItems containsString="0" containsBlank="1" containsNumber="1" containsInteger="1" minValue="514" maxValue="2800"/>
    </cacheField>
    <cacheField name="verg_E_koudelevering [MWh t]" numFmtId="1">
      <sharedItems containsString="0" containsBlank="1" containsNumber="1" containsInteger="1" minValue="514" maxValue="2800"/>
    </cacheField>
    <cacheField name="gem_Q_warmtelevering [m3/jaar]" numFmtId="1">
      <sharedItems containsSemiMixedTypes="0" containsString="0" containsNumber="1" minValue="2158" maxValue="420327"/>
    </cacheField>
    <cacheField name="gem_Q_koudelevering [m3/jaar]" numFmtId="1">
      <sharedItems containsSemiMixedTypes="0" containsString="0" containsNumber="1" minValue="190" maxValue="1470703"/>
    </cacheField>
    <cacheField name="gem_E_warmtelevering [MWh t] " numFmtId="1">
      <sharedItems containsSemiMixedTypes="0" containsString="0" containsNumber="1" minValue="5" maxValue="7331"/>
    </cacheField>
    <cacheField name="gem_E_koudelevering [MWh t}" numFmtId="1">
      <sharedItems containsSemiMixedTypes="0" containsString="0" containsNumber="1" minValue="52" maxValue="4863.5"/>
    </cacheField>
    <cacheField name="gemeten dT onttrekking warmte [C]" numFmtId="165">
      <sharedItems containsNonDate="0" containsString="0" containsBlank="1"/>
    </cacheField>
    <cacheField name="gemeten dT onttrekking koude [C]" numFmtId="165">
      <sharedItems containsNonDate="0" containsString="0" containsBlank="1"/>
    </cacheField>
    <cacheField name="onbalans jaar [m3/jaar]" numFmtId="1">
      <sharedItems containsSemiMixedTypes="0" containsString="0" containsNumber="1" minValue="-1050376" maxValue="90049"/>
    </cacheField>
    <cacheField name="onb_E" numFmtId="1">
      <sharedItems containsSemiMixedTypes="0" containsString="0" containsNumber="1" minValue="-3751.6578279999999" maxValue="3430"/>
    </cacheField>
    <cacheField name="onb_perc_Q" numFmtId="1">
      <sharedItems containsSemiMixedTypes="0" containsString="0" containsNumber="1" minValue="-61.355012794969319" maxValue="96.839164022100562"/>
    </cacheField>
    <cacheField name="onb_perc_E" numFmtId="1">
      <sharedItems containsSemiMixedTypes="0" containsString="0" containsNumber="1" minValue="-82.456140350877192" maxValue="30.537749287749289"/>
    </cacheField>
    <cacheField name="percentage van vergunning [%]" numFmtId="1">
      <sharedItems containsSemiMixedTypes="0" containsString="0" containsNumber="1" minValue="0.19566666666666666" maxValue="316.05274186889005"/>
    </cacheField>
    <cacheField name="opmerking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x v="0"/>
    <s v="Spui 70"/>
    <s v="Den Haag"/>
    <n v="1"/>
    <s v="2007-501084"/>
    <n v="2018"/>
    <s v="Gemeente Den Haag"/>
    <s v="81800"/>
    <s v="455100"/>
    <s v="Centrum"/>
    <m/>
    <m/>
    <n v="580000"/>
    <m/>
    <m/>
    <m/>
    <m/>
    <n v="298237"/>
    <n v="208188"/>
    <n v="7331"/>
    <n v="3901"/>
    <m/>
    <m/>
    <n v="90049"/>
    <n v="3430"/>
    <n v="17.781310164387619"/>
    <n v="30.537749287749289"/>
    <n v="87.314655172413794"/>
    <m/>
  </r>
  <r>
    <x v="0"/>
    <s v="Spui 70"/>
    <s v="Den Haag"/>
    <n v="1"/>
    <s v="2007-501084"/>
    <n v="2017"/>
    <s v="Gemeente Den Haag"/>
    <s v="81800"/>
    <s v="455100"/>
    <s v="Centrum"/>
    <m/>
    <m/>
    <n v="580000"/>
    <n v="290000"/>
    <n v="290000"/>
    <n v="1250"/>
    <n v="1250"/>
    <n v="107990"/>
    <n v="185810"/>
    <n v="849"/>
    <n v="584"/>
    <m/>
    <m/>
    <n v="-77820"/>
    <n v="265"/>
    <n v="-26.487406398910824"/>
    <n v="18.492672714584788"/>
    <n v="50.655172413793103"/>
    <m/>
  </r>
  <r>
    <x v="1"/>
    <s v="Kalvermarkt 32"/>
    <s v="Den Haag"/>
    <n v="2"/>
    <s v="PZH-2007-501830"/>
    <n v="2017"/>
    <s v="Directie vastgoedbeheer"/>
    <s v="81650"/>
    <s v="454980"/>
    <s v="Centrum"/>
    <m/>
    <m/>
    <n v="520000"/>
    <n v="260000"/>
    <n v="260000"/>
    <n v="1150"/>
    <n v="1150"/>
    <n v="41605"/>
    <n v="173714"/>
    <n v="256"/>
    <n v="650"/>
    <m/>
    <m/>
    <n v="-132109"/>
    <n v="-394"/>
    <n v="-61.355012794969319"/>
    <n v="-43.487858719646802"/>
    <n v="41.407500000000006"/>
    <m/>
  </r>
  <r>
    <x v="1"/>
    <s v="Kalvermarkt 32"/>
    <s v="Den Haag"/>
    <n v="2"/>
    <s v="PZH-2007-501830"/>
    <n v="2018"/>
    <s v="Directie vastgoedbeheer"/>
    <s v="81650"/>
    <s v="454980"/>
    <s v="Centrum"/>
    <m/>
    <m/>
    <n v="520000"/>
    <n v="260000"/>
    <n v="260000"/>
    <n v="1150"/>
    <n v="1150"/>
    <n v="143242"/>
    <n v="196776"/>
    <n v="824"/>
    <n v="603"/>
    <m/>
    <m/>
    <n v="-53534"/>
    <n v="221"/>
    <n v="-15.744460587380669"/>
    <n v="15.487035739313246"/>
    <n v="65.388076923076923"/>
    <m/>
  </r>
  <r>
    <x v="1"/>
    <s v="Kalvermarkt 32"/>
    <s v="Den Haag"/>
    <n v="2"/>
    <s v="PZH-2007-501830"/>
    <n v="2019"/>
    <s v="Directie vastgoedbeheer"/>
    <s v="81650"/>
    <s v="454980"/>
    <s v="Centrum"/>
    <m/>
    <m/>
    <n v="520000"/>
    <m/>
    <m/>
    <m/>
    <m/>
    <n v="77843"/>
    <n v="1250"/>
    <n v="435"/>
    <n v="479"/>
    <m/>
    <m/>
    <n v="76593"/>
    <n v="-44"/>
    <n v="96.839164022100562"/>
    <n v="-4.814004376367615"/>
    <n v="15.210192307692308"/>
    <m/>
  </r>
  <r>
    <x v="2"/>
    <s v="Korte Voorhout"/>
    <s v="Den Haag"/>
    <n v="4"/>
    <s v="DGWM2006/11100"/>
    <n v="2017"/>
    <s v="Safire b.v. "/>
    <s v="81660"/>
    <s v="455430"/>
    <s v="Centrum"/>
    <m/>
    <m/>
    <n v="750000"/>
    <n v="375000"/>
    <n v="375000"/>
    <n v="1175"/>
    <n v="1175"/>
    <n v="117501"/>
    <n v="74541"/>
    <n v="1197"/>
    <n v="829"/>
    <m/>
    <m/>
    <n v="42960"/>
    <n v="368"/>
    <n v="22.370106539194552"/>
    <n v="18.163869693978281"/>
    <n v="25.605599999999999"/>
    <m/>
  </r>
  <r>
    <x v="2"/>
    <s v="Korte Voorhout"/>
    <s v="Den Haag"/>
    <n v="4"/>
    <s v="DGWM2006/11100"/>
    <n v="2019"/>
    <s v="Safire b.v. "/>
    <s v="81660"/>
    <s v="455430"/>
    <s v="Centrum"/>
    <m/>
    <m/>
    <n v="750000"/>
    <m/>
    <m/>
    <m/>
    <m/>
    <n v="135438"/>
    <n v="180573"/>
    <n v="1290"/>
    <n v="1669"/>
    <m/>
    <m/>
    <n v="-45135"/>
    <n v="-379"/>
    <n v="-14.282730664438898"/>
    <n v="-12.8083812098682"/>
    <n v="42.134799999999998"/>
    <m/>
  </r>
  <r>
    <x v="3"/>
    <s v="Korte Voorhout 7 / Smidsplein"/>
    <s v="Den Haag"/>
    <n v="5"/>
    <s v="Chpi 22"/>
    <n v="2017"/>
    <s v="BAM techniek BV"/>
    <s v="81638"/>
    <s v="455600"/>
    <m/>
    <m/>
    <m/>
    <n v="300000"/>
    <n v="150000"/>
    <n v="150000"/>
    <n v="514"/>
    <n v="514"/>
    <n v="66710"/>
    <n v="79894"/>
    <n v="414"/>
    <n v="358"/>
    <m/>
    <m/>
    <n v="-13184"/>
    <n v="56"/>
    <n v="-8.9929333442470885"/>
    <n v="7.2538860103626934"/>
    <n v="48.868000000000002"/>
    <m/>
  </r>
  <r>
    <x v="3"/>
    <s v="Korte Voorhout 7 / Smidsplein"/>
    <s v="Den Haag"/>
    <n v="5"/>
    <s v="Chpi 22"/>
    <n v="2018"/>
    <s v="BAM techniek BV"/>
    <s v="81638"/>
    <s v="455600"/>
    <m/>
    <m/>
    <m/>
    <n v="300000"/>
    <n v="150000"/>
    <n v="150000"/>
    <n v="514"/>
    <n v="514"/>
    <n v="56583.6"/>
    <n v="75060.5"/>
    <n v="392.27777777777777"/>
    <n v="400"/>
    <m/>
    <m/>
    <n v="-18476.900000000001"/>
    <n v="-7.7222222222222285"/>
    <n v="-14.035494184699504"/>
    <n v="-0.97468620713834997"/>
    <n v="43.881366666666672"/>
    <m/>
  </r>
  <r>
    <x v="3"/>
    <s v="Korte Voorhout 7 / Smidsplein"/>
    <s v="Den Haag"/>
    <n v="5"/>
    <s v="Chpi 22"/>
    <n v="2019"/>
    <s v="BAM techniek BV"/>
    <s v="81638"/>
    <s v="455600"/>
    <m/>
    <m/>
    <m/>
    <n v="300000"/>
    <n v="150000"/>
    <n v="150000"/>
    <n v="514"/>
    <n v="514"/>
    <n v="338803.25690573826"/>
    <n v="609354.96870093187"/>
    <n v="335.69444444444719"/>
    <n v="369.61107042100986"/>
    <m/>
    <m/>
    <n v="-270551.71179519361"/>
    <n v="-33.916625976562671"/>
    <n v="-28.534447573039156"/>
    <n v="-4.8087850246049122"/>
    <n v="316.05274186889005"/>
    <m/>
  </r>
  <r>
    <x v="4"/>
    <s v="Zwarteweg"/>
    <s v="Den Haag"/>
    <n v="6"/>
    <s v="DWM/120321"/>
    <n v="2017"/>
    <s v="A. van Egmond"/>
    <s v="81800"/>
    <s v="455200"/>
    <m/>
    <m/>
    <m/>
    <n v="1550000"/>
    <m/>
    <m/>
    <m/>
    <m/>
    <n v="420327"/>
    <n v="1470703"/>
    <n v="1111.8421720000001"/>
    <n v="4863.5"/>
    <m/>
    <m/>
    <n v="-1050376"/>
    <n v="-3751.6578279999999"/>
    <n v="-55.545179082299065"/>
    <n v="-62.785656787656166"/>
    <n v="122.00193548387097"/>
    <m/>
  </r>
  <r>
    <x v="5"/>
    <s v="Turfmarkt 147"/>
    <s v="Den Haag"/>
    <n v="7"/>
    <s v="2007-5475400"/>
    <n v="2017"/>
    <s v="Rijksvastgoedbedrijf"/>
    <s v="81965"/>
    <s v="455010"/>
    <s v="Centrum"/>
    <m/>
    <m/>
    <n v="1200000"/>
    <n v="600000"/>
    <n v="600000"/>
    <n v="2800"/>
    <n v="2800"/>
    <n v="135123"/>
    <n v="104894"/>
    <n v="670"/>
    <n v="796"/>
    <m/>
    <m/>
    <n v="30229"/>
    <n v="-126"/>
    <n v="12.594524554510722"/>
    <n v="-8.5948158253751714"/>
    <n v="20.001416666666668"/>
    <m/>
  </r>
  <r>
    <x v="5"/>
    <s v="Turfmarkt 147"/>
    <s v="Den Haag"/>
    <n v="7"/>
    <s v="2007-5475400"/>
    <n v="2018"/>
    <s v="Rijksvastgoedbedrijf"/>
    <s v="81965"/>
    <s v="455010"/>
    <s v="Centrum"/>
    <m/>
    <m/>
    <n v="1200000"/>
    <m/>
    <m/>
    <m/>
    <m/>
    <n v="124714"/>
    <n v="61149"/>
    <n v="369"/>
    <n v="1499"/>
    <m/>
    <m/>
    <n v="63565"/>
    <n v="-1130"/>
    <n v="34.199921447517795"/>
    <n v="-60.492505353319061"/>
    <n v="15.488583333333333"/>
    <s v="koudevraag lijkt me heel erg hoog"/>
  </r>
  <r>
    <x v="5"/>
    <s v="Turfmarkt 147"/>
    <s v="Den Haag"/>
    <n v="7"/>
    <s v="2007-5475400"/>
    <n v="2019"/>
    <s v="Rijksvastgoedbedrijf"/>
    <s v="81965"/>
    <s v="455010"/>
    <s v="Centrum"/>
    <m/>
    <m/>
    <n v="1200000"/>
    <m/>
    <m/>
    <m/>
    <m/>
    <n v="2158"/>
    <n v="190"/>
    <n v="5"/>
    <n v="52"/>
    <m/>
    <m/>
    <n v="1968"/>
    <n v="-47"/>
    <n v="83.816013628620098"/>
    <n v="-82.456140350877192"/>
    <n v="0.19566666666666666"/>
    <m/>
  </r>
  <r>
    <x v="6"/>
    <m/>
    <s v="Den Haag"/>
    <n v="19"/>
    <m/>
    <n v="2018"/>
    <m/>
    <s v="81100"/>
    <s v="455400"/>
    <m/>
    <m/>
    <m/>
    <n v="220000"/>
    <m/>
    <m/>
    <m/>
    <m/>
    <n v="71800"/>
    <n v="82200"/>
    <n v="597.29999999999995"/>
    <n v="482.6"/>
    <m/>
    <m/>
    <n v="-10400"/>
    <n v="114.69999999999993"/>
    <n v="-6.7532467532467528"/>
    <n v="10.621353829058238"/>
    <n v="70"/>
    <m/>
  </r>
  <r>
    <x v="6"/>
    <s v="Kneuterdijk 22"/>
    <s v="Den Haag"/>
    <n v="19"/>
    <s v="DGWM/2005/17628"/>
    <n v="2017"/>
    <s v="Rijksvastgoedbedrijf"/>
    <s v="81100"/>
    <s v="455400"/>
    <m/>
    <m/>
    <m/>
    <n v="220000"/>
    <m/>
    <m/>
    <m/>
    <m/>
    <n v="92000"/>
    <n v="72600"/>
    <n v="873"/>
    <n v="497"/>
    <m/>
    <m/>
    <n v="19400"/>
    <n v="376"/>
    <n v="11.7861482381531"/>
    <n v="27.445255474452559"/>
    <n v="74.818181818181813"/>
    <m/>
  </r>
  <r>
    <x v="7"/>
    <s v="Spui 70"/>
    <s v="Den Haag"/>
    <n v="42"/>
    <s v="DGWM/2005/10594"/>
    <n v="2017"/>
    <s v="M.Masman"/>
    <s v="81425"/>
    <s v="454815"/>
    <s v="?"/>
    <n v="260000"/>
    <n v="260000"/>
    <n v="1560000"/>
    <n v="780000"/>
    <n v="780000"/>
    <m/>
    <m/>
    <n v="67521"/>
    <n v="120831"/>
    <n v="509"/>
    <n v="492"/>
    <m/>
    <m/>
    <n v="-53310"/>
    <n v="17"/>
    <n v="-28.303389398572886"/>
    <n v="1.6983016983016983"/>
    <n v="12.073846153846155"/>
    <m/>
  </r>
  <r>
    <x v="7"/>
    <s v="Spui 70"/>
    <s v="Den Haag"/>
    <n v="42"/>
    <s v="DGWM/2005/10594"/>
    <n v="2018"/>
    <s v="M.Masman"/>
    <s v="81425"/>
    <s v="454815"/>
    <s v="?"/>
    <n v="260000"/>
    <n v="260000"/>
    <n v="1560000"/>
    <n v="780000"/>
    <n v="780000"/>
    <m/>
    <m/>
    <n v="120463"/>
    <n v="162520"/>
    <n v="717.84000000000015"/>
    <n v="838.65"/>
    <m/>
    <m/>
    <n v="-42057"/>
    <n v="-120.80999999999983"/>
    <n v="-14.862023513779979"/>
    <n v="-7.7616945820403478"/>
    <n v="18.139935897435898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 rowHeaderCaption="Gebouw">
  <location ref="A1:M10" firstHeaderRow="0" firstDataRow="1" firstDataCol="1"/>
  <pivotFields count="29">
    <pivotField axis="axisRow" showAll="0">
      <items count="21">
        <item m="1" x="8"/>
        <item m="1" x="14"/>
        <item m="1" x="9"/>
        <item m="1" x="16"/>
        <item m="1" x="15"/>
        <item m="1" x="11"/>
        <item x="5"/>
        <item x="3"/>
        <item x="1"/>
        <item m="1" x="18"/>
        <item x="2"/>
        <item m="1" x="19"/>
        <item m="1" x="12"/>
        <item m="1" x="10"/>
        <item m="1" x="17"/>
        <item x="6"/>
        <item x="4"/>
        <item m="1" x="13"/>
        <item x="7"/>
        <item x="0"/>
        <item t="default"/>
      </items>
    </pivotField>
    <pivotField showAll="0"/>
    <pivotField showAll="0"/>
    <pivotField numFmtId="1" showAll="0"/>
    <pivotField showAll="0"/>
    <pivotField dataField="1" numFmtId="1"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numFmtId="1" showAll="0"/>
    <pivotField dataField="1" numFmtId="1" showAll="0"/>
    <pivotField dataField="1" numFmtId="1" showAll="0"/>
    <pivotField dataField="1" numFmtId="1" showAll="0"/>
    <pivotField showAll="0"/>
    <pivotField showAll="0"/>
    <pivotField numFmtId="1" showAll="0"/>
    <pivotField numFmtId="1" showAll="0"/>
    <pivotField numFmtId="1" showAll="0"/>
    <pivotField numFmtId="1" showAll="0"/>
    <pivotField showAll="0"/>
    <pivotField showAll="0"/>
  </pivotFields>
  <rowFields count="1">
    <field x="0"/>
  </rowFields>
  <rowItems count="9">
    <i>
      <x v="6"/>
    </i>
    <i>
      <x v="7"/>
    </i>
    <i>
      <x v="8"/>
    </i>
    <i>
      <x v="10"/>
    </i>
    <i>
      <x v="15"/>
    </i>
    <i>
      <x v="16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Aantal van Rapportagejaar" fld="5" subtotal="count" baseField="0" baseItem="0"/>
    <dataField name="Max van ont_Q_warmtelevering [ [m3/jaar]" fld="10" subtotal="max" baseField="0" baseItem="0"/>
    <dataField name="Max van ont_Q_koudelevering [ [m3/jaar]" fld="11" subtotal="max" baseField="0" baseItem="0"/>
    <dataField name="Max van verg_Q_tot [m3/jaar]" fld="12" subtotal="max" baseField="0" baseItem="0"/>
    <dataField name="Max van verg_Q_warmtelevering [ [m3/jaar]" fld="13" subtotal="max" baseField="0" baseItem="0"/>
    <dataField name="Max van verg_Q_koudelevering [ [m3/jaar]" fld="14" subtotal="max" baseField="0" baseItem="0"/>
    <dataField name="Max van verg_E_warmtelevering [MWh t]" fld="15" subtotal="max" baseField="0" baseItem="0"/>
    <dataField name="Max van verg_E_koudelevering [MWh t]" fld="16" subtotal="max" baseField="0" baseItem="0"/>
    <dataField name="Gemiddelde van gem_Q_warmtelevering [m3/jaar]" fld="17" subtotal="average" baseField="0" baseItem="0"/>
    <dataField name="Gemiddelde van gem_Q_koudelevering [m3/jaar]" fld="18" subtotal="average" baseField="0" baseItem="0"/>
    <dataField name="Gemiddelde van gem_E_warmtelevering [MWh t] " fld="19" subtotal="average" baseField="0" baseItem="0"/>
    <dataField name="Gemiddelde van gem_E_koudelevering [MWh t}" fld="20" subtotal="average" baseField="0" baseItem="0"/>
  </dataFields>
  <formats count="1">
    <format dxfId="0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9"/>
  <sheetViews>
    <sheetView tabSelected="1" zoomScale="70" zoomScaleNormal="70" workbookViewId="0">
      <pane ySplit="1" topLeftCell="A2" activePane="bottomLeft" state="frozen"/>
      <selection activeCell="C1" sqref="C1"/>
      <selection pane="bottomLeft" activeCell="Q33" sqref="Q33"/>
    </sheetView>
  </sheetViews>
  <sheetFormatPr defaultRowHeight="15" x14ac:dyDescent="0.25"/>
  <cols>
    <col min="1" max="1" width="20.28515625" customWidth="1"/>
    <col min="2" max="2" width="17.85546875" customWidth="1"/>
    <col min="3" max="3" width="17.7109375" customWidth="1"/>
    <col min="4" max="4" width="17.7109375" style="2" customWidth="1"/>
    <col min="6" max="6" width="9.42578125" style="2" bestFit="1" customWidth="1"/>
    <col min="8" max="8" width="8.85546875" style="11" customWidth="1"/>
    <col min="9" max="9" width="9.42578125" style="11" bestFit="1" customWidth="1"/>
    <col min="11" max="12" width="11.42578125" style="2" bestFit="1" customWidth="1"/>
    <col min="13" max="17" width="8.85546875" style="2"/>
    <col min="18" max="18" width="10.7109375" style="2" bestFit="1" customWidth="1"/>
    <col min="19" max="19" width="11.42578125" style="2" bestFit="1" customWidth="1"/>
    <col min="20" max="21" width="9.28515625" style="2" bestFit="1" customWidth="1"/>
    <col min="22" max="23" width="8.85546875" style="7"/>
    <col min="28" max="28" width="8.85546875" style="2"/>
  </cols>
  <sheetData>
    <row r="1" spans="1:29" ht="173.25" x14ac:dyDescent="0.25">
      <c r="A1" t="s">
        <v>7</v>
      </c>
      <c r="B1" s="1" t="s">
        <v>0</v>
      </c>
      <c r="C1" s="1" t="s">
        <v>1</v>
      </c>
      <c r="D1" s="8" t="s">
        <v>97</v>
      </c>
      <c r="E1" s="1" t="s">
        <v>2</v>
      </c>
      <c r="F1" s="8" t="s">
        <v>3</v>
      </c>
      <c r="G1" s="1" t="s">
        <v>4</v>
      </c>
      <c r="H1" s="10" t="s">
        <v>5</v>
      </c>
      <c r="I1" s="10" t="s">
        <v>6</v>
      </c>
      <c r="J1" s="1" t="s">
        <v>8</v>
      </c>
      <c r="K1" s="8" t="s">
        <v>44</v>
      </c>
      <c r="L1" s="8" t="s">
        <v>64</v>
      </c>
      <c r="M1" s="8" t="s">
        <v>34</v>
      </c>
      <c r="N1" s="8" t="s">
        <v>33</v>
      </c>
      <c r="O1" s="8" t="s">
        <v>32</v>
      </c>
      <c r="P1" s="8" t="s">
        <v>45</v>
      </c>
      <c r="Q1" s="8" t="s">
        <v>46</v>
      </c>
      <c r="R1" s="8" t="s">
        <v>28</v>
      </c>
      <c r="S1" s="8" t="s">
        <v>29</v>
      </c>
      <c r="T1" s="8" t="s">
        <v>30</v>
      </c>
      <c r="U1" s="8" t="s">
        <v>31</v>
      </c>
      <c r="V1" s="5" t="s">
        <v>11</v>
      </c>
      <c r="W1" s="5" t="s">
        <v>12</v>
      </c>
      <c r="X1" s="1" t="s">
        <v>13</v>
      </c>
      <c r="Y1" s="1" t="s">
        <v>35</v>
      </c>
      <c r="Z1" s="1" t="s">
        <v>36</v>
      </c>
      <c r="AA1" s="1" t="s">
        <v>37</v>
      </c>
      <c r="AB1" s="8" t="s">
        <v>10</v>
      </c>
      <c r="AC1" s="1" t="s">
        <v>48</v>
      </c>
    </row>
    <row r="2" spans="1:29" s="3" customFormat="1" x14ac:dyDescent="0.25">
      <c r="A2" t="s">
        <v>98</v>
      </c>
      <c r="B2" s="4" t="s">
        <v>54</v>
      </c>
      <c r="C2" s="4" t="s">
        <v>9</v>
      </c>
      <c r="D2" s="9">
        <v>1</v>
      </c>
      <c r="E2" s="4" t="s">
        <v>55</v>
      </c>
      <c r="F2" s="2">
        <v>2018</v>
      </c>
      <c r="G2" s="4" t="s">
        <v>56</v>
      </c>
      <c r="H2" s="13" t="s">
        <v>57</v>
      </c>
      <c r="I2" s="13" t="s">
        <v>58</v>
      </c>
      <c r="J2" s="4" t="s">
        <v>21</v>
      </c>
      <c r="K2" s="2"/>
      <c r="L2" s="2"/>
      <c r="M2" s="14">
        <v>580000</v>
      </c>
      <c r="N2" s="2"/>
      <c r="O2" s="2"/>
      <c r="P2" s="2"/>
      <c r="Q2" s="2"/>
      <c r="R2" s="2">
        <v>298237</v>
      </c>
      <c r="S2" s="2">
        <v>208188</v>
      </c>
      <c r="T2" s="2">
        <v>7331</v>
      </c>
      <c r="U2" s="2">
        <v>3901</v>
      </c>
      <c r="V2" s="7"/>
      <c r="W2" s="7"/>
      <c r="X2" s="2">
        <f t="shared" ref="X2:X19" si="0">R2-S2</f>
        <v>90049</v>
      </c>
      <c r="Y2" s="2">
        <f t="shared" ref="Y2:Y19" si="1">T2-U2</f>
        <v>3430</v>
      </c>
      <c r="Z2" s="2">
        <f t="shared" ref="Z2:Z19" si="2">(R2-S2)/(R2+S2)*100</f>
        <v>17.781310164387619</v>
      </c>
      <c r="AA2" s="2">
        <f t="shared" ref="AA2:AA19" si="3">(T2-U2)/(T2+U2)*100</f>
        <v>30.537749287749289</v>
      </c>
      <c r="AB2" s="9">
        <f t="shared" ref="AB2:AB19" si="4">(R2+S2)/M2*100</f>
        <v>87.314655172413794</v>
      </c>
      <c r="AC2"/>
    </row>
    <row r="3" spans="1:29" s="3" customFormat="1" x14ac:dyDescent="0.25">
      <c r="A3" t="s">
        <v>98</v>
      </c>
      <c r="B3" s="4" t="s">
        <v>54</v>
      </c>
      <c r="C3" s="4" t="s">
        <v>9</v>
      </c>
      <c r="D3" s="9">
        <v>1</v>
      </c>
      <c r="E3" s="4" t="s">
        <v>55</v>
      </c>
      <c r="F3" s="2">
        <v>2017</v>
      </c>
      <c r="G3" s="4" t="s">
        <v>56</v>
      </c>
      <c r="H3" s="13" t="s">
        <v>57</v>
      </c>
      <c r="I3" s="13" t="s">
        <v>58</v>
      </c>
      <c r="J3" s="4" t="s">
        <v>21</v>
      </c>
      <c r="K3" s="2"/>
      <c r="L3" s="2"/>
      <c r="M3" s="2">
        <f>N3+O3</f>
        <v>580000</v>
      </c>
      <c r="N3" s="2">
        <v>290000</v>
      </c>
      <c r="O3" s="2">
        <v>290000</v>
      </c>
      <c r="P3" s="2">
        <v>1250</v>
      </c>
      <c r="Q3" s="2">
        <v>1250</v>
      </c>
      <c r="R3" s="2">
        <v>107990</v>
      </c>
      <c r="S3" s="2">
        <v>185810</v>
      </c>
      <c r="T3" s="2">
        <v>849</v>
      </c>
      <c r="U3" s="2">
        <v>584</v>
      </c>
      <c r="V3" s="7"/>
      <c r="W3" s="7"/>
      <c r="X3" s="2">
        <f t="shared" si="0"/>
        <v>-77820</v>
      </c>
      <c r="Y3" s="2">
        <f t="shared" si="1"/>
        <v>265</v>
      </c>
      <c r="Z3" s="2">
        <f t="shared" si="2"/>
        <v>-26.487406398910824</v>
      </c>
      <c r="AA3" s="2">
        <f t="shared" si="3"/>
        <v>18.492672714584788</v>
      </c>
      <c r="AB3" s="9">
        <f t="shared" si="4"/>
        <v>50.655172413793103</v>
      </c>
      <c r="AC3"/>
    </row>
    <row r="4" spans="1:29" s="3" customFormat="1" x14ac:dyDescent="0.25">
      <c r="A4" s="3" t="s">
        <v>99</v>
      </c>
      <c r="B4" s="4" t="s">
        <v>23</v>
      </c>
      <c r="C4" s="4" t="s">
        <v>9</v>
      </c>
      <c r="D4" s="9">
        <v>2</v>
      </c>
      <c r="E4" s="4" t="s">
        <v>24</v>
      </c>
      <c r="F4" s="2">
        <v>2017</v>
      </c>
      <c r="G4" s="4" t="s">
        <v>25</v>
      </c>
      <c r="H4" s="13" t="s">
        <v>26</v>
      </c>
      <c r="I4" s="13" t="s">
        <v>27</v>
      </c>
      <c r="J4" s="4" t="s">
        <v>21</v>
      </c>
      <c r="K4" s="9"/>
      <c r="L4" s="9"/>
      <c r="M4" s="2">
        <v>520000</v>
      </c>
      <c r="N4" s="2">
        <v>260000</v>
      </c>
      <c r="O4" s="2">
        <v>260000</v>
      </c>
      <c r="P4" s="2">
        <v>1150</v>
      </c>
      <c r="Q4" s="2">
        <v>1150</v>
      </c>
      <c r="R4" s="2">
        <v>41605</v>
      </c>
      <c r="S4" s="2">
        <v>173714</v>
      </c>
      <c r="T4" s="2">
        <v>256</v>
      </c>
      <c r="U4" s="2">
        <v>650</v>
      </c>
      <c r="V4" s="7"/>
      <c r="W4" s="7"/>
      <c r="X4" s="2">
        <f t="shared" si="0"/>
        <v>-132109</v>
      </c>
      <c r="Y4" s="2">
        <f t="shared" si="1"/>
        <v>-394</v>
      </c>
      <c r="Z4" s="2">
        <f t="shared" si="2"/>
        <v>-61.355012794969319</v>
      </c>
      <c r="AA4" s="2">
        <f t="shared" si="3"/>
        <v>-43.487858719646802</v>
      </c>
      <c r="AB4" s="9">
        <f t="shared" si="4"/>
        <v>41.407500000000006</v>
      </c>
      <c r="AC4"/>
    </row>
    <row r="5" spans="1:29" x14ac:dyDescent="0.25">
      <c r="A5" s="3" t="s">
        <v>99</v>
      </c>
      <c r="B5" s="4" t="s">
        <v>23</v>
      </c>
      <c r="C5" s="4" t="s">
        <v>9</v>
      </c>
      <c r="D5" s="9">
        <v>2</v>
      </c>
      <c r="E5" s="4" t="s">
        <v>24</v>
      </c>
      <c r="F5" s="2">
        <v>2018</v>
      </c>
      <c r="G5" s="4" t="s">
        <v>25</v>
      </c>
      <c r="H5" s="13" t="s">
        <v>26</v>
      </c>
      <c r="I5" s="13" t="s">
        <v>27</v>
      </c>
      <c r="J5" s="4" t="s">
        <v>21</v>
      </c>
      <c r="M5" s="2">
        <v>520000</v>
      </c>
      <c r="N5" s="2">
        <v>260000</v>
      </c>
      <c r="O5" s="2">
        <v>260000</v>
      </c>
      <c r="P5" s="2">
        <v>1150</v>
      </c>
      <c r="Q5" s="2">
        <v>1150</v>
      </c>
      <c r="R5" s="2">
        <v>143242</v>
      </c>
      <c r="S5" s="2">
        <v>196776</v>
      </c>
      <c r="T5" s="2">
        <v>824</v>
      </c>
      <c r="U5" s="2">
        <v>603</v>
      </c>
      <c r="X5" s="2">
        <f t="shared" si="0"/>
        <v>-53534</v>
      </c>
      <c r="Y5" s="2">
        <f t="shared" si="1"/>
        <v>221</v>
      </c>
      <c r="Z5" s="2">
        <f t="shared" si="2"/>
        <v>-15.744460587380669</v>
      </c>
      <c r="AA5" s="2">
        <f t="shared" si="3"/>
        <v>15.487035739313246</v>
      </c>
      <c r="AB5" s="9">
        <f t="shared" si="4"/>
        <v>65.388076923076923</v>
      </c>
    </row>
    <row r="6" spans="1:29" x14ac:dyDescent="0.25">
      <c r="A6" s="3" t="s">
        <v>99</v>
      </c>
      <c r="B6" s="4" t="s">
        <v>23</v>
      </c>
      <c r="C6" s="4" t="s">
        <v>9</v>
      </c>
      <c r="D6" s="9">
        <v>2</v>
      </c>
      <c r="E6" s="4" t="s">
        <v>24</v>
      </c>
      <c r="F6" s="2">
        <v>2019</v>
      </c>
      <c r="G6" s="4" t="s">
        <v>25</v>
      </c>
      <c r="H6" s="13" t="s">
        <v>26</v>
      </c>
      <c r="I6" s="13" t="s">
        <v>27</v>
      </c>
      <c r="J6" s="4" t="s">
        <v>21</v>
      </c>
      <c r="M6" s="2">
        <v>520000</v>
      </c>
      <c r="R6" s="2">
        <v>77843</v>
      </c>
      <c r="S6" s="2">
        <v>1250</v>
      </c>
      <c r="T6" s="2">
        <v>435</v>
      </c>
      <c r="U6" s="2">
        <v>479</v>
      </c>
      <c r="X6" s="2">
        <f t="shared" si="0"/>
        <v>76593</v>
      </c>
      <c r="Y6" s="2">
        <f t="shared" si="1"/>
        <v>-44</v>
      </c>
      <c r="Z6" s="2">
        <f t="shared" si="2"/>
        <v>96.839164022100562</v>
      </c>
      <c r="AA6" s="2">
        <f t="shared" si="3"/>
        <v>-4.814004376367615</v>
      </c>
      <c r="AB6" s="9">
        <f t="shared" si="4"/>
        <v>15.210192307692308</v>
      </c>
    </row>
    <row r="7" spans="1:29" x14ac:dyDescent="0.25">
      <c r="A7" t="s">
        <v>100</v>
      </c>
      <c r="B7" s="4" t="s">
        <v>41</v>
      </c>
      <c r="C7" s="4" t="s">
        <v>9</v>
      </c>
      <c r="D7" s="9">
        <v>4</v>
      </c>
      <c r="E7" s="4" t="s">
        <v>42</v>
      </c>
      <c r="F7" s="2">
        <v>2017</v>
      </c>
      <c r="G7" s="4" t="s">
        <v>43</v>
      </c>
      <c r="H7" s="13" t="s">
        <v>39</v>
      </c>
      <c r="I7" s="13" t="s">
        <v>40</v>
      </c>
      <c r="J7" s="4" t="s">
        <v>21</v>
      </c>
      <c r="K7" s="9"/>
      <c r="L7" s="9"/>
      <c r="M7" s="2">
        <f>N7+O7</f>
        <v>750000</v>
      </c>
      <c r="N7" s="2">
        <v>375000</v>
      </c>
      <c r="O7" s="2">
        <v>375000</v>
      </c>
      <c r="P7" s="2">
        <v>1175</v>
      </c>
      <c r="Q7" s="2">
        <v>1175</v>
      </c>
      <c r="R7" s="2">
        <v>117501</v>
      </c>
      <c r="S7" s="2">
        <v>74541</v>
      </c>
      <c r="T7" s="2">
        <v>1197</v>
      </c>
      <c r="U7" s="2">
        <v>829</v>
      </c>
      <c r="X7" s="2">
        <f t="shared" si="0"/>
        <v>42960</v>
      </c>
      <c r="Y7" s="2">
        <f t="shared" si="1"/>
        <v>368</v>
      </c>
      <c r="Z7" s="2">
        <f t="shared" si="2"/>
        <v>22.370106539194552</v>
      </c>
      <c r="AA7" s="2">
        <f t="shared" si="3"/>
        <v>18.163869693978281</v>
      </c>
      <c r="AB7" s="9">
        <f t="shared" si="4"/>
        <v>25.605599999999999</v>
      </c>
    </row>
    <row r="8" spans="1:29" x14ac:dyDescent="0.25">
      <c r="A8" t="s">
        <v>100</v>
      </c>
      <c r="B8" s="4" t="s">
        <v>41</v>
      </c>
      <c r="C8" s="4" t="s">
        <v>9</v>
      </c>
      <c r="D8" s="9">
        <v>4</v>
      </c>
      <c r="E8" s="4" t="s">
        <v>42</v>
      </c>
      <c r="F8" s="2">
        <v>2019</v>
      </c>
      <c r="G8" s="4" t="s">
        <v>43</v>
      </c>
      <c r="H8" s="13" t="s">
        <v>39</v>
      </c>
      <c r="I8" s="13" t="s">
        <v>40</v>
      </c>
      <c r="J8" s="4" t="s">
        <v>21</v>
      </c>
      <c r="M8" s="14">
        <v>750000</v>
      </c>
      <c r="R8" s="2">
        <v>135438</v>
      </c>
      <c r="S8" s="2">
        <v>180573</v>
      </c>
      <c r="T8" s="2">
        <v>1290</v>
      </c>
      <c r="U8" s="2">
        <v>1669</v>
      </c>
      <c r="X8" s="2">
        <f t="shared" si="0"/>
        <v>-45135</v>
      </c>
      <c r="Y8" s="2">
        <f t="shared" si="1"/>
        <v>-379</v>
      </c>
      <c r="Z8" s="2">
        <f t="shared" si="2"/>
        <v>-14.282730664438898</v>
      </c>
      <c r="AA8" s="2">
        <f t="shared" si="3"/>
        <v>-12.8083812098682</v>
      </c>
      <c r="AB8" s="9">
        <f t="shared" si="4"/>
        <v>42.134799999999998</v>
      </c>
    </row>
    <row r="9" spans="1:29" x14ac:dyDescent="0.25">
      <c r="A9" t="s">
        <v>101</v>
      </c>
      <c r="B9" s="4" t="s">
        <v>66</v>
      </c>
      <c r="C9" s="4" t="s">
        <v>9</v>
      </c>
      <c r="D9" s="9">
        <v>5</v>
      </c>
      <c r="E9" s="4" t="s">
        <v>67</v>
      </c>
      <c r="F9" s="2">
        <v>2017</v>
      </c>
      <c r="G9" s="4" t="s">
        <v>68</v>
      </c>
      <c r="H9" s="13" t="s">
        <v>69</v>
      </c>
      <c r="I9" s="13" t="s">
        <v>47</v>
      </c>
      <c r="M9" s="2">
        <f>N9+O9</f>
        <v>300000</v>
      </c>
      <c r="N9" s="2">
        <v>150000</v>
      </c>
      <c r="O9" s="2">
        <v>150000</v>
      </c>
      <c r="P9" s="2">
        <v>514</v>
      </c>
      <c r="Q9" s="2">
        <v>514</v>
      </c>
      <c r="R9" s="2">
        <v>66710</v>
      </c>
      <c r="S9" s="2">
        <v>79894</v>
      </c>
      <c r="T9" s="2">
        <v>414</v>
      </c>
      <c r="U9" s="2">
        <v>358</v>
      </c>
      <c r="X9" s="2">
        <f t="shared" si="0"/>
        <v>-13184</v>
      </c>
      <c r="Y9" s="2">
        <f t="shared" si="1"/>
        <v>56</v>
      </c>
      <c r="Z9" s="2">
        <f t="shared" si="2"/>
        <v>-8.9929333442470885</v>
      </c>
      <c r="AA9" s="2">
        <f t="shared" si="3"/>
        <v>7.2538860103626934</v>
      </c>
      <c r="AB9" s="9">
        <f t="shared" si="4"/>
        <v>48.868000000000002</v>
      </c>
    </row>
    <row r="10" spans="1:29" x14ac:dyDescent="0.25">
      <c r="A10" t="s">
        <v>101</v>
      </c>
      <c r="B10" s="4" t="s">
        <v>66</v>
      </c>
      <c r="C10" s="4" t="s">
        <v>9</v>
      </c>
      <c r="D10" s="9">
        <v>5</v>
      </c>
      <c r="E10" s="4" t="s">
        <v>67</v>
      </c>
      <c r="F10" s="2">
        <v>2018</v>
      </c>
      <c r="G10" s="4" t="s">
        <v>68</v>
      </c>
      <c r="H10" s="13" t="s">
        <v>69</v>
      </c>
      <c r="I10" s="13" t="s">
        <v>47</v>
      </c>
      <c r="M10" s="2">
        <f>N10+O10</f>
        <v>300000</v>
      </c>
      <c r="N10" s="2">
        <v>150000</v>
      </c>
      <c r="O10" s="2">
        <v>150000</v>
      </c>
      <c r="P10" s="2">
        <v>514</v>
      </c>
      <c r="Q10" s="2">
        <v>514</v>
      </c>
      <c r="R10" s="2">
        <v>56583.6</v>
      </c>
      <c r="S10" s="2">
        <v>75060.5</v>
      </c>
      <c r="T10" s="2">
        <v>392.27777777777777</v>
      </c>
      <c r="U10" s="2">
        <v>400</v>
      </c>
      <c r="X10" s="2">
        <f t="shared" si="0"/>
        <v>-18476.900000000001</v>
      </c>
      <c r="Y10" s="2">
        <f t="shared" si="1"/>
        <v>-7.7222222222222285</v>
      </c>
      <c r="Z10" s="2">
        <f t="shared" si="2"/>
        <v>-14.035494184699504</v>
      </c>
      <c r="AA10" s="2">
        <f t="shared" si="3"/>
        <v>-0.97468620713834997</v>
      </c>
      <c r="AB10" s="9">
        <f t="shared" si="4"/>
        <v>43.881366666666672</v>
      </c>
    </row>
    <row r="11" spans="1:29" x14ac:dyDescent="0.25">
      <c r="A11" t="s">
        <v>101</v>
      </c>
      <c r="B11" s="4" t="s">
        <v>66</v>
      </c>
      <c r="C11" s="4" t="s">
        <v>9</v>
      </c>
      <c r="D11" s="9">
        <v>5</v>
      </c>
      <c r="E11" s="4" t="s">
        <v>67</v>
      </c>
      <c r="F11" s="2">
        <v>2019</v>
      </c>
      <c r="G11" s="4" t="s">
        <v>68</v>
      </c>
      <c r="H11" s="13" t="s">
        <v>69</v>
      </c>
      <c r="I11" s="13" t="s">
        <v>47</v>
      </c>
      <c r="M11" s="2">
        <f>N11+O11</f>
        <v>300000</v>
      </c>
      <c r="N11" s="2">
        <v>150000</v>
      </c>
      <c r="O11" s="2">
        <v>150000</v>
      </c>
      <c r="P11" s="2">
        <v>514</v>
      </c>
      <c r="Q11" s="2">
        <v>514</v>
      </c>
      <c r="R11" s="2">
        <v>338803.25690573826</v>
      </c>
      <c r="S11" s="2">
        <v>609354.96870093187</v>
      </c>
      <c r="T11" s="2">
        <v>335.69444444444719</v>
      </c>
      <c r="U11" s="2">
        <v>369.61107042100986</v>
      </c>
      <c r="X11" s="2">
        <f t="shared" si="0"/>
        <v>-270551.71179519361</v>
      </c>
      <c r="Y11" s="2">
        <f t="shared" si="1"/>
        <v>-33.916625976562671</v>
      </c>
      <c r="Z11" s="2">
        <f t="shared" si="2"/>
        <v>-28.534447573039156</v>
      </c>
      <c r="AA11" s="2">
        <f t="shared" si="3"/>
        <v>-4.8087850246049122</v>
      </c>
      <c r="AB11" s="9">
        <f t="shared" si="4"/>
        <v>316.05274186889005</v>
      </c>
    </row>
    <row r="12" spans="1:29" x14ac:dyDescent="0.25">
      <c r="A12" t="s">
        <v>102</v>
      </c>
      <c r="B12" s="4" t="s">
        <v>73</v>
      </c>
      <c r="C12" s="4" t="s">
        <v>9</v>
      </c>
      <c r="D12" s="9">
        <v>6</v>
      </c>
      <c r="E12" s="4" t="s">
        <v>74</v>
      </c>
      <c r="F12" s="2">
        <v>2017</v>
      </c>
      <c r="G12" t="s">
        <v>75</v>
      </c>
      <c r="H12" s="13" t="s">
        <v>57</v>
      </c>
      <c r="I12" s="13" t="s">
        <v>76</v>
      </c>
      <c r="J12" t="s">
        <v>21</v>
      </c>
      <c r="M12" s="14">
        <v>1550000</v>
      </c>
      <c r="R12" s="2">
        <v>420327</v>
      </c>
      <c r="S12" s="2">
        <v>1470703</v>
      </c>
      <c r="T12" s="2">
        <v>1111.8421720000001</v>
      </c>
      <c r="U12" s="2">
        <v>4863.5</v>
      </c>
      <c r="X12" s="2">
        <f t="shared" si="0"/>
        <v>-1050376</v>
      </c>
      <c r="Y12" s="2">
        <f t="shared" si="1"/>
        <v>-3751.6578279999999</v>
      </c>
      <c r="Z12" s="2">
        <f t="shared" si="2"/>
        <v>-55.545179082299065</v>
      </c>
      <c r="AA12" s="2">
        <f t="shared" si="3"/>
        <v>-62.785656787656166</v>
      </c>
      <c r="AB12" s="9">
        <f t="shared" si="4"/>
        <v>122.00193548387097</v>
      </c>
    </row>
    <row r="13" spans="1:29" x14ac:dyDescent="0.25">
      <c r="A13" s="3" t="s">
        <v>103</v>
      </c>
      <c r="B13" s="4" t="s">
        <v>16</v>
      </c>
      <c r="C13" s="4" t="s">
        <v>9</v>
      </c>
      <c r="D13" s="9">
        <v>7</v>
      </c>
      <c r="E13" s="4" t="s">
        <v>17</v>
      </c>
      <c r="F13" s="9">
        <v>2017</v>
      </c>
      <c r="G13" s="4" t="s">
        <v>18</v>
      </c>
      <c r="H13" s="12" t="s">
        <v>19</v>
      </c>
      <c r="I13" s="12" t="s">
        <v>20</v>
      </c>
      <c r="J13" s="4" t="s">
        <v>21</v>
      </c>
      <c r="K13" s="9"/>
      <c r="L13" s="9"/>
      <c r="M13" s="3">
        <v>1200000</v>
      </c>
      <c r="N13" s="9">
        <v>600000</v>
      </c>
      <c r="O13" s="9">
        <v>600000</v>
      </c>
      <c r="P13" s="9">
        <v>2800</v>
      </c>
      <c r="Q13" s="9">
        <v>2800</v>
      </c>
      <c r="R13" s="9">
        <v>135123</v>
      </c>
      <c r="S13" s="9">
        <v>104894</v>
      </c>
      <c r="T13" s="9">
        <v>670</v>
      </c>
      <c r="U13" s="9">
        <v>796</v>
      </c>
      <c r="V13" s="6"/>
      <c r="W13" s="6"/>
      <c r="X13" s="2">
        <f t="shared" si="0"/>
        <v>30229</v>
      </c>
      <c r="Y13" s="2">
        <f t="shared" si="1"/>
        <v>-126</v>
      </c>
      <c r="Z13" s="2">
        <f t="shared" si="2"/>
        <v>12.594524554510722</v>
      </c>
      <c r="AA13" s="2">
        <f t="shared" si="3"/>
        <v>-8.5948158253751714</v>
      </c>
      <c r="AB13" s="9">
        <f t="shared" si="4"/>
        <v>20.001416666666668</v>
      </c>
      <c r="AC13" s="3"/>
    </row>
    <row r="14" spans="1:29" x14ac:dyDescent="0.25">
      <c r="A14" s="3" t="s">
        <v>103</v>
      </c>
      <c r="B14" s="4" t="s">
        <v>16</v>
      </c>
      <c r="C14" s="4" t="s">
        <v>9</v>
      </c>
      <c r="D14" s="9">
        <v>7</v>
      </c>
      <c r="E14" s="4" t="s">
        <v>17</v>
      </c>
      <c r="F14" s="9">
        <v>2018</v>
      </c>
      <c r="G14" s="4" t="s">
        <v>18</v>
      </c>
      <c r="H14" s="12" t="s">
        <v>19</v>
      </c>
      <c r="I14" s="12" t="s">
        <v>20</v>
      </c>
      <c r="J14" s="4" t="s">
        <v>21</v>
      </c>
      <c r="M14" s="14">
        <v>1200000</v>
      </c>
      <c r="R14" s="2">
        <v>124714</v>
      </c>
      <c r="S14" s="2">
        <v>61149</v>
      </c>
      <c r="T14" s="2">
        <v>369</v>
      </c>
      <c r="U14" s="2">
        <v>1499</v>
      </c>
      <c r="X14" s="2">
        <f t="shared" si="0"/>
        <v>63565</v>
      </c>
      <c r="Y14" s="2">
        <f t="shared" si="1"/>
        <v>-1130</v>
      </c>
      <c r="Z14" s="2">
        <f t="shared" si="2"/>
        <v>34.199921447517795</v>
      </c>
      <c r="AA14" s="2">
        <f t="shared" si="3"/>
        <v>-60.492505353319061</v>
      </c>
      <c r="AB14" s="9">
        <f t="shared" si="4"/>
        <v>15.488583333333333</v>
      </c>
      <c r="AC14" t="s">
        <v>49</v>
      </c>
    </row>
    <row r="15" spans="1:29" x14ac:dyDescent="0.25">
      <c r="A15" s="3" t="s">
        <v>103</v>
      </c>
      <c r="B15" s="4" t="s">
        <v>16</v>
      </c>
      <c r="C15" s="4" t="s">
        <v>9</v>
      </c>
      <c r="D15" s="9">
        <v>7</v>
      </c>
      <c r="E15" s="4" t="s">
        <v>17</v>
      </c>
      <c r="F15" s="9">
        <v>2019</v>
      </c>
      <c r="G15" s="4" t="s">
        <v>18</v>
      </c>
      <c r="H15" s="12" t="s">
        <v>19</v>
      </c>
      <c r="I15" s="12" t="s">
        <v>20</v>
      </c>
      <c r="J15" s="4" t="s">
        <v>21</v>
      </c>
      <c r="M15" s="14">
        <v>1200000</v>
      </c>
      <c r="R15" s="2">
        <v>2158</v>
      </c>
      <c r="S15" s="2">
        <v>190</v>
      </c>
      <c r="T15" s="2">
        <v>5</v>
      </c>
      <c r="U15" s="2">
        <v>52</v>
      </c>
      <c r="X15" s="2">
        <f t="shared" si="0"/>
        <v>1968</v>
      </c>
      <c r="Y15" s="2">
        <f t="shared" si="1"/>
        <v>-47</v>
      </c>
      <c r="Z15" s="2">
        <f t="shared" si="2"/>
        <v>83.816013628620098</v>
      </c>
      <c r="AA15" s="2">
        <f t="shared" si="3"/>
        <v>-82.456140350877192</v>
      </c>
      <c r="AB15" s="9">
        <f t="shared" si="4"/>
        <v>0.19566666666666666</v>
      </c>
    </row>
    <row r="16" spans="1:29" x14ac:dyDescent="0.25">
      <c r="A16" t="s">
        <v>50</v>
      </c>
      <c r="B16" s="4" t="s">
        <v>70</v>
      </c>
      <c r="C16" s="4" t="s">
        <v>9</v>
      </c>
      <c r="D16" s="9">
        <v>19</v>
      </c>
      <c r="F16" s="2">
        <v>2018</v>
      </c>
      <c r="H16" s="13" t="s">
        <v>51</v>
      </c>
      <c r="I16" s="13" t="s">
        <v>52</v>
      </c>
      <c r="M16" s="22">
        <v>220000</v>
      </c>
      <c r="R16" s="2">
        <v>71800</v>
      </c>
      <c r="S16" s="2">
        <v>82200</v>
      </c>
      <c r="T16" s="2">
        <v>597.29999999999995</v>
      </c>
      <c r="U16" s="2">
        <v>482.6</v>
      </c>
      <c r="X16" s="2">
        <f t="shared" si="0"/>
        <v>-10400</v>
      </c>
      <c r="Y16" s="2">
        <f t="shared" si="1"/>
        <v>114.69999999999993</v>
      </c>
      <c r="Z16" s="2">
        <f t="shared" si="2"/>
        <v>-6.7532467532467528</v>
      </c>
      <c r="AA16" s="2">
        <f t="shared" si="3"/>
        <v>10.621353829058238</v>
      </c>
      <c r="AB16" s="9">
        <f t="shared" si="4"/>
        <v>70</v>
      </c>
    </row>
    <row r="17" spans="1:28" x14ac:dyDescent="0.25">
      <c r="A17" t="s">
        <v>50</v>
      </c>
      <c r="B17" s="4" t="s">
        <v>70</v>
      </c>
      <c r="C17" t="s">
        <v>9</v>
      </c>
      <c r="D17" s="9">
        <v>19</v>
      </c>
      <c r="E17" s="4" t="s">
        <v>71</v>
      </c>
      <c r="F17" s="2">
        <v>2017</v>
      </c>
      <c r="G17" s="4" t="s">
        <v>18</v>
      </c>
      <c r="H17" s="13" t="s">
        <v>51</v>
      </c>
      <c r="I17" s="13" t="s">
        <v>52</v>
      </c>
      <c r="M17" s="22">
        <v>220000</v>
      </c>
      <c r="R17" s="2">
        <v>92000</v>
      </c>
      <c r="S17" s="2">
        <v>72600</v>
      </c>
      <c r="T17" s="2">
        <v>873</v>
      </c>
      <c r="U17" s="2">
        <v>497</v>
      </c>
      <c r="X17" s="2">
        <f t="shared" si="0"/>
        <v>19400</v>
      </c>
      <c r="Y17" s="2">
        <f t="shared" si="1"/>
        <v>376</v>
      </c>
      <c r="Z17" s="2">
        <f t="shared" si="2"/>
        <v>11.7861482381531</v>
      </c>
      <c r="AA17" s="2">
        <f t="shared" si="3"/>
        <v>27.445255474452559</v>
      </c>
      <c r="AB17" s="9">
        <f t="shared" si="4"/>
        <v>74.818181818181813</v>
      </c>
    </row>
    <row r="18" spans="1:28" x14ac:dyDescent="0.25">
      <c r="A18" t="s">
        <v>104</v>
      </c>
      <c r="B18" s="4" t="s">
        <v>54</v>
      </c>
      <c r="C18" s="4" t="s">
        <v>9</v>
      </c>
      <c r="D18" s="9">
        <v>42</v>
      </c>
      <c r="E18" s="4" t="s">
        <v>60</v>
      </c>
      <c r="F18" s="2">
        <v>2017</v>
      </c>
      <c r="G18" s="4" t="s">
        <v>61</v>
      </c>
      <c r="H18" s="13" t="s">
        <v>62</v>
      </c>
      <c r="I18" s="13" t="s">
        <v>63</v>
      </c>
      <c r="J18" s="4" t="s">
        <v>14</v>
      </c>
      <c r="K18" s="2">
        <v>260000</v>
      </c>
      <c r="L18" s="2">
        <v>260000</v>
      </c>
      <c r="M18" s="2">
        <f>N18+O18</f>
        <v>1560000</v>
      </c>
      <c r="N18" s="2">
        <v>780000</v>
      </c>
      <c r="O18" s="2">
        <v>780000</v>
      </c>
      <c r="R18" s="2">
        <v>67521</v>
      </c>
      <c r="S18" s="2">
        <v>120831</v>
      </c>
      <c r="T18" s="2">
        <v>509</v>
      </c>
      <c r="U18" s="2">
        <v>492</v>
      </c>
      <c r="X18" s="2">
        <f t="shared" si="0"/>
        <v>-53310</v>
      </c>
      <c r="Y18" s="2">
        <f t="shared" si="1"/>
        <v>17</v>
      </c>
      <c r="Z18" s="2">
        <f t="shared" si="2"/>
        <v>-28.303389398572886</v>
      </c>
      <c r="AA18" s="2">
        <f t="shared" si="3"/>
        <v>1.6983016983016983</v>
      </c>
      <c r="AB18" s="9">
        <f t="shared" si="4"/>
        <v>12.073846153846155</v>
      </c>
    </row>
    <row r="19" spans="1:28" x14ac:dyDescent="0.25">
      <c r="A19" t="s">
        <v>105</v>
      </c>
      <c r="B19" s="4" t="s">
        <v>54</v>
      </c>
      <c r="C19" s="4" t="s">
        <v>9</v>
      </c>
      <c r="D19" s="9">
        <v>42</v>
      </c>
      <c r="E19" s="4" t="s">
        <v>60</v>
      </c>
      <c r="F19" s="2">
        <v>2018</v>
      </c>
      <c r="G19" s="4" t="s">
        <v>61</v>
      </c>
      <c r="H19" s="13" t="s">
        <v>62</v>
      </c>
      <c r="I19" s="13" t="s">
        <v>63</v>
      </c>
      <c r="J19" s="4" t="s">
        <v>14</v>
      </c>
      <c r="K19" s="2">
        <v>260000</v>
      </c>
      <c r="L19" s="2">
        <v>260000</v>
      </c>
      <c r="M19" s="2">
        <f>N19+O19</f>
        <v>1560000</v>
      </c>
      <c r="N19" s="2">
        <v>780000</v>
      </c>
      <c r="O19" s="2">
        <v>780000</v>
      </c>
      <c r="R19" s="2">
        <v>120463</v>
      </c>
      <c r="S19" s="2">
        <v>162520</v>
      </c>
      <c r="T19" s="2">
        <v>717.84000000000015</v>
      </c>
      <c r="U19" s="2">
        <v>838.65</v>
      </c>
      <c r="X19" s="2">
        <f t="shared" si="0"/>
        <v>-42057</v>
      </c>
      <c r="Y19" s="2">
        <f t="shared" si="1"/>
        <v>-120.80999999999983</v>
      </c>
      <c r="Z19" s="2">
        <f t="shared" si="2"/>
        <v>-14.862023513779979</v>
      </c>
      <c r="AA19" s="2">
        <f t="shared" si="3"/>
        <v>-7.7616945820403478</v>
      </c>
      <c r="AB19" s="9">
        <f t="shared" si="4"/>
        <v>18.139935897435898</v>
      </c>
    </row>
  </sheetData>
  <autoFilter ref="A1:AC19" xr:uid="{00000000-0009-0000-0000-000000000000}">
    <sortState xmlns:xlrd2="http://schemas.microsoft.com/office/spreadsheetml/2017/richdata2" ref="A2:AC19">
      <sortCondition ref="D1:D19"/>
    </sortState>
  </autoFilter>
  <phoneticPr fontId="1" type="noConversion"/>
  <pageMargins left="0.7" right="0.7" top="0.75" bottom="0.75" header="0.3" footer="0.3"/>
  <pageSetup paperSize="8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"/>
  <sheetViews>
    <sheetView workbookViewId="0">
      <selection activeCell="C7" sqref="C7"/>
    </sheetView>
  </sheetViews>
  <sheetFormatPr defaultRowHeight="15" x14ac:dyDescent="0.25"/>
  <cols>
    <col min="1" max="1" width="20.7109375" bestFit="1" customWidth="1"/>
    <col min="2" max="2" width="23.7109375" bestFit="1" customWidth="1"/>
    <col min="3" max="3" width="38.42578125" bestFit="1" customWidth="1"/>
    <col min="4" max="4" width="37.28515625" bestFit="1" customWidth="1"/>
    <col min="5" max="5" width="27.140625" bestFit="1" customWidth="1"/>
    <col min="6" max="6" width="39.28515625" bestFit="1" customWidth="1"/>
    <col min="7" max="7" width="38.140625" bestFit="1" customWidth="1"/>
    <col min="8" max="8" width="36.7109375" bestFit="1" customWidth="1"/>
    <col min="9" max="9" width="35.5703125" bestFit="1" customWidth="1"/>
    <col min="10" max="10" width="44.7109375" bestFit="1" customWidth="1"/>
    <col min="11" max="11" width="43.5703125" bestFit="1" customWidth="1"/>
    <col min="12" max="12" width="43.7109375" bestFit="1" customWidth="1"/>
    <col min="13" max="13" width="42.28515625" bestFit="1" customWidth="1"/>
    <col min="14" max="14" width="35.7109375" bestFit="1" customWidth="1"/>
    <col min="15" max="15" width="25.85546875" bestFit="1" customWidth="1"/>
    <col min="16" max="19" width="19" bestFit="1" customWidth="1"/>
  </cols>
  <sheetData>
    <row r="1" spans="1:13" x14ac:dyDescent="0.25">
      <c r="A1" s="15" t="s">
        <v>7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  <c r="M1" t="s">
        <v>89</v>
      </c>
    </row>
    <row r="2" spans="1:13" x14ac:dyDescent="0.25">
      <c r="A2" s="16" t="s">
        <v>15</v>
      </c>
      <c r="B2" s="2">
        <v>3</v>
      </c>
      <c r="C2" s="2"/>
      <c r="D2" s="2"/>
      <c r="E2" s="2">
        <v>1200000</v>
      </c>
      <c r="F2" s="2">
        <v>600000</v>
      </c>
      <c r="G2" s="2">
        <v>600000</v>
      </c>
      <c r="H2" s="2">
        <v>2800</v>
      </c>
      <c r="I2" s="2">
        <v>2800</v>
      </c>
      <c r="J2" s="2">
        <v>87331.666666666672</v>
      </c>
      <c r="K2" s="2">
        <v>55411</v>
      </c>
      <c r="L2" s="2">
        <v>348</v>
      </c>
      <c r="M2" s="2">
        <v>782.33333333333337</v>
      </c>
    </row>
    <row r="3" spans="1:13" x14ac:dyDescent="0.25">
      <c r="A3" s="16" t="s">
        <v>65</v>
      </c>
      <c r="B3" s="2">
        <v>3</v>
      </c>
      <c r="C3" s="2"/>
      <c r="D3" s="2"/>
      <c r="E3" s="2">
        <v>300000</v>
      </c>
      <c r="F3" s="2">
        <v>150000</v>
      </c>
      <c r="G3" s="2">
        <v>150000</v>
      </c>
      <c r="H3" s="2">
        <v>514</v>
      </c>
      <c r="I3" s="2">
        <v>514</v>
      </c>
      <c r="J3" s="2">
        <v>154032.28563524608</v>
      </c>
      <c r="K3" s="2">
        <v>254769.82290031062</v>
      </c>
      <c r="L3" s="2">
        <v>380.6574074074083</v>
      </c>
      <c r="M3" s="2">
        <v>375.87035680700325</v>
      </c>
    </row>
    <row r="4" spans="1:13" x14ac:dyDescent="0.25">
      <c r="A4" s="16" t="s">
        <v>22</v>
      </c>
      <c r="B4" s="2">
        <v>3</v>
      </c>
      <c r="C4" s="2"/>
      <c r="D4" s="2"/>
      <c r="E4" s="2">
        <v>520000</v>
      </c>
      <c r="F4" s="2">
        <v>260000</v>
      </c>
      <c r="G4" s="2">
        <v>260000</v>
      </c>
      <c r="H4" s="2">
        <v>1150</v>
      </c>
      <c r="I4" s="2">
        <v>1150</v>
      </c>
      <c r="J4" s="2">
        <v>87563.333333333328</v>
      </c>
      <c r="K4" s="2">
        <v>123913.33333333333</v>
      </c>
      <c r="L4" s="2">
        <v>505</v>
      </c>
      <c r="M4" s="2">
        <v>577.33333333333337</v>
      </c>
    </row>
    <row r="5" spans="1:13" x14ac:dyDescent="0.25">
      <c r="A5" s="16" t="s">
        <v>38</v>
      </c>
      <c r="B5" s="2">
        <v>2</v>
      </c>
      <c r="C5" s="2"/>
      <c r="D5" s="2"/>
      <c r="E5" s="2">
        <v>750000</v>
      </c>
      <c r="F5" s="2">
        <v>375000</v>
      </c>
      <c r="G5" s="2">
        <v>375000</v>
      </c>
      <c r="H5" s="2">
        <v>1175</v>
      </c>
      <c r="I5" s="2">
        <v>1175</v>
      </c>
      <c r="J5" s="2">
        <v>126469.5</v>
      </c>
      <c r="K5" s="2">
        <v>127557</v>
      </c>
      <c r="L5" s="2">
        <v>1243.5</v>
      </c>
      <c r="M5" s="2">
        <v>1249</v>
      </c>
    </row>
    <row r="6" spans="1:13" x14ac:dyDescent="0.25">
      <c r="A6" s="16" t="s">
        <v>50</v>
      </c>
      <c r="B6" s="2">
        <v>2</v>
      </c>
      <c r="C6" s="2"/>
      <c r="D6" s="2"/>
      <c r="E6" s="2">
        <v>220000</v>
      </c>
      <c r="F6" s="2"/>
      <c r="G6" s="2"/>
      <c r="H6" s="2"/>
      <c r="I6" s="2"/>
      <c r="J6" s="2">
        <v>81900</v>
      </c>
      <c r="K6" s="2">
        <v>77400</v>
      </c>
      <c r="L6" s="2">
        <v>735.15</v>
      </c>
      <c r="M6" s="2">
        <v>489.8</v>
      </c>
    </row>
    <row r="7" spans="1:13" x14ac:dyDescent="0.25">
      <c r="A7" s="16" t="s">
        <v>72</v>
      </c>
      <c r="B7" s="2">
        <v>1</v>
      </c>
      <c r="C7" s="2"/>
      <c r="D7" s="2"/>
      <c r="E7" s="2">
        <v>1550000</v>
      </c>
      <c r="F7" s="2"/>
      <c r="G7" s="2"/>
      <c r="H7" s="2"/>
      <c r="I7" s="2"/>
      <c r="J7" s="2">
        <v>420327</v>
      </c>
      <c r="K7" s="2">
        <v>1470703</v>
      </c>
      <c r="L7" s="2">
        <v>1111.8421720000001</v>
      </c>
      <c r="M7" s="2">
        <v>4863.5</v>
      </c>
    </row>
    <row r="8" spans="1:13" x14ac:dyDescent="0.25">
      <c r="A8" s="16" t="s">
        <v>59</v>
      </c>
      <c r="B8" s="2">
        <v>2</v>
      </c>
      <c r="C8" s="2">
        <v>260000</v>
      </c>
      <c r="D8" s="2">
        <v>260000</v>
      </c>
      <c r="E8" s="2">
        <v>1560000</v>
      </c>
      <c r="F8" s="2">
        <v>780000</v>
      </c>
      <c r="G8" s="2">
        <v>780000</v>
      </c>
      <c r="H8" s="2"/>
      <c r="I8" s="2"/>
      <c r="J8" s="2">
        <v>93992</v>
      </c>
      <c r="K8" s="2">
        <v>141675.5</v>
      </c>
      <c r="L8" s="2">
        <v>613.42000000000007</v>
      </c>
      <c r="M8" s="2">
        <v>665.32500000000005</v>
      </c>
    </row>
    <row r="9" spans="1:13" x14ac:dyDescent="0.25">
      <c r="A9" s="16" t="s">
        <v>53</v>
      </c>
      <c r="B9" s="2">
        <v>2</v>
      </c>
      <c r="C9" s="2"/>
      <c r="D9" s="2"/>
      <c r="E9" s="2">
        <v>580000</v>
      </c>
      <c r="F9" s="2">
        <v>290000</v>
      </c>
      <c r="G9" s="2">
        <v>290000</v>
      </c>
      <c r="H9" s="2">
        <v>1250</v>
      </c>
      <c r="I9" s="2">
        <v>1250</v>
      </c>
      <c r="J9" s="2">
        <v>203113.5</v>
      </c>
      <c r="K9" s="2">
        <v>196999</v>
      </c>
      <c r="L9" s="2">
        <v>4090</v>
      </c>
      <c r="M9" s="2">
        <v>2242.5</v>
      </c>
    </row>
    <row r="10" spans="1:13" x14ac:dyDescent="0.25">
      <c r="A10" s="16" t="s">
        <v>77</v>
      </c>
      <c r="B10" s="17">
        <v>18</v>
      </c>
      <c r="C10" s="17">
        <v>260000</v>
      </c>
      <c r="D10" s="17">
        <v>260000</v>
      </c>
      <c r="E10" s="17">
        <v>1560000</v>
      </c>
      <c r="F10" s="17">
        <v>780000</v>
      </c>
      <c r="G10" s="17">
        <v>780000</v>
      </c>
      <c r="H10" s="17">
        <v>2800</v>
      </c>
      <c r="I10" s="17">
        <v>2800</v>
      </c>
      <c r="J10" s="17">
        <v>134336.6031614299</v>
      </c>
      <c r="K10" s="17">
        <v>214458.24826116289</v>
      </c>
      <c r="L10" s="17">
        <v>1009.8307996790123</v>
      </c>
      <c r="M10" s="17">
        <v>1075.742281690056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"/>
  <sheetViews>
    <sheetView zoomScale="85" zoomScaleNormal="85" workbookViewId="0">
      <selection activeCell="G15" sqref="G15"/>
    </sheetView>
  </sheetViews>
  <sheetFormatPr defaultRowHeight="15" x14ac:dyDescent="0.25"/>
  <cols>
    <col min="1" max="1" width="25.7109375" customWidth="1"/>
    <col min="2" max="14" width="12.7109375" customWidth="1"/>
    <col min="20" max="20" width="11.140625" bestFit="1" customWidth="1"/>
    <col min="21" max="21" width="14.28515625" bestFit="1" customWidth="1"/>
    <col min="22" max="24" width="12.7109375" customWidth="1"/>
    <col min="25" max="25" width="10" bestFit="1" customWidth="1"/>
  </cols>
  <sheetData>
    <row r="1" spans="1:26" ht="171.75" x14ac:dyDescent="0.25">
      <c r="A1" s="18" t="s">
        <v>7</v>
      </c>
      <c r="B1" s="18" t="s">
        <v>90</v>
      </c>
      <c r="C1" s="18" t="s">
        <v>44</v>
      </c>
      <c r="D1" s="18" t="s">
        <v>64</v>
      </c>
      <c r="E1" s="18" t="s">
        <v>34</v>
      </c>
      <c r="F1" s="18" t="s">
        <v>33</v>
      </c>
      <c r="G1" s="18" t="s">
        <v>32</v>
      </c>
      <c r="H1" s="18" t="s">
        <v>45</v>
      </c>
      <c r="I1" s="18" t="s">
        <v>46</v>
      </c>
      <c r="J1" s="18" t="s">
        <v>28</v>
      </c>
      <c r="K1" s="18" t="s">
        <v>29</v>
      </c>
      <c r="L1" s="18" t="s">
        <v>30</v>
      </c>
      <c r="M1" s="18" t="s">
        <v>31</v>
      </c>
      <c r="N1" s="18" t="s">
        <v>91</v>
      </c>
      <c r="O1" s="20" t="s">
        <v>92</v>
      </c>
      <c r="P1" s="20" t="s">
        <v>95</v>
      </c>
      <c r="Q1" s="20" t="s">
        <v>93</v>
      </c>
      <c r="R1" s="20" t="s">
        <v>94</v>
      </c>
      <c r="S1" s="20" t="s">
        <v>36</v>
      </c>
      <c r="T1" s="20" t="s">
        <v>37</v>
      </c>
      <c r="U1" s="21" t="s">
        <v>96</v>
      </c>
      <c r="V1" s="19" t="s">
        <v>5</v>
      </c>
      <c r="W1" s="19" t="s">
        <v>6</v>
      </c>
      <c r="X1" s="20" t="s">
        <v>8</v>
      </c>
      <c r="Y1" t="s">
        <v>0</v>
      </c>
      <c r="Z1" t="s">
        <v>97</v>
      </c>
    </row>
    <row r="2" spans="1:26" x14ac:dyDescent="0.25">
      <c r="A2" s="16" t="s">
        <v>15</v>
      </c>
      <c r="B2" s="2">
        <v>3</v>
      </c>
      <c r="C2" s="2"/>
      <c r="D2" s="2"/>
      <c r="E2" s="2">
        <v>1200000</v>
      </c>
      <c r="F2" s="2">
        <v>600000</v>
      </c>
      <c r="G2" s="2">
        <v>600000</v>
      </c>
      <c r="H2" s="2">
        <v>2800</v>
      </c>
      <c r="I2" s="2">
        <v>2800</v>
      </c>
      <c r="J2" s="2">
        <v>87331.666666666672</v>
      </c>
      <c r="K2" s="2">
        <v>55411</v>
      </c>
      <c r="L2" s="2">
        <v>348</v>
      </c>
      <c r="M2" s="2">
        <v>782.33333333333337</v>
      </c>
      <c r="N2" s="2">
        <f t="shared" ref="N2:N9" si="0">SUM(J2:K2)</f>
        <v>142742.66666666669</v>
      </c>
      <c r="O2" s="2">
        <f t="shared" ref="O2:O9" si="1">E2-N2</f>
        <v>1057257.3333333333</v>
      </c>
      <c r="P2" s="2">
        <f t="shared" ref="P2:P9" si="2">SUM(L2:M2)</f>
        <v>1130.3333333333335</v>
      </c>
      <c r="Q2" s="2">
        <f t="shared" ref="Q2:Q9" si="3">J2-K2</f>
        <v>31920.666666666672</v>
      </c>
      <c r="R2" s="2">
        <f t="shared" ref="R2:R9" si="4">L2-M2</f>
        <v>-434.33333333333337</v>
      </c>
      <c r="S2" s="2">
        <f t="shared" ref="S2:S9" si="5">Q2/N2*100</f>
        <v>22.362386392295694</v>
      </c>
      <c r="T2" s="2">
        <f t="shared" ref="T2:T9" si="6">R2/P2*100</f>
        <v>-38.425243291064582</v>
      </c>
      <c r="U2" s="2">
        <f t="shared" ref="U2:U9" si="7">O2/E2*100</f>
        <v>88.10477777777777</v>
      </c>
      <c r="V2" s="16" t="e">
        <f>_xlfn.XLOOKUP(Test!A2,Blad1!$A$2:$A$24,Blad1!$H$2:$H$24)</f>
        <v>#N/A</v>
      </c>
      <c r="W2" s="16" t="e">
        <f>_xlfn.XLOOKUP(Test!A2,Blad1!$A$2:$A$24,Blad1!$I$2:$I$24)</f>
        <v>#N/A</v>
      </c>
      <c r="X2" s="16" t="e">
        <f>_xlfn.XLOOKUP(Test!A2,Blad1!$A$2:$A$24,Blad1!$J$2:$J$24)</f>
        <v>#N/A</v>
      </c>
      <c r="Y2" t="e">
        <f>_xlfn.XLOOKUP(Test!A2,Blad1!$A$2:$A$24,Blad1!$B$2:$B$24)</f>
        <v>#N/A</v>
      </c>
      <c r="Z2" t="e">
        <f>_xlfn.XLOOKUP(Test!A2,Blad1!$A$2:$A$24,Blad1!$D$2:$D$24)</f>
        <v>#N/A</v>
      </c>
    </row>
    <row r="3" spans="1:26" x14ac:dyDescent="0.25">
      <c r="A3" s="16" t="s">
        <v>65</v>
      </c>
      <c r="B3" s="2">
        <v>3</v>
      </c>
      <c r="C3" s="2"/>
      <c r="D3" s="2"/>
      <c r="E3" s="2">
        <v>300000</v>
      </c>
      <c r="F3" s="2">
        <v>150000</v>
      </c>
      <c r="G3" s="2">
        <v>150000</v>
      </c>
      <c r="H3" s="2">
        <v>514</v>
      </c>
      <c r="I3" s="2">
        <v>514</v>
      </c>
      <c r="J3" s="2">
        <v>154032.28563524608</v>
      </c>
      <c r="K3" s="2">
        <v>254769.82290031062</v>
      </c>
      <c r="L3" s="2">
        <v>380.6574074074083</v>
      </c>
      <c r="M3" s="2">
        <v>375.87035680700325</v>
      </c>
      <c r="N3" s="2">
        <f t="shared" si="0"/>
        <v>408802.1085355567</v>
      </c>
      <c r="O3" s="2">
        <f t="shared" si="1"/>
        <v>-108802.1085355567</v>
      </c>
      <c r="P3" s="2">
        <f t="shared" si="2"/>
        <v>756.52776421441149</v>
      </c>
      <c r="Q3" s="2">
        <f t="shared" si="3"/>
        <v>-100737.53726506454</v>
      </c>
      <c r="R3" s="2">
        <f t="shared" si="4"/>
        <v>4.7870506004050526</v>
      </c>
      <c r="S3" s="2">
        <f t="shared" si="5"/>
        <v>-24.642127611800863</v>
      </c>
      <c r="T3" s="2">
        <f t="shared" si="6"/>
        <v>0.63276601690567036</v>
      </c>
      <c r="U3" s="2">
        <f t="shared" si="7"/>
        <v>-36.267369511852237</v>
      </c>
      <c r="V3" s="16" t="e">
        <f>_xlfn.XLOOKUP(Test!A3,Blad1!$A$2:$A$24,Blad1!$H$2:$H$24)</f>
        <v>#N/A</v>
      </c>
      <c r="W3" s="16" t="e">
        <f>_xlfn.XLOOKUP(Test!A3,Blad1!$A$2:$A$24,Blad1!$I$2:$I$24)</f>
        <v>#N/A</v>
      </c>
      <c r="X3" s="16" t="e">
        <f>_xlfn.XLOOKUP(Test!A3,Blad1!$A$2:$A$24,Blad1!$J$2:$J$24)</f>
        <v>#N/A</v>
      </c>
      <c r="Y3" t="e">
        <f>_xlfn.XLOOKUP(Test!A3,Blad1!$A$2:$A$24,Blad1!$B$2:$B$24)</f>
        <v>#N/A</v>
      </c>
      <c r="Z3" t="e">
        <f>_xlfn.XLOOKUP(Test!A3,Blad1!$A$2:$A$24,Blad1!$D$2:$D$24)</f>
        <v>#N/A</v>
      </c>
    </row>
    <row r="4" spans="1:26" x14ac:dyDescent="0.25">
      <c r="A4" s="16" t="s">
        <v>22</v>
      </c>
      <c r="B4" s="2">
        <v>3</v>
      </c>
      <c r="C4" s="2"/>
      <c r="D4" s="2"/>
      <c r="E4" s="2">
        <v>520000</v>
      </c>
      <c r="F4" s="2">
        <v>260000</v>
      </c>
      <c r="G4" s="2">
        <v>260000</v>
      </c>
      <c r="H4" s="2">
        <v>1150</v>
      </c>
      <c r="I4" s="2">
        <v>1150</v>
      </c>
      <c r="J4" s="2">
        <v>87563.333333333328</v>
      </c>
      <c r="K4" s="2">
        <v>123913.33333333333</v>
      </c>
      <c r="L4" s="2">
        <v>505</v>
      </c>
      <c r="M4" s="2">
        <v>577.33333333333337</v>
      </c>
      <c r="N4" s="2">
        <f t="shared" si="0"/>
        <v>211476.66666666666</v>
      </c>
      <c r="O4" s="2">
        <f t="shared" si="1"/>
        <v>308523.33333333337</v>
      </c>
      <c r="P4" s="2">
        <f t="shared" si="2"/>
        <v>1082.3333333333335</v>
      </c>
      <c r="Q4" s="2">
        <f t="shared" si="3"/>
        <v>-36350</v>
      </c>
      <c r="R4" s="2">
        <f t="shared" si="4"/>
        <v>-72.333333333333371</v>
      </c>
      <c r="S4" s="2">
        <f t="shared" si="5"/>
        <v>-17.188657535110259</v>
      </c>
      <c r="T4" s="2">
        <f t="shared" si="6"/>
        <v>-6.6830920850015421</v>
      </c>
      <c r="U4" s="2">
        <f t="shared" si="7"/>
        <v>59.331410256410265</v>
      </c>
      <c r="V4" s="16" t="e">
        <f>_xlfn.XLOOKUP(Test!A4,Blad1!$A$2:$A$24,Blad1!$H$2:$H$24)</f>
        <v>#N/A</v>
      </c>
      <c r="W4" s="16" t="e">
        <f>_xlfn.XLOOKUP(Test!A4,Blad1!$A$2:$A$24,Blad1!$I$2:$I$24)</f>
        <v>#N/A</v>
      </c>
      <c r="X4" s="16" t="e">
        <f>_xlfn.XLOOKUP(Test!A4,Blad1!$A$2:$A$24,Blad1!$J$2:$J$24)</f>
        <v>#N/A</v>
      </c>
      <c r="Y4" t="e">
        <f>_xlfn.XLOOKUP(Test!A4,Blad1!$A$2:$A$24,Blad1!$B$2:$B$24)</f>
        <v>#N/A</v>
      </c>
      <c r="Z4" t="e">
        <f>_xlfn.XLOOKUP(Test!A4,Blad1!$A$2:$A$24,Blad1!$D$2:$D$24)</f>
        <v>#N/A</v>
      </c>
    </row>
    <row r="5" spans="1:26" x14ac:dyDescent="0.25">
      <c r="A5" s="16" t="s">
        <v>38</v>
      </c>
      <c r="B5" s="2">
        <v>2</v>
      </c>
      <c r="C5" s="2"/>
      <c r="D5" s="2"/>
      <c r="E5" s="2">
        <v>750000</v>
      </c>
      <c r="F5" s="2">
        <v>375000</v>
      </c>
      <c r="G5" s="2">
        <v>375000</v>
      </c>
      <c r="H5" s="2">
        <v>1175</v>
      </c>
      <c r="I5" s="2">
        <v>1175</v>
      </c>
      <c r="J5" s="2">
        <v>126469.5</v>
      </c>
      <c r="K5" s="2">
        <v>127557</v>
      </c>
      <c r="L5" s="2">
        <v>1243.5</v>
      </c>
      <c r="M5" s="2">
        <v>1249</v>
      </c>
      <c r="N5" s="2">
        <f t="shared" si="0"/>
        <v>254026.5</v>
      </c>
      <c r="O5" s="2">
        <f t="shared" si="1"/>
        <v>495973.5</v>
      </c>
      <c r="P5" s="2">
        <f t="shared" si="2"/>
        <v>2492.5</v>
      </c>
      <c r="Q5" s="2">
        <f t="shared" si="3"/>
        <v>-1087.5</v>
      </c>
      <c r="R5" s="2">
        <f t="shared" si="4"/>
        <v>-5.5</v>
      </c>
      <c r="S5" s="2">
        <f t="shared" si="5"/>
        <v>-0.42810494180725239</v>
      </c>
      <c r="T5" s="2">
        <f t="shared" si="6"/>
        <v>-0.22066198595787362</v>
      </c>
      <c r="U5" s="2">
        <f t="shared" si="7"/>
        <v>66.129800000000003</v>
      </c>
      <c r="V5" s="16" t="e">
        <f>_xlfn.XLOOKUP(Test!A5,Blad1!$A$2:$A$24,Blad1!$H$2:$H$24)</f>
        <v>#N/A</v>
      </c>
      <c r="W5" s="16" t="e">
        <f>_xlfn.XLOOKUP(Test!A5,Blad1!$A$2:$A$24,Blad1!$I$2:$I$24)</f>
        <v>#N/A</v>
      </c>
      <c r="X5" s="16" t="e">
        <f>_xlfn.XLOOKUP(Test!A5,Blad1!$A$2:$A$24,Blad1!$J$2:$J$24)</f>
        <v>#N/A</v>
      </c>
      <c r="Y5" t="e">
        <f>_xlfn.XLOOKUP(Test!A5,Blad1!$A$2:$A$24,Blad1!$B$2:$B$24)</f>
        <v>#N/A</v>
      </c>
      <c r="Z5" t="e">
        <f>_xlfn.XLOOKUP(Test!A5,Blad1!$A$2:$A$24,Blad1!$D$2:$D$24)</f>
        <v>#N/A</v>
      </c>
    </row>
    <row r="6" spans="1:26" x14ac:dyDescent="0.25">
      <c r="A6" s="16" t="s">
        <v>50</v>
      </c>
      <c r="B6" s="2">
        <v>2</v>
      </c>
      <c r="C6" s="2"/>
      <c r="D6" s="2"/>
      <c r="E6" s="2">
        <v>220000</v>
      </c>
      <c r="F6" s="2"/>
      <c r="G6" s="2"/>
      <c r="H6" s="2"/>
      <c r="I6" s="2"/>
      <c r="J6" s="2">
        <v>81900</v>
      </c>
      <c r="K6" s="2">
        <v>77400</v>
      </c>
      <c r="L6" s="2">
        <v>735.15</v>
      </c>
      <c r="M6" s="2">
        <v>489.8</v>
      </c>
      <c r="N6" s="2">
        <f t="shared" si="0"/>
        <v>159300</v>
      </c>
      <c r="O6" s="2">
        <f t="shared" si="1"/>
        <v>60700</v>
      </c>
      <c r="P6" s="2">
        <f t="shared" si="2"/>
        <v>1224.95</v>
      </c>
      <c r="Q6" s="2">
        <f t="shared" si="3"/>
        <v>4500</v>
      </c>
      <c r="R6" s="2">
        <f t="shared" si="4"/>
        <v>245.34999999999997</v>
      </c>
      <c r="S6" s="2">
        <f t="shared" si="5"/>
        <v>2.8248587570621471</v>
      </c>
      <c r="T6" s="2">
        <f t="shared" si="6"/>
        <v>20.029388954651207</v>
      </c>
      <c r="U6" s="2">
        <f t="shared" si="7"/>
        <v>27.590909090909086</v>
      </c>
      <c r="V6" s="16" t="str">
        <f>_xlfn.XLOOKUP(Test!A6,Blad1!$A$2:$A$24,Blad1!$H$2:$H$24)</f>
        <v>81100</v>
      </c>
      <c r="W6" s="16" t="str">
        <f>_xlfn.XLOOKUP(Test!A6,Blad1!$A$2:$A$24,Blad1!$I$2:$I$24)</f>
        <v>455400</v>
      </c>
      <c r="X6" s="16">
        <f>_xlfn.XLOOKUP(Test!A6,Blad1!$A$2:$A$24,Blad1!$J$2:$J$24)</f>
        <v>0</v>
      </c>
      <c r="Y6" t="str">
        <f>_xlfn.XLOOKUP(Test!A6,Blad1!$A$2:$A$24,Blad1!$B$2:$B$24)</f>
        <v>Kneuterdijk 22</v>
      </c>
      <c r="Z6">
        <f>_xlfn.XLOOKUP(Test!A6,Blad1!$A$2:$A$24,Blad1!$D$2:$D$24)</f>
        <v>19</v>
      </c>
    </row>
    <row r="7" spans="1:26" x14ac:dyDescent="0.25">
      <c r="A7" s="16" t="s">
        <v>72</v>
      </c>
      <c r="B7" s="2">
        <v>1</v>
      </c>
      <c r="C7" s="2"/>
      <c r="D7" s="2"/>
      <c r="E7" s="2">
        <v>1550000</v>
      </c>
      <c r="F7" s="2"/>
      <c r="G7" s="2"/>
      <c r="H7" s="2"/>
      <c r="I7" s="2"/>
      <c r="J7" s="2">
        <v>420327</v>
      </c>
      <c r="K7" s="2">
        <v>1470703</v>
      </c>
      <c r="L7" s="2">
        <v>1111.8421720000001</v>
      </c>
      <c r="M7" s="2">
        <v>4863.5</v>
      </c>
      <c r="N7" s="2">
        <f t="shared" si="0"/>
        <v>1891030</v>
      </c>
      <c r="O7" s="2">
        <f t="shared" si="1"/>
        <v>-341030</v>
      </c>
      <c r="P7" s="2">
        <f t="shared" si="2"/>
        <v>5975.3421720000006</v>
      </c>
      <c r="Q7" s="2">
        <f t="shared" si="3"/>
        <v>-1050376</v>
      </c>
      <c r="R7" s="2">
        <f t="shared" si="4"/>
        <v>-3751.6578279999999</v>
      </c>
      <c r="S7" s="2">
        <f t="shared" si="5"/>
        <v>-55.545179082299065</v>
      </c>
      <c r="T7" s="2">
        <f t="shared" si="6"/>
        <v>-62.785656787656166</v>
      </c>
      <c r="U7" s="2">
        <f t="shared" si="7"/>
        <v>-22.00193548387097</v>
      </c>
      <c r="V7" s="16" t="e">
        <f>_xlfn.XLOOKUP(Test!A7,Blad1!$A$2:$A$24,Blad1!$H$2:$H$24)</f>
        <v>#N/A</v>
      </c>
      <c r="W7" s="16" t="e">
        <f>_xlfn.XLOOKUP(Test!A7,Blad1!$A$2:$A$24,Blad1!$I$2:$I$24)</f>
        <v>#N/A</v>
      </c>
      <c r="X7" s="16" t="e">
        <f>_xlfn.XLOOKUP(Test!A7,Blad1!$A$2:$A$24,Blad1!$J$2:$J$24)</f>
        <v>#N/A</v>
      </c>
      <c r="Y7" t="e">
        <f>_xlfn.XLOOKUP(Test!A7,Blad1!$A$2:$A$24,Blad1!$B$2:$B$24)</f>
        <v>#N/A</v>
      </c>
      <c r="Z7" t="e">
        <f>_xlfn.XLOOKUP(Test!A7,Blad1!$A$2:$A$24,Blad1!$D$2:$D$24)</f>
        <v>#N/A</v>
      </c>
    </row>
    <row r="8" spans="1:26" x14ac:dyDescent="0.25">
      <c r="A8" s="16" t="s">
        <v>59</v>
      </c>
      <c r="B8" s="2">
        <v>2</v>
      </c>
      <c r="C8" s="2">
        <v>260000</v>
      </c>
      <c r="D8" s="2">
        <v>260000</v>
      </c>
      <c r="E8" s="2">
        <v>1560000</v>
      </c>
      <c r="F8" s="2">
        <v>780000</v>
      </c>
      <c r="G8" s="2">
        <v>780000</v>
      </c>
      <c r="H8" s="2"/>
      <c r="I8" s="2"/>
      <c r="J8" s="2">
        <v>93992</v>
      </c>
      <c r="K8" s="2">
        <v>141675.5</v>
      </c>
      <c r="L8" s="2">
        <v>613.42000000000007</v>
      </c>
      <c r="M8" s="2">
        <v>665.32500000000005</v>
      </c>
      <c r="N8" s="2">
        <f t="shared" si="0"/>
        <v>235667.5</v>
      </c>
      <c r="O8" s="2">
        <f t="shared" si="1"/>
        <v>1324332.5</v>
      </c>
      <c r="P8" s="2">
        <f t="shared" si="2"/>
        <v>1278.7450000000001</v>
      </c>
      <c r="Q8" s="2">
        <f t="shared" si="3"/>
        <v>-47683.5</v>
      </c>
      <c r="R8" s="2">
        <f t="shared" si="4"/>
        <v>-51.904999999999973</v>
      </c>
      <c r="S8" s="2">
        <f t="shared" si="5"/>
        <v>-20.233379655658926</v>
      </c>
      <c r="T8" s="2">
        <f t="shared" si="6"/>
        <v>-4.0590579044297312</v>
      </c>
      <c r="U8" s="2">
        <f t="shared" si="7"/>
        <v>84.893108974358981</v>
      </c>
      <c r="V8" s="16" t="e">
        <f>_xlfn.XLOOKUP(Test!A8,Blad1!$A$2:$A$24,Blad1!$H$2:$H$24)</f>
        <v>#N/A</v>
      </c>
      <c r="W8" s="16" t="e">
        <f>_xlfn.XLOOKUP(Test!A8,Blad1!$A$2:$A$24,Blad1!$I$2:$I$24)</f>
        <v>#N/A</v>
      </c>
      <c r="X8" s="16" t="e">
        <f>_xlfn.XLOOKUP(Test!A8,Blad1!$A$2:$A$24,Blad1!$J$2:$J$24)</f>
        <v>#N/A</v>
      </c>
      <c r="Y8" t="e">
        <f>_xlfn.XLOOKUP(Test!A8,Blad1!$A$2:$A$24,Blad1!$B$2:$B$24)</f>
        <v>#N/A</v>
      </c>
      <c r="Z8" t="e">
        <f>_xlfn.XLOOKUP(Test!A8,Blad1!$A$2:$A$24,Blad1!$D$2:$D$24)</f>
        <v>#N/A</v>
      </c>
    </row>
    <row r="9" spans="1:26" x14ac:dyDescent="0.25">
      <c r="A9" s="16" t="s">
        <v>53</v>
      </c>
      <c r="B9" s="2">
        <v>2</v>
      </c>
      <c r="C9" s="2"/>
      <c r="D9" s="2"/>
      <c r="E9" s="2">
        <v>580000</v>
      </c>
      <c r="F9" s="2">
        <v>290000</v>
      </c>
      <c r="G9" s="2">
        <v>290000</v>
      </c>
      <c r="H9" s="2">
        <v>1250</v>
      </c>
      <c r="I9" s="2">
        <v>1250</v>
      </c>
      <c r="J9" s="2">
        <v>203113.5</v>
      </c>
      <c r="K9" s="2">
        <v>196999</v>
      </c>
      <c r="L9" s="2">
        <v>4090</v>
      </c>
      <c r="M9" s="2">
        <v>2242.5</v>
      </c>
      <c r="N9" s="2">
        <f t="shared" si="0"/>
        <v>400112.5</v>
      </c>
      <c r="O9" s="2">
        <f t="shared" si="1"/>
        <v>179887.5</v>
      </c>
      <c r="P9" s="2">
        <f t="shared" si="2"/>
        <v>6332.5</v>
      </c>
      <c r="Q9" s="2">
        <f t="shared" si="3"/>
        <v>6114.5</v>
      </c>
      <c r="R9" s="2">
        <f t="shared" si="4"/>
        <v>1847.5</v>
      </c>
      <c r="S9" s="2">
        <f t="shared" si="5"/>
        <v>1.5281951951013777</v>
      </c>
      <c r="T9" s="2">
        <f t="shared" si="6"/>
        <v>29.1748914330833</v>
      </c>
      <c r="U9" s="2">
        <f t="shared" si="7"/>
        <v>31.015086206896552</v>
      </c>
      <c r="V9" s="16" t="e">
        <f>_xlfn.XLOOKUP(Test!A9,Blad1!$A$2:$A$24,Blad1!$H$2:$H$24)</f>
        <v>#N/A</v>
      </c>
      <c r="W9" s="16" t="e">
        <f>_xlfn.XLOOKUP(Test!A9,Blad1!$A$2:$A$24,Blad1!$I$2:$I$24)</f>
        <v>#N/A</v>
      </c>
      <c r="X9" s="16" t="e">
        <f>_xlfn.XLOOKUP(Test!A9,Blad1!$A$2:$A$24,Blad1!$J$2:$J$24)</f>
        <v>#N/A</v>
      </c>
      <c r="Y9" t="e">
        <f>_xlfn.XLOOKUP(Test!A9,Blad1!$A$2:$A$24,Blad1!$B$2:$B$24)</f>
        <v>#N/A</v>
      </c>
      <c r="Z9" t="e">
        <f>_xlfn.XLOOKUP(Test!A9,Blad1!$A$2:$A$24,Blad1!$D$2:$D$24)</f>
        <v>#N/A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Rogier Duijff | DWA</dc:creator>
  <cp:lastModifiedBy>Taco Postma</cp:lastModifiedBy>
  <cp:lastPrinted>2021-01-12T15:48:24Z</cp:lastPrinted>
  <dcterms:created xsi:type="dcterms:W3CDTF">2015-06-05T18:19:34Z</dcterms:created>
  <dcterms:modified xsi:type="dcterms:W3CDTF">2021-01-12T15:48:35Z</dcterms:modified>
</cp:coreProperties>
</file>