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/>
  <xr:revisionPtr revIDLastSave="0" documentId="13_ncr:1_{95B6434B-6604-4BFF-93BB-9A7E33E5A14A}" xr6:coauthVersionLast="45" xr6:coauthVersionMax="45" xr10:uidLastSave="{00000000-0000-0000-0000-000000000000}"/>
  <bookViews>
    <workbookView xWindow="-108" yWindow="-108" windowWidth="23256" windowHeight="12600" tabRatio="834" xr2:uid="{00000000-000D-0000-FFFF-FFFF00000000}"/>
  </bookViews>
  <sheets>
    <sheet name="Prognose Deelgebieden " sheetId="1" r:id="rId1"/>
    <sheet name="Uitgangspunten debiet+ vrachten" sheetId="2" r:id="rId2"/>
    <sheet name="ZW Vrachten door de tijd" sheetId="3" r:id="rId3"/>
    <sheet name="GW vrachten door de tijd" sheetId="7" r:id="rId4"/>
    <sheet name="Visualisatie vrachten" sheetId="9" r:id="rId5"/>
  </sheets>
  <externalReferences>
    <externalReference r:id="rId6"/>
    <externalReference r:id="rId7"/>
  </externalReferences>
  <definedNames>
    <definedName name="An_C">'[1]Uitgangspunten kosten'!$E$9</definedName>
    <definedName name="An_E">'[1]Uitgangspunten kosten'!$E$11</definedName>
    <definedName name="An_W">'[1]Uitgangspunten kosten'!$E$10</definedName>
    <definedName name="C_afschrijving">'[1]Uitgangspunten kosten'!$E$3</definedName>
    <definedName name="C_onderhoud">'[1]Uitgangspunten kosten'!$E$14</definedName>
    <definedName name="E_afschrijving">'[1]Uitgangspunten kosten'!$E$5</definedName>
    <definedName name="Energieprijs">'[1]Uitgangspunten kosten'!$E$18</definedName>
    <definedName name="FeCl3_prijs">'[1]Uitgangspunten kosten'!$E$21</definedName>
    <definedName name="hh_aantal">[2]Situatieschets!$D$12</definedName>
    <definedName name="hh_tot_opp">[2]Situatieschets!$E$12</definedName>
    <definedName name="MgCl2_prijs">'[1]Uitgangspunten kosten'!#REF!</definedName>
    <definedName name="PE_prijs">'[1]Uitgangspunten kosten'!$E$20</definedName>
    <definedName name="Peiljaren">'ZW Vrachten door de tijd'!$A$7:$A$37</definedName>
    <definedName name="Rente">'[1]Uitgangspunten kosten'!$E$6</definedName>
    <definedName name="Slibafzet">'[1]Uitgangspunten kosten'!$E$19</definedName>
    <definedName name="Toeslagfactor">'[1]Uitgangspunten kosten'!$E$24</definedName>
    <definedName name="W_afschrijving">'[1]Uitgangspunten kosten'!$E$4</definedName>
    <definedName name="W_onderhoud">'[1]Uitgangspunten kosten'!$E$15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4" i="7" l="1"/>
  <c r="D82" i="7"/>
  <c r="D81" i="7"/>
  <c r="D80" i="7"/>
  <c r="C84" i="7"/>
  <c r="C82" i="7"/>
  <c r="C81" i="7"/>
  <c r="D84" i="3"/>
  <c r="D82" i="3"/>
  <c r="D81" i="3"/>
  <c r="D80" i="3"/>
  <c r="C84" i="3"/>
  <c r="C82" i="3"/>
  <c r="C81" i="3"/>
  <c r="C80" i="3"/>
  <c r="AE11" i="3" l="1"/>
  <c r="AE12" i="7"/>
  <c r="M1" i="7" l="1"/>
  <c r="A116" i="3" l="1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15" i="3"/>
  <c r="U47" i="2" l="1"/>
  <c r="D44" i="2"/>
  <c r="E56" i="2"/>
  <c r="E58" i="2"/>
  <c r="E57" i="2"/>
  <c r="M2" i="3" l="1"/>
  <c r="M2" i="7" s="1"/>
  <c r="F49" i="2" l="1"/>
  <c r="F50" i="2"/>
  <c r="F51" i="2"/>
  <c r="F52" i="2"/>
  <c r="F48" i="2"/>
  <c r="F27" i="2"/>
  <c r="E27" i="2"/>
  <c r="D24" i="2" l="1"/>
  <c r="U44" i="2" l="1"/>
  <c r="T44" i="2"/>
  <c r="T43" i="2"/>
  <c r="S47" i="2"/>
  <c r="S44" i="2"/>
  <c r="S43" i="2"/>
  <c r="F44" i="2" l="1"/>
  <c r="F43" i="2"/>
  <c r="D41" i="2"/>
  <c r="E49" i="2"/>
  <c r="E50" i="2"/>
  <c r="E51" i="2"/>
  <c r="E52" i="2"/>
  <c r="E48" i="2"/>
  <c r="F40" i="2" l="1"/>
  <c r="E23" i="2"/>
  <c r="D23" i="2"/>
  <c r="C12" i="2"/>
  <c r="D12" i="2"/>
  <c r="F41" i="2" l="1"/>
  <c r="F42" i="2" s="1"/>
  <c r="O5" i="1" l="1"/>
  <c r="O6" i="1" s="1"/>
  <c r="C37" i="1" l="1"/>
  <c r="D37" i="1"/>
  <c r="E37" i="1"/>
  <c r="F37" i="1"/>
  <c r="G37" i="1"/>
  <c r="H37" i="1"/>
  <c r="I37" i="1"/>
  <c r="J37" i="1"/>
  <c r="K37" i="1"/>
  <c r="B37" i="1"/>
  <c r="S49" i="2" l="1"/>
  <c r="S50" i="2" s="1"/>
  <c r="Q49" i="2"/>
  <c r="Q50" i="2" s="1"/>
  <c r="N47" i="2"/>
  <c r="T47" i="2" s="1"/>
  <c r="E43" i="2" s="1"/>
  <c r="M47" i="2"/>
  <c r="E26" i="2"/>
  <c r="F24" i="2"/>
  <c r="E25" i="2"/>
  <c r="F23" i="2"/>
  <c r="F12" i="2"/>
  <c r="E12" i="2"/>
  <c r="E35" i="2" l="1"/>
  <c r="E36" i="2"/>
  <c r="E32" i="2"/>
  <c r="F36" i="2"/>
  <c r="F35" i="2"/>
  <c r="F32" i="2"/>
  <c r="U46" i="2"/>
  <c r="T46" i="2"/>
  <c r="E44" i="2"/>
  <c r="E40" i="2" l="1"/>
  <c r="F67" i="2"/>
  <c r="E24" i="2"/>
  <c r="F68" i="2"/>
  <c r="F66" i="2"/>
  <c r="D42" i="2"/>
  <c r="D33" i="2"/>
  <c r="AF5" i="1"/>
  <c r="Y5" i="1"/>
  <c r="AG5" i="1"/>
  <c r="AG6" i="1" s="1"/>
  <c r="AG7" i="1" s="1"/>
  <c r="AG8" i="1" s="1"/>
  <c r="AG9" i="1" s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P5" i="1"/>
  <c r="E79" i="7" s="1"/>
  <c r="O7" i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AH5" i="1"/>
  <c r="AH6" i="1" s="1"/>
  <c r="AH7" i="1" s="1"/>
  <c r="AH8" i="1" s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AH32" i="1" s="1"/>
  <c r="AH33" i="1" s="1"/>
  <c r="AH34" i="1" s="1"/>
  <c r="AH35" i="1" s="1"/>
  <c r="AH36" i="1" s="1"/>
  <c r="AH37" i="1" s="1"/>
  <c r="Z37" i="1"/>
  <c r="AA37" i="1"/>
  <c r="AB37" i="1"/>
  <c r="AC37" i="1"/>
  <c r="AD37" i="1"/>
  <c r="AE37" i="1"/>
  <c r="R37" i="1"/>
  <c r="S37" i="1"/>
  <c r="T37" i="1"/>
  <c r="U37" i="1"/>
  <c r="V37" i="1"/>
  <c r="W37" i="1"/>
  <c r="X37" i="1"/>
  <c r="Q37" i="1"/>
  <c r="D34" i="2" l="1"/>
  <c r="E33" i="2"/>
  <c r="F33" i="2"/>
  <c r="E41" i="2"/>
  <c r="E42" i="2" s="1"/>
  <c r="F79" i="7"/>
  <c r="P43" i="7" s="1"/>
  <c r="F79" i="3"/>
  <c r="Y6" i="1"/>
  <c r="G79" i="7"/>
  <c r="U43" i="7" s="1"/>
  <c r="G79" i="3"/>
  <c r="H43" i="7"/>
  <c r="I43" i="7"/>
  <c r="AF6" i="1"/>
  <c r="P6" i="1"/>
  <c r="E79" i="3"/>
  <c r="C43" i="3"/>
  <c r="C43" i="7"/>
  <c r="L43" i="7"/>
  <c r="K43" i="7"/>
  <c r="O43" i="7" l="1"/>
  <c r="J43" i="7"/>
  <c r="E34" i="2"/>
  <c r="F34" i="2"/>
  <c r="B7" i="3"/>
  <c r="B7" i="7" s="1"/>
  <c r="M43" i="7"/>
  <c r="F43" i="3"/>
  <c r="G43" i="3"/>
  <c r="K43" i="3"/>
  <c r="J43" i="3"/>
  <c r="H43" i="3"/>
  <c r="I43" i="3"/>
  <c r="L43" i="3"/>
  <c r="O43" i="3"/>
  <c r="M43" i="3"/>
  <c r="Q43" i="3"/>
  <c r="N43" i="3"/>
  <c r="P43" i="3"/>
  <c r="E43" i="3"/>
  <c r="U43" i="3"/>
  <c r="V43" i="3"/>
  <c r="R43" i="3"/>
  <c r="T43" i="3"/>
  <c r="S43" i="3"/>
  <c r="D43" i="3"/>
  <c r="F44" i="7"/>
  <c r="S43" i="7"/>
  <c r="T43" i="7"/>
  <c r="G43" i="7"/>
  <c r="V43" i="7"/>
  <c r="R43" i="7"/>
  <c r="D43" i="7"/>
  <c r="C44" i="3"/>
  <c r="E80" i="7"/>
  <c r="E80" i="3"/>
  <c r="P7" i="1"/>
  <c r="F80" i="7"/>
  <c r="F80" i="3"/>
  <c r="Y7" i="1"/>
  <c r="F43" i="7"/>
  <c r="M7" i="7" s="1"/>
  <c r="E43" i="7"/>
  <c r="G80" i="7"/>
  <c r="G80" i="3"/>
  <c r="AF7" i="1"/>
  <c r="Q43" i="7"/>
  <c r="N43" i="7"/>
  <c r="B8" i="3" l="1"/>
  <c r="B8" i="7" s="1"/>
  <c r="L7" i="7"/>
  <c r="D44" i="7"/>
  <c r="L7" i="3"/>
  <c r="K7" i="7"/>
  <c r="F7" i="3"/>
  <c r="M7" i="3"/>
  <c r="N7" i="7"/>
  <c r="N7" i="3"/>
  <c r="K7" i="3"/>
  <c r="J7" i="7"/>
  <c r="J7" i="3"/>
  <c r="E45" i="3"/>
  <c r="E44" i="7"/>
  <c r="E7" i="3"/>
  <c r="C7" i="3"/>
  <c r="F44" i="3"/>
  <c r="P44" i="3"/>
  <c r="O44" i="3"/>
  <c r="M44" i="3"/>
  <c r="Q44" i="3"/>
  <c r="D44" i="3"/>
  <c r="F45" i="7"/>
  <c r="G44" i="7"/>
  <c r="G44" i="3"/>
  <c r="C44" i="7"/>
  <c r="D7" i="3"/>
  <c r="V44" i="3"/>
  <c r="R44" i="3"/>
  <c r="T44" i="3"/>
  <c r="S44" i="3"/>
  <c r="U44" i="3"/>
  <c r="K44" i="3"/>
  <c r="I44" i="3"/>
  <c r="H44" i="3"/>
  <c r="L44" i="3"/>
  <c r="J44" i="3"/>
  <c r="E44" i="3"/>
  <c r="E7" i="7"/>
  <c r="C7" i="7"/>
  <c r="G7" i="7"/>
  <c r="F7" i="7"/>
  <c r="D7" i="7"/>
  <c r="G7" i="3"/>
  <c r="H44" i="7"/>
  <c r="K44" i="7"/>
  <c r="I44" i="7"/>
  <c r="L44" i="7"/>
  <c r="J44" i="7"/>
  <c r="F81" i="7"/>
  <c r="Y8" i="1"/>
  <c r="F81" i="3"/>
  <c r="D45" i="7"/>
  <c r="G81" i="7"/>
  <c r="AF8" i="1"/>
  <c r="G81" i="3"/>
  <c r="Q44" i="7"/>
  <c r="N44" i="7"/>
  <c r="O44" i="7"/>
  <c r="M44" i="7"/>
  <c r="P44" i="7"/>
  <c r="N44" i="3"/>
  <c r="E81" i="7"/>
  <c r="E81" i="3"/>
  <c r="P8" i="1"/>
  <c r="V44" i="7"/>
  <c r="R44" i="7"/>
  <c r="U44" i="7"/>
  <c r="S44" i="7"/>
  <c r="T44" i="7"/>
  <c r="D83" i="7"/>
  <c r="H7" i="3" l="1"/>
  <c r="D45" i="3"/>
  <c r="B9" i="3"/>
  <c r="B9" i="7" s="1"/>
  <c r="M8" i="7"/>
  <c r="C115" i="3"/>
  <c r="D115" i="3"/>
  <c r="G45" i="3"/>
  <c r="L8" i="3"/>
  <c r="J8" i="7"/>
  <c r="J8" i="3"/>
  <c r="L8" i="7"/>
  <c r="K8" i="3"/>
  <c r="K8" i="7"/>
  <c r="M8" i="3"/>
  <c r="N8" i="3"/>
  <c r="N8" i="7"/>
  <c r="E8" i="3"/>
  <c r="C45" i="3"/>
  <c r="E46" i="3"/>
  <c r="F45" i="3"/>
  <c r="E45" i="7"/>
  <c r="C45" i="7"/>
  <c r="G46" i="7"/>
  <c r="U45" i="3"/>
  <c r="V45" i="3"/>
  <c r="R45" i="3"/>
  <c r="T45" i="3"/>
  <c r="S45" i="3"/>
  <c r="G45" i="7"/>
  <c r="Q45" i="3"/>
  <c r="P45" i="3"/>
  <c r="O45" i="3"/>
  <c r="M45" i="3"/>
  <c r="D83" i="3"/>
  <c r="D46" i="3"/>
  <c r="G46" i="3"/>
  <c r="K45" i="3"/>
  <c r="I45" i="3"/>
  <c r="H45" i="3"/>
  <c r="L45" i="3"/>
  <c r="D8" i="7"/>
  <c r="E8" i="7"/>
  <c r="C8" i="3"/>
  <c r="G8" i="3"/>
  <c r="D8" i="3"/>
  <c r="F8" i="3"/>
  <c r="G82" i="7"/>
  <c r="AF9" i="1"/>
  <c r="G82" i="3"/>
  <c r="J45" i="3"/>
  <c r="N45" i="3"/>
  <c r="G8" i="7"/>
  <c r="U45" i="7"/>
  <c r="V45" i="7"/>
  <c r="S45" i="7"/>
  <c r="T45" i="7"/>
  <c r="R45" i="7"/>
  <c r="E82" i="7"/>
  <c r="E82" i="3"/>
  <c r="P9" i="1"/>
  <c r="K45" i="7"/>
  <c r="I45" i="7"/>
  <c r="L45" i="7"/>
  <c r="J45" i="7"/>
  <c r="H45" i="7"/>
  <c r="F82" i="7"/>
  <c r="Y9" i="1"/>
  <c r="F82" i="3"/>
  <c r="M45" i="7"/>
  <c r="P45" i="7"/>
  <c r="Q45" i="7"/>
  <c r="N45" i="7"/>
  <c r="O45" i="7"/>
  <c r="F8" i="7"/>
  <c r="C8" i="7"/>
  <c r="H8" i="3" l="1"/>
  <c r="C83" i="7"/>
  <c r="F47" i="7" s="1"/>
  <c r="B10" i="3"/>
  <c r="B10" i="7" s="1"/>
  <c r="C116" i="3"/>
  <c r="D116" i="3"/>
  <c r="F46" i="7"/>
  <c r="C46" i="7"/>
  <c r="F46" i="3"/>
  <c r="K9" i="3"/>
  <c r="L9" i="7"/>
  <c r="M9" i="7"/>
  <c r="J9" i="3"/>
  <c r="K9" i="7"/>
  <c r="M9" i="3"/>
  <c r="L9" i="3"/>
  <c r="N9" i="3"/>
  <c r="J9" i="7"/>
  <c r="N9" i="7"/>
  <c r="D46" i="7"/>
  <c r="E46" i="7"/>
  <c r="C46" i="3"/>
  <c r="C83" i="3"/>
  <c r="O46" i="3"/>
  <c r="M46" i="3"/>
  <c r="Q46" i="3"/>
  <c r="P46" i="3"/>
  <c r="U46" i="3"/>
  <c r="V46" i="3"/>
  <c r="R46" i="3"/>
  <c r="T46" i="3"/>
  <c r="S46" i="3"/>
  <c r="K46" i="3"/>
  <c r="H46" i="3"/>
  <c r="I46" i="3"/>
  <c r="L46" i="3"/>
  <c r="E9" i="7"/>
  <c r="D9" i="7"/>
  <c r="C9" i="3"/>
  <c r="F9" i="7"/>
  <c r="D9" i="3"/>
  <c r="F9" i="3"/>
  <c r="G9" i="3"/>
  <c r="E9" i="3"/>
  <c r="G9" i="7"/>
  <c r="C9" i="7"/>
  <c r="H46" i="7"/>
  <c r="K46" i="7"/>
  <c r="J46" i="7"/>
  <c r="I46" i="7"/>
  <c r="L46" i="7"/>
  <c r="D47" i="7"/>
  <c r="F83" i="7"/>
  <c r="F83" i="3"/>
  <c r="Y10" i="1"/>
  <c r="G83" i="7"/>
  <c r="G83" i="3"/>
  <c r="AF10" i="1"/>
  <c r="G47" i="7"/>
  <c r="N46" i="3"/>
  <c r="P46" i="7"/>
  <c r="N46" i="7"/>
  <c r="M46" i="7"/>
  <c r="Q46" i="7"/>
  <c r="O46" i="7"/>
  <c r="E83" i="7"/>
  <c r="E83" i="3"/>
  <c r="P10" i="1"/>
  <c r="U46" i="7"/>
  <c r="S46" i="7"/>
  <c r="T46" i="7"/>
  <c r="R46" i="7"/>
  <c r="V46" i="7"/>
  <c r="J46" i="3"/>
  <c r="F48" i="7"/>
  <c r="D85" i="7"/>
  <c r="C47" i="7" l="1"/>
  <c r="E47" i="7"/>
  <c r="C85" i="3"/>
  <c r="C86" i="3" s="1"/>
  <c r="C47" i="3"/>
  <c r="F47" i="3"/>
  <c r="G47" i="3"/>
  <c r="H9" i="3"/>
  <c r="D47" i="3"/>
  <c r="B11" i="3"/>
  <c r="B11" i="7" s="1"/>
  <c r="E47" i="3"/>
  <c r="C117" i="3"/>
  <c r="D117" i="3"/>
  <c r="M10" i="7"/>
  <c r="N10" i="7"/>
  <c r="J10" i="7"/>
  <c r="J10" i="3"/>
  <c r="N10" i="3"/>
  <c r="K10" i="3"/>
  <c r="M10" i="3"/>
  <c r="K10" i="7"/>
  <c r="L10" i="3"/>
  <c r="L10" i="7"/>
  <c r="K47" i="3"/>
  <c r="I47" i="3"/>
  <c r="H47" i="3"/>
  <c r="L47" i="3"/>
  <c r="P47" i="3"/>
  <c r="O47" i="3"/>
  <c r="M47" i="3"/>
  <c r="Q47" i="3"/>
  <c r="T47" i="3"/>
  <c r="S47" i="3"/>
  <c r="U47" i="3"/>
  <c r="V47" i="3"/>
  <c r="R47" i="3"/>
  <c r="D85" i="3"/>
  <c r="E48" i="3"/>
  <c r="D48" i="3"/>
  <c r="F48" i="3"/>
  <c r="G48" i="3"/>
  <c r="F10" i="3"/>
  <c r="D10" i="3"/>
  <c r="E10" i="3"/>
  <c r="F10" i="7"/>
  <c r="G10" i="7"/>
  <c r="D10" i="7"/>
  <c r="M47" i="7"/>
  <c r="O47" i="7"/>
  <c r="N47" i="7"/>
  <c r="P47" i="7"/>
  <c r="Q47" i="7"/>
  <c r="E48" i="7"/>
  <c r="E10" i="7"/>
  <c r="F84" i="3"/>
  <c r="F84" i="7"/>
  <c r="Y11" i="1"/>
  <c r="N47" i="3"/>
  <c r="C48" i="7"/>
  <c r="G10" i="3"/>
  <c r="D48" i="7"/>
  <c r="C10" i="7"/>
  <c r="E84" i="3"/>
  <c r="E84" i="7"/>
  <c r="P11" i="1"/>
  <c r="G84" i="3"/>
  <c r="G84" i="7"/>
  <c r="AF11" i="1"/>
  <c r="G48" i="7"/>
  <c r="C10" i="3"/>
  <c r="J47" i="3"/>
  <c r="I47" i="7"/>
  <c r="K47" i="7"/>
  <c r="H47" i="7"/>
  <c r="J47" i="7"/>
  <c r="L47" i="7"/>
  <c r="S47" i="7"/>
  <c r="V47" i="7"/>
  <c r="T47" i="7"/>
  <c r="U47" i="7"/>
  <c r="R47" i="7"/>
  <c r="D86" i="7"/>
  <c r="C85" i="7"/>
  <c r="E49" i="7" s="1"/>
  <c r="C49" i="3" l="1"/>
  <c r="C48" i="3"/>
  <c r="H10" i="3"/>
  <c r="B12" i="3"/>
  <c r="B12" i="7" s="1"/>
  <c r="C118" i="3"/>
  <c r="D118" i="3"/>
  <c r="L11" i="3"/>
  <c r="L11" i="7"/>
  <c r="N11" i="7"/>
  <c r="J11" i="7"/>
  <c r="J11" i="3"/>
  <c r="N11" i="3"/>
  <c r="K11" i="7"/>
  <c r="K11" i="3"/>
  <c r="M11" i="7"/>
  <c r="M11" i="3"/>
  <c r="K48" i="3"/>
  <c r="I48" i="3"/>
  <c r="H48" i="3"/>
  <c r="L48" i="3"/>
  <c r="V48" i="3"/>
  <c r="R48" i="3"/>
  <c r="T48" i="3"/>
  <c r="S48" i="3"/>
  <c r="U48" i="3"/>
  <c r="D86" i="3"/>
  <c r="D49" i="3"/>
  <c r="E49" i="3"/>
  <c r="G49" i="3"/>
  <c r="F49" i="3"/>
  <c r="P48" i="3"/>
  <c r="O48" i="3"/>
  <c r="M48" i="3"/>
  <c r="Q48" i="3"/>
  <c r="C11" i="3"/>
  <c r="D11" i="3"/>
  <c r="F11" i="3"/>
  <c r="Y12" i="1"/>
  <c r="F85" i="3"/>
  <c r="F85" i="7"/>
  <c r="G11" i="3"/>
  <c r="E85" i="3"/>
  <c r="E85" i="7"/>
  <c r="P12" i="1"/>
  <c r="N48" i="7"/>
  <c r="Q48" i="7"/>
  <c r="O48" i="7"/>
  <c r="P48" i="7"/>
  <c r="M48" i="7"/>
  <c r="N48" i="3"/>
  <c r="E11" i="7"/>
  <c r="J48" i="3"/>
  <c r="R48" i="7"/>
  <c r="T48" i="7"/>
  <c r="S48" i="7"/>
  <c r="V48" i="7"/>
  <c r="U48" i="7"/>
  <c r="C49" i="7"/>
  <c r="I48" i="7"/>
  <c r="J48" i="7"/>
  <c r="H48" i="7"/>
  <c r="L48" i="7"/>
  <c r="K48" i="7"/>
  <c r="C11" i="7"/>
  <c r="F49" i="7"/>
  <c r="G11" i="7"/>
  <c r="D49" i="7"/>
  <c r="F11" i="7"/>
  <c r="D11" i="7"/>
  <c r="E11" i="3"/>
  <c r="G85" i="7"/>
  <c r="AF12" i="1"/>
  <c r="G85" i="3"/>
  <c r="G49" i="7"/>
  <c r="C86" i="7"/>
  <c r="E50" i="7" s="1"/>
  <c r="D87" i="7"/>
  <c r="C87" i="3"/>
  <c r="H11" i="3" l="1"/>
  <c r="N12" i="7"/>
  <c r="L12" i="3"/>
  <c r="B13" i="3"/>
  <c r="B13" i="7" s="1"/>
  <c r="C119" i="3"/>
  <c r="D119" i="3"/>
  <c r="J12" i="7"/>
  <c r="L12" i="7"/>
  <c r="J12" i="3"/>
  <c r="N12" i="3"/>
  <c r="K12" i="7"/>
  <c r="K12" i="3"/>
  <c r="M12" i="3"/>
  <c r="M12" i="7"/>
  <c r="Q49" i="3"/>
  <c r="P49" i="3"/>
  <c r="O49" i="3"/>
  <c r="M49" i="3"/>
  <c r="K49" i="3"/>
  <c r="I49" i="3"/>
  <c r="H49" i="3"/>
  <c r="L49" i="3"/>
  <c r="D87" i="3"/>
  <c r="C51" i="3" s="1"/>
  <c r="D50" i="3"/>
  <c r="E50" i="3"/>
  <c r="G50" i="3"/>
  <c r="F50" i="3"/>
  <c r="U49" i="3"/>
  <c r="V49" i="3"/>
  <c r="R49" i="3"/>
  <c r="T49" i="3"/>
  <c r="S49" i="3"/>
  <c r="C50" i="3"/>
  <c r="C12" i="7"/>
  <c r="F12" i="7"/>
  <c r="D12" i="7"/>
  <c r="D12" i="3"/>
  <c r="C12" i="3"/>
  <c r="E86" i="7"/>
  <c r="E86" i="3"/>
  <c r="P13" i="1"/>
  <c r="F86" i="7"/>
  <c r="F86" i="3"/>
  <c r="Y13" i="1"/>
  <c r="G12" i="7"/>
  <c r="H49" i="7"/>
  <c r="K49" i="7"/>
  <c r="L49" i="7"/>
  <c r="I49" i="7"/>
  <c r="J49" i="7"/>
  <c r="J49" i="3"/>
  <c r="C50" i="7"/>
  <c r="E12" i="7"/>
  <c r="F50" i="7"/>
  <c r="E12" i="3"/>
  <c r="D50" i="7"/>
  <c r="G50" i="7"/>
  <c r="S49" i="7"/>
  <c r="V49" i="7"/>
  <c r="U49" i="7"/>
  <c r="R49" i="7"/>
  <c r="T49" i="7"/>
  <c r="F12" i="3"/>
  <c r="M49" i="7"/>
  <c r="P49" i="7"/>
  <c r="Q49" i="7"/>
  <c r="N49" i="7"/>
  <c r="O49" i="7"/>
  <c r="G86" i="7"/>
  <c r="G86" i="3"/>
  <c r="AF13" i="1"/>
  <c r="G12" i="3"/>
  <c r="N49" i="3"/>
  <c r="D88" i="7"/>
  <c r="C88" i="3"/>
  <c r="C87" i="7"/>
  <c r="H12" i="3" l="1"/>
  <c r="B14" i="3"/>
  <c r="B14" i="7" s="1"/>
  <c r="C120" i="3"/>
  <c r="D120" i="3"/>
  <c r="M13" i="7"/>
  <c r="N13" i="7"/>
  <c r="J13" i="7"/>
  <c r="N13" i="3"/>
  <c r="J13" i="3"/>
  <c r="L13" i="3"/>
  <c r="L13" i="7"/>
  <c r="K13" i="3"/>
  <c r="K13" i="7"/>
  <c r="M13" i="3"/>
  <c r="O50" i="3"/>
  <c r="M50" i="3"/>
  <c r="Q50" i="3"/>
  <c r="P50" i="3"/>
  <c r="C51" i="7"/>
  <c r="I50" i="3"/>
  <c r="H50" i="3"/>
  <c r="K50" i="3"/>
  <c r="L50" i="3"/>
  <c r="D88" i="3"/>
  <c r="C52" i="3" s="1"/>
  <c r="D51" i="3"/>
  <c r="E51" i="3"/>
  <c r="F51" i="3"/>
  <c r="G51" i="3"/>
  <c r="U50" i="3"/>
  <c r="V50" i="3"/>
  <c r="R50" i="3"/>
  <c r="T50" i="3"/>
  <c r="S50" i="3"/>
  <c r="D51" i="7"/>
  <c r="D13" i="3"/>
  <c r="E13" i="3"/>
  <c r="G13" i="7"/>
  <c r="F87" i="7"/>
  <c r="F87" i="3"/>
  <c r="Y14" i="1"/>
  <c r="F13" i="7"/>
  <c r="N50" i="3"/>
  <c r="G87" i="7"/>
  <c r="AF14" i="1"/>
  <c r="G87" i="3"/>
  <c r="F13" i="3"/>
  <c r="E87" i="7"/>
  <c r="E87" i="3"/>
  <c r="P14" i="1"/>
  <c r="G13" i="3"/>
  <c r="E51" i="7"/>
  <c r="J50" i="3"/>
  <c r="N50" i="7"/>
  <c r="Q50" i="7"/>
  <c r="O50" i="7"/>
  <c r="P50" i="7"/>
  <c r="M50" i="7"/>
  <c r="U50" i="7"/>
  <c r="V50" i="7"/>
  <c r="S50" i="7"/>
  <c r="R50" i="7"/>
  <c r="T50" i="7"/>
  <c r="C13" i="3"/>
  <c r="F51" i="7"/>
  <c r="H50" i="7"/>
  <c r="I50" i="7"/>
  <c r="L50" i="7"/>
  <c r="K50" i="7"/>
  <c r="J50" i="7"/>
  <c r="D13" i="7"/>
  <c r="C13" i="7"/>
  <c r="E13" i="7"/>
  <c r="G51" i="7"/>
  <c r="C88" i="7"/>
  <c r="E52" i="7" s="1"/>
  <c r="C89" i="3"/>
  <c r="D89" i="7"/>
  <c r="H13" i="3" l="1"/>
  <c r="B15" i="3"/>
  <c r="B15" i="7" s="1"/>
  <c r="C121" i="3"/>
  <c r="D121" i="3"/>
  <c r="N14" i="3"/>
  <c r="L14" i="7"/>
  <c r="M14" i="7"/>
  <c r="N14" i="7"/>
  <c r="J14" i="3"/>
  <c r="L14" i="3"/>
  <c r="M14" i="3"/>
  <c r="K14" i="7"/>
  <c r="K14" i="3"/>
  <c r="J14" i="7"/>
  <c r="T51" i="3"/>
  <c r="S51" i="3"/>
  <c r="U51" i="3"/>
  <c r="R51" i="3"/>
  <c r="V51" i="3"/>
  <c r="K51" i="3"/>
  <c r="I51" i="3"/>
  <c r="H51" i="3"/>
  <c r="L51" i="3"/>
  <c r="P51" i="3"/>
  <c r="O51" i="3"/>
  <c r="M51" i="3"/>
  <c r="Q51" i="3"/>
  <c r="D89" i="3"/>
  <c r="D52" i="3"/>
  <c r="E52" i="3"/>
  <c r="F52" i="3"/>
  <c r="G52" i="3"/>
  <c r="F14" i="7"/>
  <c r="G14" i="3"/>
  <c r="D14" i="3"/>
  <c r="C14" i="7"/>
  <c r="G14" i="7"/>
  <c r="H51" i="7"/>
  <c r="K51" i="7"/>
  <c r="I51" i="7"/>
  <c r="J51" i="7"/>
  <c r="L51" i="7"/>
  <c r="C52" i="7"/>
  <c r="D52" i="7"/>
  <c r="S51" i="7"/>
  <c r="T51" i="7"/>
  <c r="U51" i="7"/>
  <c r="V51" i="7"/>
  <c r="R51" i="7"/>
  <c r="D14" i="7"/>
  <c r="G88" i="7"/>
  <c r="G88" i="3"/>
  <c r="AF15" i="1"/>
  <c r="C14" i="3"/>
  <c r="F88" i="7"/>
  <c r="F88" i="3"/>
  <c r="Y15" i="1"/>
  <c r="G52" i="7"/>
  <c r="E14" i="3"/>
  <c r="F52" i="7"/>
  <c r="F14" i="3"/>
  <c r="E88" i="7"/>
  <c r="E88" i="3"/>
  <c r="P15" i="1"/>
  <c r="N51" i="3"/>
  <c r="E14" i="7"/>
  <c r="J51" i="3"/>
  <c r="Q51" i="7"/>
  <c r="N51" i="7"/>
  <c r="P51" i="7"/>
  <c r="M51" i="7"/>
  <c r="O51" i="7"/>
  <c r="D90" i="7"/>
  <c r="C90" i="3"/>
  <c r="C89" i="7"/>
  <c r="F53" i="7" s="1"/>
  <c r="B16" i="3" l="1"/>
  <c r="B16" i="7" s="1"/>
  <c r="H14" i="3"/>
  <c r="C122" i="3"/>
  <c r="D122" i="3"/>
  <c r="K15" i="7"/>
  <c r="M15" i="7"/>
  <c r="N15" i="7"/>
  <c r="L15" i="7"/>
  <c r="J15" i="7"/>
  <c r="N15" i="3"/>
  <c r="J15" i="3"/>
  <c r="K15" i="3"/>
  <c r="L15" i="3"/>
  <c r="M15" i="3"/>
  <c r="V52" i="3"/>
  <c r="R52" i="3"/>
  <c r="T52" i="3"/>
  <c r="S52" i="3"/>
  <c r="U52" i="3"/>
  <c r="D90" i="3"/>
  <c r="C54" i="3" s="1"/>
  <c r="D53" i="3"/>
  <c r="E53" i="3"/>
  <c r="G53" i="3"/>
  <c r="F53" i="3"/>
  <c r="P52" i="3"/>
  <c r="O52" i="3"/>
  <c r="M52" i="3"/>
  <c r="Q52" i="3"/>
  <c r="K52" i="3"/>
  <c r="I52" i="3"/>
  <c r="H52" i="3"/>
  <c r="L52" i="3"/>
  <c r="C53" i="3"/>
  <c r="E53" i="7"/>
  <c r="D15" i="3"/>
  <c r="C15" i="3"/>
  <c r="E15" i="7"/>
  <c r="G15" i="7"/>
  <c r="J52" i="3"/>
  <c r="E89" i="7"/>
  <c r="E89" i="3"/>
  <c r="P16" i="1"/>
  <c r="G89" i="7"/>
  <c r="AF16" i="1"/>
  <c r="G89" i="3"/>
  <c r="H52" i="7"/>
  <c r="I52" i="7"/>
  <c r="J52" i="7"/>
  <c r="K52" i="7"/>
  <c r="L52" i="7"/>
  <c r="V52" i="7"/>
  <c r="S52" i="7"/>
  <c r="U52" i="7"/>
  <c r="T52" i="7"/>
  <c r="R52" i="7"/>
  <c r="F89" i="7"/>
  <c r="F89" i="3"/>
  <c r="Y16" i="1"/>
  <c r="F15" i="7"/>
  <c r="G15" i="3"/>
  <c r="D15" i="7"/>
  <c r="C53" i="7"/>
  <c r="F15" i="3"/>
  <c r="G53" i="7"/>
  <c r="N52" i="3"/>
  <c r="E15" i="3"/>
  <c r="D53" i="7"/>
  <c r="Q52" i="7"/>
  <c r="P52" i="7"/>
  <c r="O52" i="7"/>
  <c r="N52" i="7"/>
  <c r="M52" i="7"/>
  <c r="C15" i="7"/>
  <c r="C90" i="7"/>
  <c r="D91" i="7"/>
  <c r="C91" i="3"/>
  <c r="H15" i="3" l="1"/>
  <c r="B17" i="3"/>
  <c r="B17" i="7" s="1"/>
  <c r="C123" i="3"/>
  <c r="D123" i="3"/>
  <c r="N16" i="7"/>
  <c r="L16" i="7"/>
  <c r="M16" i="7"/>
  <c r="N16" i="3"/>
  <c r="J16" i="3"/>
  <c r="K16" i="7"/>
  <c r="L16" i="3"/>
  <c r="K16" i="3"/>
  <c r="M16" i="3"/>
  <c r="J16" i="7"/>
  <c r="K53" i="3"/>
  <c r="I53" i="3"/>
  <c r="H53" i="3"/>
  <c r="L53" i="3"/>
  <c r="D91" i="3"/>
  <c r="D54" i="3"/>
  <c r="E54" i="3"/>
  <c r="G54" i="3"/>
  <c r="F54" i="3"/>
  <c r="Q53" i="3"/>
  <c r="P53" i="3"/>
  <c r="O53" i="3"/>
  <c r="M53" i="3"/>
  <c r="U53" i="3"/>
  <c r="V53" i="3"/>
  <c r="R53" i="3"/>
  <c r="T53" i="3"/>
  <c r="S53" i="3"/>
  <c r="G16" i="3"/>
  <c r="C16" i="7"/>
  <c r="F16" i="7"/>
  <c r="G16" i="7"/>
  <c r="E16" i="7"/>
  <c r="J53" i="3"/>
  <c r="E16" i="3"/>
  <c r="D16" i="7"/>
  <c r="K53" i="7"/>
  <c r="I53" i="7"/>
  <c r="H53" i="7"/>
  <c r="J53" i="7"/>
  <c r="L53" i="7"/>
  <c r="F16" i="3"/>
  <c r="N53" i="7"/>
  <c r="P53" i="7"/>
  <c r="Q53" i="7"/>
  <c r="O53" i="7"/>
  <c r="M53" i="7"/>
  <c r="C54" i="7"/>
  <c r="G54" i="7"/>
  <c r="C16" i="3"/>
  <c r="E54" i="7"/>
  <c r="D16" i="3"/>
  <c r="D54" i="7"/>
  <c r="F90" i="7"/>
  <c r="F90" i="3"/>
  <c r="Y17" i="1"/>
  <c r="G90" i="7"/>
  <c r="AF17" i="1"/>
  <c r="G90" i="3"/>
  <c r="E90" i="7"/>
  <c r="E90" i="3"/>
  <c r="P17" i="1"/>
  <c r="F54" i="7"/>
  <c r="N53" i="3"/>
  <c r="V53" i="7"/>
  <c r="S53" i="7"/>
  <c r="U53" i="7"/>
  <c r="R53" i="7"/>
  <c r="T53" i="7"/>
  <c r="D92" i="7"/>
  <c r="C92" i="3"/>
  <c r="C91" i="7"/>
  <c r="H16" i="3" l="1"/>
  <c r="B18" i="3"/>
  <c r="B18" i="7" s="1"/>
  <c r="C124" i="3"/>
  <c r="K17" i="7"/>
  <c r="D124" i="3"/>
  <c r="M17" i="7"/>
  <c r="J17" i="7"/>
  <c r="N17" i="7"/>
  <c r="N17" i="3"/>
  <c r="J17" i="3"/>
  <c r="L17" i="3"/>
  <c r="K17" i="3"/>
  <c r="M17" i="3"/>
  <c r="L17" i="7"/>
  <c r="K54" i="3"/>
  <c r="H54" i="3"/>
  <c r="I54" i="3"/>
  <c r="L54" i="3"/>
  <c r="D92" i="3"/>
  <c r="E55" i="3"/>
  <c r="D55" i="3"/>
  <c r="G55" i="3"/>
  <c r="F55" i="3"/>
  <c r="U54" i="3"/>
  <c r="V54" i="3"/>
  <c r="R54" i="3"/>
  <c r="T54" i="3"/>
  <c r="S54" i="3"/>
  <c r="O54" i="3"/>
  <c r="M54" i="3"/>
  <c r="Q54" i="3"/>
  <c r="P54" i="3"/>
  <c r="C55" i="3"/>
  <c r="D17" i="3"/>
  <c r="C17" i="7"/>
  <c r="G17" i="3"/>
  <c r="P54" i="7"/>
  <c r="N54" i="7"/>
  <c r="O54" i="7"/>
  <c r="Q54" i="7"/>
  <c r="M54" i="7"/>
  <c r="D17" i="7"/>
  <c r="J54" i="3"/>
  <c r="F17" i="7"/>
  <c r="F17" i="3"/>
  <c r="C55" i="7"/>
  <c r="E91" i="7"/>
  <c r="E91" i="3"/>
  <c r="P18" i="1"/>
  <c r="H54" i="7"/>
  <c r="I54" i="7"/>
  <c r="K54" i="7"/>
  <c r="J54" i="7"/>
  <c r="L54" i="7"/>
  <c r="E17" i="3"/>
  <c r="E55" i="7"/>
  <c r="F55" i="7"/>
  <c r="C17" i="3"/>
  <c r="U54" i="7"/>
  <c r="S54" i="7"/>
  <c r="T54" i="7"/>
  <c r="R54" i="7"/>
  <c r="V54" i="7"/>
  <c r="G17" i="7"/>
  <c r="D55" i="7"/>
  <c r="G91" i="7"/>
  <c r="G91" i="3"/>
  <c r="AF18" i="1"/>
  <c r="F91" i="7"/>
  <c r="F91" i="3"/>
  <c r="Y18" i="1"/>
  <c r="E17" i="7"/>
  <c r="G55" i="7"/>
  <c r="N54" i="3"/>
  <c r="C92" i="7"/>
  <c r="D56" i="7" s="1"/>
  <c r="C93" i="3"/>
  <c r="D93" i="7"/>
  <c r="H17" i="3" l="1"/>
  <c r="B19" i="3"/>
  <c r="B19" i="7" s="1"/>
  <c r="C125" i="3"/>
  <c r="D125" i="3"/>
  <c r="J18" i="7"/>
  <c r="N18" i="3"/>
  <c r="N18" i="7"/>
  <c r="M18" i="7"/>
  <c r="K18" i="3"/>
  <c r="J18" i="3"/>
  <c r="M18" i="3"/>
  <c r="L18" i="7"/>
  <c r="K18" i="7"/>
  <c r="L18" i="3"/>
  <c r="T55" i="3"/>
  <c r="S55" i="3"/>
  <c r="U55" i="3"/>
  <c r="R55" i="3"/>
  <c r="V55" i="3"/>
  <c r="P55" i="3"/>
  <c r="O55" i="3"/>
  <c r="M55" i="3"/>
  <c r="Q55" i="3"/>
  <c r="K55" i="3"/>
  <c r="I55" i="3"/>
  <c r="H55" i="3"/>
  <c r="L55" i="3"/>
  <c r="D93" i="3"/>
  <c r="E56" i="3"/>
  <c r="D56" i="3"/>
  <c r="F56" i="3"/>
  <c r="G56" i="3"/>
  <c r="C56" i="3"/>
  <c r="C18" i="7"/>
  <c r="G18" i="7"/>
  <c r="V55" i="7"/>
  <c r="T55" i="7"/>
  <c r="U55" i="7"/>
  <c r="S55" i="7"/>
  <c r="R55" i="7"/>
  <c r="F18" i="7"/>
  <c r="E18" i="7"/>
  <c r="D18" i="7"/>
  <c r="C56" i="7"/>
  <c r="N55" i="3"/>
  <c r="E92" i="3"/>
  <c r="E92" i="7"/>
  <c r="P19" i="1"/>
  <c r="F18" i="3"/>
  <c r="E56" i="7"/>
  <c r="M55" i="7"/>
  <c r="O55" i="7"/>
  <c r="P55" i="7"/>
  <c r="N55" i="7"/>
  <c r="Q55" i="7"/>
  <c r="J55" i="3"/>
  <c r="G18" i="3"/>
  <c r="F92" i="7"/>
  <c r="F92" i="3"/>
  <c r="Y19" i="1"/>
  <c r="E18" i="3"/>
  <c r="F56" i="7"/>
  <c r="I55" i="7"/>
  <c r="K55" i="7"/>
  <c r="J55" i="7"/>
  <c r="H55" i="7"/>
  <c r="L55" i="7"/>
  <c r="D18" i="3"/>
  <c r="G56" i="7"/>
  <c r="G92" i="3"/>
  <c r="G92" i="7"/>
  <c r="AF19" i="1"/>
  <c r="C18" i="3"/>
  <c r="D94" i="7"/>
  <c r="C94" i="3"/>
  <c r="C93" i="7"/>
  <c r="H18" i="3" l="1"/>
  <c r="B20" i="3"/>
  <c r="B20" i="7" s="1"/>
  <c r="M19" i="7"/>
  <c r="C126" i="3"/>
  <c r="K19" i="3"/>
  <c r="D126" i="3"/>
  <c r="L19" i="7"/>
  <c r="K19" i="7"/>
  <c r="J19" i="7"/>
  <c r="N19" i="7"/>
  <c r="L19" i="3"/>
  <c r="M19" i="3"/>
  <c r="N19" i="3"/>
  <c r="J19" i="3"/>
  <c r="V56" i="3"/>
  <c r="R56" i="3"/>
  <c r="T56" i="3"/>
  <c r="S56" i="3"/>
  <c r="U56" i="3"/>
  <c r="K56" i="3"/>
  <c r="I56" i="3"/>
  <c r="H56" i="3"/>
  <c r="L56" i="3"/>
  <c r="C57" i="7"/>
  <c r="P56" i="3"/>
  <c r="O56" i="3"/>
  <c r="M56" i="3"/>
  <c r="Q56" i="3"/>
  <c r="D94" i="3"/>
  <c r="D57" i="3"/>
  <c r="E57" i="3"/>
  <c r="G57" i="3"/>
  <c r="F57" i="3"/>
  <c r="C57" i="3"/>
  <c r="F19" i="3"/>
  <c r="E19" i="3"/>
  <c r="C19" i="7"/>
  <c r="E19" i="7"/>
  <c r="D19" i="7"/>
  <c r="C19" i="3"/>
  <c r="G19" i="3"/>
  <c r="F19" i="7"/>
  <c r="F93" i="3"/>
  <c r="Y20" i="1"/>
  <c r="F93" i="7"/>
  <c r="F57" i="7"/>
  <c r="E93" i="3"/>
  <c r="E93" i="7"/>
  <c r="P20" i="1"/>
  <c r="G93" i="7"/>
  <c r="AF20" i="1"/>
  <c r="G93" i="3"/>
  <c r="V56" i="7"/>
  <c r="R56" i="7"/>
  <c r="S56" i="7"/>
  <c r="T56" i="7"/>
  <c r="U56" i="7"/>
  <c r="J56" i="3"/>
  <c r="G57" i="7"/>
  <c r="G19" i="7"/>
  <c r="E57" i="7"/>
  <c r="N56" i="3"/>
  <c r="N56" i="7"/>
  <c r="Q56" i="7"/>
  <c r="P56" i="7"/>
  <c r="O56" i="7"/>
  <c r="M56" i="7"/>
  <c r="D57" i="7"/>
  <c r="H56" i="7"/>
  <c r="I56" i="7"/>
  <c r="L56" i="7"/>
  <c r="K56" i="7"/>
  <c r="J56" i="7"/>
  <c r="D19" i="3"/>
  <c r="C95" i="3"/>
  <c r="D95" i="7"/>
  <c r="C94" i="7"/>
  <c r="G58" i="7" s="1"/>
  <c r="H19" i="3" l="1"/>
  <c r="B21" i="3"/>
  <c r="B21" i="7" s="1"/>
  <c r="C127" i="3"/>
  <c r="D127" i="3"/>
  <c r="N20" i="7"/>
  <c r="J20" i="7"/>
  <c r="L20" i="3"/>
  <c r="M20" i="7"/>
  <c r="J20" i="3"/>
  <c r="K20" i="3"/>
  <c r="M20" i="3"/>
  <c r="L20" i="7"/>
  <c r="K20" i="7"/>
  <c r="N20" i="3"/>
  <c r="F58" i="7"/>
  <c r="D95" i="3"/>
  <c r="C59" i="3" s="1"/>
  <c r="D58" i="3"/>
  <c r="E58" i="3"/>
  <c r="F58" i="3"/>
  <c r="G58" i="3"/>
  <c r="E58" i="7"/>
  <c r="K57" i="3"/>
  <c r="I57" i="3"/>
  <c r="H57" i="3"/>
  <c r="L57" i="3"/>
  <c r="Q57" i="3"/>
  <c r="P57" i="3"/>
  <c r="O57" i="3"/>
  <c r="M57" i="3"/>
  <c r="U57" i="3"/>
  <c r="V57" i="3"/>
  <c r="R57" i="3"/>
  <c r="T57" i="3"/>
  <c r="S57" i="3"/>
  <c r="C58" i="3"/>
  <c r="D58" i="7"/>
  <c r="F20" i="7"/>
  <c r="C20" i="7"/>
  <c r="D20" i="3"/>
  <c r="E94" i="7"/>
  <c r="E94" i="3"/>
  <c r="P21" i="1"/>
  <c r="H57" i="7"/>
  <c r="K57" i="7"/>
  <c r="I57" i="7"/>
  <c r="L57" i="7"/>
  <c r="J57" i="7"/>
  <c r="E20" i="3"/>
  <c r="J57" i="3"/>
  <c r="E20" i="7"/>
  <c r="M57" i="7"/>
  <c r="N57" i="7"/>
  <c r="P57" i="7"/>
  <c r="Q57" i="7"/>
  <c r="O57" i="7"/>
  <c r="G20" i="3"/>
  <c r="F20" i="3"/>
  <c r="F94" i="3"/>
  <c r="F94" i="7"/>
  <c r="Y21" i="1"/>
  <c r="G20" i="7"/>
  <c r="C20" i="3"/>
  <c r="G94" i="7"/>
  <c r="G94" i="3"/>
  <c r="AF21" i="1"/>
  <c r="N57" i="3"/>
  <c r="C58" i="7"/>
  <c r="D20" i="7"/>
  <c r="V57" i="7"/>
  <c r="T57" i="7"/>
  <c r="S57" i="7"/>
  <c r="R57" i="7"/>
  <c r="U57" i="7"/>
  <c r="C95" i="7"/>
  <c r="G59" i="7" s="1"/>
  <c r="D96" i="7"/>
  <c r="C96" i="3"/>
  <c r="H20" i="3" l="1"/>
  <c r="B22" i="3"/>
  <c r="B22" i="7" s="1"/>
  <c r="C128" i="3"/>
  <c r="D128" i="3"/>
  <c r="J21" i="7"/>
  <c r="L21" i="7"/>
  <c r="N21" i="7"/>
  <c r="M21" i="7"/>
  <c r="N21" i="3"/>
  <c r="J21" i="3"/>
  <c r="L21" i="3"/>
  <c r="K21" i="3"/>
  <c r="K21" i="7"/>
  <c r="M21" i="3"/>
  <c r="K58" i="3"/>
  <c r="I58" i="3"/>
  <c r="H58" i="3"/>
  <c r="L58" i="3"/>
  <c r="O58" i="3"/>
  <c r="M58" i="3"/>
  <c r="Q58" i="3"/>
  <c r="P58" i="3"/>
  <c r="U58" i="3"/>
  <c r="V58" i="3"/>
  <c r="R58" i="3"/>
  <c r="T58" i="3"/>
  <c r="S58" i="3"/>
  <c r="D96" i="3"/>
  <c r="D59" i="3"/>
  <c r="E59" i="3"/>
  <c r="G59" i="3"/>
  <c r="F59" i="3"/>
  <c r="D59" i="7"/>
  <c r="G21" i="7"/>
  <c r="D21" i="7"/>
  <c r="E21" i="3"/>
  <c r="U58" i="7"/>
  <c r="S58" i="7"/>
  <c r="R58" i="7"/>
  <c r="V58" i="7"/>
  <c r="T58" i="7"/>
  <c r="D21" i="3"/>
  <c r="F21" i="7"/>
  <c r="F21" i="3"/>
  <c r="C21" i="7"/>
  <c r="C21" i="3"/>
  <c r="J58" i="3"/>
  <c r="C59" i="7"/>
  <c r="F95" i="3"/>
  <c r="F95" i="7"/>
  <c r="Y22" i="1"/>
  <c r="H58" i="7"/>
  <c r="K58" i="7"/>
  <c r="I58" i="7"/>
  <c r="L58" i="7"/>
  <c r="J58" i="7"/>
  <c r="G21" i="3"/>
  <c r="N58" i="7"/>
  <c r="M58" i="7"/>
  <c r="P58" i="7"/>
  <c r="Q58" i="7"/>
  <c r="O58" i="7"/>
  <c r="E21" i="7"/>
  <c r="E95" i="7"/>
  <c r="E95" i="3"/>
  <c r="P22" i="1"/>
  <c r="E59" i="7"/>
  <c r="F59" i="7"/>
  <c r="G95" i="7"/>
  <c r="AF22" i="1"/>
  <c r="G95" i="3"/>
  <c r="N58" i="3"/>
  <c r="D97" i="7"/>
  <c r="C97" i="3"/>
  <c r="C96" i="7"/>
  <c r="G60" i="7" s="1"/>
  <c r="H21" i="3" l="1"/>
  <c r="B23" i="3"/>
  <c r="B23" i="7" s="1"/>
  <c r="C129" i="3"/>
  <c r="D129" i="3"/>
  <c r="M22" i="7"/>
  <c r="J22" i="7"/>
  <c r="L22" i="7"/>
  <c r="N22" i="3"/>
  <c r="J22" i="3"/>
  <c r="L22" i="3"/>
  <c r="K22" i="7"/>
  <c r="K22" i="3"/>
  <c r="N22" i="7"/>
  <c r="M22" i="3"/>
  <c r="T59" i="3"/>
  <c r="S59" i="3"/>
  <c r="U59" i="3"/>
  <c r="R59" i="3"/>
  <c r="V59" i="3"/>
  <c r="D97" i="3"/>
  <c r="D60" i="3"/>
  <c r="E60" i="3"/>
  <c r="G60" i="3"/>
  <c r="F60" i="3"/>
  <c r="K59" i="3"/>
  <c r="I59" i="3"/>
  <c r="H59" i="3"/>
  <c r="L59" i="3"/>
  <c r="P59" i="3"/>
  <c r="O59" i="3"/>
  <c r="M59" i="3"/>
  <c r="Q59" i="3"/>
  <c r="C60" i="3"/>
  <c r="G22" i="7"/>
  <c r="C22" i="7"/>
  <c r="G22" i="3"/>
  <c r="C60" i="7"/>
  <c r="S59" i="7"/>
  <c r="R59" i="7"/>
  <c r="V59" i="7"/>
  <c r="T59" i="7"/>
  <c r="U59" i="7"/>
  <c r="E96" i="7"/>
  <c r="E96" i="3"/>
  <c r="P23" i="1"/>
  <c r="F96" i="3"/>
  <c r="F96" i="7"/>
  <c r="Y23" i="1"/>
  <c r="D22" i="3"/>
  <c r="J59" i="3"/>
  <c r="P59" i="7"/>
  <c r="M59" i="7"/>
  <c r="Q59" i="7"/>
  <c r="O59" i="7"/>
  <c r="N59" i="7"/>
  <c r="C22" i="3"/>
  <c r="E22" i="7"/>
  <c r="N59" i="3"/>
  <c r="H59" i="7"/>
  <c r="J59" i="7"/>
  <c r="L59" i="7"/>
  <c r="I59" i="7"/>
  <c r="K59" i="7"/>
  <c r="E60" i="7"/>
  <c r="F60" i="7"/>
  <c r="D22" i="7"/>
  <c r="E22" i="3"/>
  <c r="G96" i="7"/>
  <c r="G96" i="3"/>
  <c r="AF23" i="1"/>
  <c r="D60" i="7"/>
  <c r="F22" i="7"/>
  <c r="F22" i="3"/>
  <c r="H22" i="3" s="1"/>
  <c r="C98" i="3"/>
  <c r="C97" i="7"/>
  <c r="G61" i="7" s="1"/>
  <c r="D98" i="7"/>
  <c r="B24" i="3" l="1"/>
  <c r="B24" i="7" s="1"/>
  <c r="C130" i="3"/>
  <c r="D130" i="3"/>
  <c r="K23" i="3"/>
  <c r="M23" i="3"/>
  <c r="M23" i="7"/>
  <c r="N23" i="7"/>
  <c r="L23" i="7"/>
  <c r="K23" i="7"/>
  <c r="J23" i="7"/>
  <c r="N23" i="3"/>
  <c r="L23" i="3"/>
  <c r="J23" i="3"/>
  <c r="D98" i="3"/>
  <c r="C62" i="3" s="1"/>
  <c r="D61" i="3"/>
  <c r="E61" i="3"/>
  <c r="G61" i="3"/>
  <c r="F61" i="3"/>
  <c r="K60" i="3"/>
  <c r="I60" i="3"/>
  <c r="H60" i="3"/>
  <c r="L60" i="3"/>
  <c r="C61" i="3"/>
  <c r="V60" i="3"/>
  <c r="R60" i="3"/>
  <c r="T60" i="3"/>
  <c r="S60" i="3"/>
  <c r="U60" i="3"/>
  <c r="P60" i="3"/>
  <c r="O60" i="3"/>
  <c r="M60" i="3"/>
  <c r="Q60" i="3"/>
  <c r="D23" i="7"/>
  <c r="E23" i="7"/>
  <c r="C23" i="7"/>
  <c r="F23" i="7"/>
  <c r="Q60" i="7"/>
  <c r="N60" i="7"/>
  <c r="M60" i="7"/>
  <c r="O60" i="7"/>
  <c r="P60" i="7"/>
  <c r="G97" i="7"/>
  <c r="AF24" i="1"/>
  <c r="G97" i="3"/>
  <c r="G23" i="3"/>
  <c r="N60" i="3"/>
  <c r="F97" i="3"/>
  <c r="F97" i="7"/>
  <c r="Y24" i="1"/>
  <c r="D23" i="3"/>
  <c r="E97" i="7"/>
  <c r="E97" i="3"/>
  <c r="P24" i="1"/>
  <c r="E23" i="3"/>
  <c r="J60" i="3"/>
  <c r="C61" i="7"/>
  <c r="F61" i="7"/>
  <c r="R60" i="7"/>
  <c r="U60" i="7"/>
  <c r="S60" i="7"/>
  <c r="T60" i="7"/>
  <c r="V60" i="7"/>
  <c r="G23" i="7"/>
  <c r="E61" i="7"/>
  <c r="F23" i="3"/>
  <c r="H60" i="7"/>
  <c r="K60" i="7"/>
  <c r="I60" i="7"/>
  <c r="L60" i="7"/>
  <c r="J60" i="7"/>
  <c r="D61" i="7"/>
  <c r="C23" i="3"/>
  <c r="C98" i="7"/>
  <c r="F62" i="7" s="1"/>
  <c r="D99" i="7"/>
  <c r="C99" i="3"/>
  <c r="B25" i="3" l="1"/>
  <c r="B25" i="7" s="1"/>
  <c r="H23" i="3"/>
  <c r="C131" i="3"/>
  <c r="D131" i="3"/>
  <c r="N24" i="3"/>
  <c r="N24" i="7"/>
  <c r="M24" i="7"/>
  <c r="K24" i="7"/>
  <c r="J24" i="7"/>
  <c r="J24" i="3"/>
  <c r="K24" i="3"/>
  <c r="M24" i="3"/>
  <c r="L24" i="3"/>
  <c r="L24" i="7"/>
  <c r="G62" i="7"/>
  <c r="K61" i="3"/>
  <c r="I61" i="3"/>
  <c r="H61" i="3"/>
  <c r="L61" i="3"/>
  <c r="D99" i="3"/>
  <c r="D62" i="3"/>
  <c r="E62" i="3"/>
  <c r="F62" i="3"/>
  <c r="G62" i="3"/>
  <c r="U61" i="3"/>
  <c r="V61" i="3"/>
  <c r="R61" i="3"/>
  <c r="T61" i="3"/>
  <c r="S61" i="3"/>
  <c r="Q61" i="3"/>
  <c r="P61" i="3"/>
  <c r="O61" i="3"/>
  <c r="M61" i="3"/>
  <c r="D24" i="7"/>
  <c r="F24" i="7"/>
  <c r="F24" i="3"/>
  <c r="G24" i="7"/>
  <c r="E24" i="7"/>
  <c r="C24" i="7"/>
  <c r="E24" i="3"/>
  <c r="G24" i="3"/>
  <c r="D24" i="3"/>
  <c r="C24" i="3"/>
  <c r="K61" i="7"/>
  <c r="I61" i="7"/>
  <c r="L61" i="7"/>
  <c r="J61" i="7"/>
  <c r="H61" i="7"/>
  <c r="M61" i="7"/>
  <c r="O61" i="7"/>
  <c r="Q61" i="7"/>
  <c r="P61" i="7"/>
  <c r="N61" i="7"/>
  <c r="N61" i="3"/>
  <c r="G98" i="7"/>
  <c r="AF25" i="1"/>
  <c r="G98" i="3"/>
  <c r="F98" i="3"/>
  <c r="F98" i="7"/>
  <c r="Y25" i="1"/>
  <c r="C62" i="7"/>
  <c r="E62" i="7"/>
  <c r="V61" i="7"/>
  <c r="S61" i="7"/>
  <c r="R61" i="7"/>
  <c r="T61" i="7"/>
  <c r="U61" i="7"/>
  <c r="E98" i="7"/>
  <c r="E98" i="3"/>
  <c r="P25" i="1"/>
  <c r="J61" i="3"/>
  <c r="D62" i="7"/>
  <c r="D100" i="7"/>
  <c r="C100" i="3"/>
  <c r="C99" i="7"/>
  <c r="D63" i="7" s="1"/>
  <c r="H24" i="3" l="1"/>
  <c r="B26" i="3"/>
  <c r="B26" i="7" s="1"/>
  <c r="C132" i="3"/>
  <c r="D132" i="3"/>
  <c r="K25" i="7"/>
  <c r="N25" i="3"/>
  <c r="J25" i="3"/>
  <c r="M25" i="7"/>
  <c r="K25" i="3"/>
  <c r="J25" i="7"/>
  <c r="M25" i="3"/>
  <c r="L25" i="3"/>
  <c r="L25" i="7"/>
  <c r="N25" i="7"/>
  <c r="U62" i="3"/>
  <c r="V62" i="3"/>
  <c r="R62" i="3"/>
  <c r="T62" i="3"/>
  <c r="S62" i="3"/>
  <c r="D100" i="3"/>
  <c r="C64" i="3" s="1"/>
  <c r="D63" i="3"/>
  <c r="E63" i="3"/>
  <c r="F63" i="3"/>
  <c r="G63" i="3"/>
  <c r="C63" i="3"/>
  <c r="O62" i="3"/>
  <c r="M62" i="3"/>
  <c r="Q62" i="3"/>
  <c r="P62" i="3"/>
  <c r="H62" i="3"/>
  <c r="K62" i="3"/>
  <c r="I62" i="3"/>
  <c r="L62" i="3"/>
  <c r="F63" i="7"/>
  <c r="D25" i="7"/>
  <c r="D25" i="3"/>
  <c r="E25" i="7"/>
  <c r="J62" i="3"/>
  <c r="U62" i="7"/>
  <c r="R62" i="7"/>
  <c r="T62" i="7"/>
  <c r="V62" i="7"/>
  <c r="S62" i="7"/>
  <c r="F25" i="7"/>
  <c r="H62" i="7"/>
  <c r="I62" i="7"/>
  <c r="L62" i="7"/>
  <c r="J62" i="7"/>
  <c r="K62" i="7"/>
  <c r="F25" i="3"/>
  <c r="N62" i="3"/>
  <c r="C25" i="7"/>
  <c r="G25" i="3"/>
  <c r="G25" i="7"/>
  <c r="E25" i="3"/>
  <c r="F99" i="3"/>
  <c r="F99" i="7"/>
  <c r="Y26" i="1"/>
  <c r="P62" i="7"/>
  <c r="O62" i="7"/>
  <c r="N62" i="7"/>
  <c r="M62" i="7"/>
  <c r="Q62" i="7"/>
  <c r="C63" i="7"/>
  <c r="C25" i="3"/>
  <c r="E63" i="7"/>
  <c r="E99" i="7"/>
  <c r="E99" i="3"/>
  <c r="P26" i="1"/>
  <c r="G99" i="7"/>
  <c r="G99" i="3"/>
  <c r="AF26" i="1"/>
  <c r="G63" i="7"/>
  <c r="C101" i="3"/>
  <c r="C100" i="7"/>
  <c r="D101" i="7"/>
  <c r="H25" i="3" l="1"/>
  <c r="B27" i="3"/>
  <c r="B27" i="7" s="1"/>
  <c r="C133" i="3"/>
  <c r="D133" i="3"/>
  <c r="N26" i="3"/>
  <c r="L26" i="7"/>
  <c r="N26" i="7"/>
  <c r="M26" i="7"/>
  <c r="M26" i="3"/>
  <c r="J26" i="3"/>
  <c r="K26" i="7"/>
  <c r="J26" i="7"/>
  <c r="K26" i="3"/>
  <c r="L26" i="3"/>
  <c r="K63" i="3"/>
  <c r="I63" i="3"/>
  <c r="H63" i="3"/>
  <c r="L63" i="3"/>
  <c r="P63" i="3"/>
  <c r="O63" i="3"/>
  <c r="M63" i="3"/>
  <c r="Q63" i="3"/>
  <c r="D101" i="3"/>
  <c r="C65" i="3" s="1"/>
  <c r="E64" i="3"/>
  <c r="D64" i="3"/>
  <c r="G64" i="3"/>
  <c r="F64" i="3"/>
  <c r="T63" i="3"/>
  <c r="S63" i="3"/>
  <c r="U63" i="3"/>
  <c r="V63" i="3"/>
  <c r="R63" i="3"/>
  <c r="D26" i="7"/>
  <c r="C26" i="7"/>
  <c r="D26" i="3"/>
  <c r="E26" i="3"/>
  <c r="I63" i="7"/>
  <c r="K63" i="7"/>
  <c r="J63" i="7"/>
  <c r="L63" i="7"/>
  <c r="H63" i="7"/>
  <c r="F26" i="3"/>
  <c r="C64" i="7"/>
  <c r="E64" i="7"/>
  <c r="G26" i="3"/>
  <c r="F100" i="3"/>
  <c r="F100" i="7"/>
  <c r="Y27" i="1"/>
  <c r="C26" i="3"/>
  <c r="G100" i="3"/>
  <c r="G100" i="7"/>
  <c r="AF27" i="1"/>
  <c r="D64" i="7"/>
  <c r="M63" i="7"/>
  <c r="N63" i="7"/>
  <c r="Q63" i="7"/>
  <c r="O63" i="7"/>
  <c r="P63" i="7"/>
  <c r="F26" i="7"/>
  <c r="J63" i="3"/>
  <c r="S63" i="7"/>
  <c r="U63" i="7"/>
  <c r="V63" i="7"/>
  <c r="T63" i="7"/>
  <c r="R63" i="7"/>
  <c r="N63" i="3"/>
  <c r="E26" i="7"/>
  <c r="F64" i="7"/>
  <c r="G64" i="7"/>
  <c r="E100" i="3"/>
  <c r="E100" i="7"/>
  <c r="P27" i="1"/>
  <c r="G26" i="7"/>
  <c r="D102" i="7"/>
  <c r="C102" i="3"/>
  <c r="C101" i="7"/>
  <c r="E65" i="7" s="1"/>
  <c r="H26" i="3" l="1"/>
  <c r="B28" i="3"/>
  <c r="B28" i="7" s="1"/>
  <c r="C134" i="3"/>
  <c r="D134" i="3"/>
  <c r="N27" i="7"/>
  <c r="M27" i="7"/>
  <c r="J27" i="7"/>
  <c r="N27" i="3"/>
  <c r="J27" i="3"/>
  <c r="K27" i="3"/>
  <c r="L27" i="7"/>
  <c r="K27" i="7"/>
  <c r="M27" i="3"/>
  <c r="L27" i="3"/>
  <c r="K64" i="3"/>
  <c r="I64" i="3"/>
  <c r="H64" i="3"/>
  <c r="L64" i="3"/>
  <c r="P64" i="3"/>
  <c r="O64" i="3"/>
  <c r="M64" i="3"/>
  <c r="Q64" i="3"/>
  <c r="D102" i="3"/>
  <c r="D65" i="3"/>
  <c r="E65" i="3"/>
  <c r="F65" i="3"/>
  <c r="G65" i="3"/>
  <c r="V64" i="3"/>
  <c r="R64" i="3"/>
  <c r="T64" i="3"/>
  <c r="S64" i="3"/>
  <c r="U64" i="3"/>
  <c r="D65" i="7"/>
  <c r="C27" i="7"/>
  <c r="C27" i="3"/>
  <c r="F101" i="3"/>
  <c r="F101" i="7"/>
  <c r="Y28" i="1"/>
  <c r="C65" i="7"/>
  <c r="G65" i="7"/>
  <c r="F65" i="7"/>
  <c r="N64" i="7"/>
  <c r="M64" i="7"/>
  <c r="O64" i="7"/>
  <c r="Q64" i="7"/>
  <c r="P64" i="7"/>
  <c r="G27" i="7"/>
  <c r="E27" i="3"/>
  <c r="N64" i="3"/>
  <c r="E27" i="7"/>
  <c r="D27" i="3"/>
  <c r="F27" i="7"/>
  <c r="E101" i="3"/>
  <c r="E101" i="7"/>
  <c r="P28" i="1"/>
  <c r="H64" i="7"/>
  <c r="L64" i="7"/>
  <c r="K64" i="7"/>
  <c r="I64" i="7"/>
  <c r="J64" i="7"/>
  <c r="J64" i="3"/>
  <c r="F27" i="3"/>
  <c r="G101" i="7"/>
  <c r="AF28" i="1"/>
  <c r="G101" i="3"/>
  <c r="D27" i="7"/>
  <c r="G27" i="3"/>
  <c r="R64" i="7"/>
  <c r="S64" i="7"/>
  <c r="V64" i="7"/>
  <c r="T64" i="7"/>
  <c r="U64" i="7"/>
  <c r="C103" i="3"/>
  <c r="C102" i="7"/>
  <c r="D103" i="7"/>
  <c r="H27" i="3" l="1"/>
  <c r="C66" i="7"/>
  <c r="B29" i="3"/>
  <c r="B29" i="7" s="1"/>
  <c r="C135" i="3"/>
  <c r="D135" i="3"/>
  <c r="L28" i="3"/>
  <c r="N28" i="7"/>
  <c r="L28" i="7"/>
  <c r="M28" i="7"/>
  <c r="K28" i="7"/>
  <c r="N28" i="3"/>
  <c r="J28" i="3"/>
  <c r="J28" i="7"/>
  <c r="K28" i="3"/>
  <c r="M28" i="3"/>
  <c r="Q65" i="3"/>
  <c r="P65" i="3"/>
  <c r="O65" i="3"/>
  <c r="M65" i="3"/>
  <c r="U65" i="3"/>
  <c r="V65" i="3"/>
  <c r="R65" i="3"/>
  <c r="T65" i="3"/>
  <c r="S65" i="3"/>
  <c r="K65" i="3"/>
  <c r="I65" i="3"/>
  <c r="H65" i="3"/>
  <c r="L65" i="3"/>
  <c r="D103" i="3"/>
  <c r="C67" i="3" s="1"/>
  <c r="D66" i="3"/>
  <c r="E66" i="3"/>
  <c r="F66" i="3"/>
  <c r="G66" i="3"/>
  <c r="C66" i="3"/>
  <c r="E28" i="3"/>
  <c r="G28" i="3"/>
  <c r="D28" i="7"/>
  <c r="C28" i="3"/>
  <c r="C28" i="7"/>
  <c r="F28" i="7"/>
  <c r="G28" i="7"/>
  <c r="F28" i="3"/>
  <c r="G66" i="7"/>
  <c r="S65" i="7"/>
  <c r="V65" i="7"/>
  <c r="U65" i="7"/>
  <c r="T65" i="7"/>
  <c r="R65" i="7"/>
  <c r="H65" i="7"/>
  <c r="K65" i="7"/>
  <c r="I65" i="7"/>
  <c r="J65" i="7"/>
  <c r="L65" i="7"/>
  <c r="F102" i="3"/>
  <c r="F102" i="7"/>
  <c r="Y29" i="1"/>
  <c r="D66" i="7"/>
  <c r="E102" i="7"/>
  <c r="E102" i="3"/>
  <c r="P29" i="1"/>
  <c r="E28" i="7"/>
  <c r="J65" i="3"/>
  <c r="M65" i="7"/>
  <c r="P65" i="7"/>
  <c r="N65" i="7"/>
  <c r="Q65" i="7"/>
  <c r="O65" i="7"/>
  <c r="E66" i="7"/>
  <c r="F66" i="7"/>
  <c r="N65" i="3"/>
  <c r="G102" i="7"/>
  <c r="G102" i="3"/>
  <c r="AF29" i="1"/>
  <c r="D28" i="3"/>
  <c r="D104" i="7"/>
  <c r="C103" i="7"/>
  <c r="F67" i="7" s="1"/>
  <c r="C104" i="3"/>
  <c r="H28" i="3" l="1"/>
  <c r="J29" i="7"/>
  <c r="B30" i="3"/>
  <c r="B30" i="7" s="1"/>
  <c r="C136" i="3"/>
  <c r="M29" i="7"/>
  <c r="D136" i="3"/>
  <c r="K29" i="3"/>
  <c r="J29" i="3"/>
  <c r="N29" i="7"/>
  <c r="N29" i="3"/>
  <c r="L29" i="3"/>
  <c r="M29" i="3"/>
  <c r="L29" i="7"/>
  <c r="K29" i="7"/>
  <c r="U66" i="3"/>
  <c r="V66" i="3"/>
  <c r="R66" i="3"/>
  <c r="T66" i="3"/>
  <c r="S66" i="3"/>
  <c r="K66" i="3"/>
  <c r="I66" i="3"/>
  <c r="H66" i="3"/>
  <c r="L66" i="3"/>
  <c r="D104" i="3"/>
  <c r="E67" i="3"/>
  <c r="D67" i="3"/>
  <c r="F67" i="3"/>
  <c r="G67" i="3"/>
  <c r="O66" i="3"/>
  <c r="M66" i="3"/>
  <c r="Q66" i="3"/>
  <c r="P66" i="3"/>
  <c r="E29" i="7"/>
  <c r="G29" i="7"/>
  <c r="E103" i="7"/>
  <c r="E103" i="3"/>
  <c r="P30" i="1"/>
  <c r="E67" i="7"/>
  <c r="E29" i="3"/>
  <c r="J66" i="3"/>
  <c r="D29" i="7"/>
  <c r="G103" i="7"/>
  <c r="G103" i="3"/>
  <c r="AF30" i="1"/>
  <c r="U66" i="7"/>
  <c r="S66" i="7"/>
  <c r="R66" i="7"/>
  <c r="T66" i="7"/>
  <c r="V66" i="7"/>
  <c r="G29" i="3"/>
  <c r="K66" i="7"/>
  <c r="L66" i="7"/>
  <c r="H66" i="7"/>
  <c r="J66" i="7"/>
  <c r="I66" i="7"/>
  <c r="F29" i="7"/>
  <c r="N66" i="3"/>
  <c r="C67" i="7"/>
  <c r="F29" i="3"/>
  <c r="C29" i="7"/>
  <c r="D67" i="7"/>
  <c r="G67" i="7"/>
  <c r="D29" i="3"/>
  <c r="F103" i="3"/>
  <c r="F103" i="7"/>
  <c r="Y30" i="1"/>
  <c r="C29" i="3"/>
  <c r="N66" i="7"/>
  <c r="Q66" i="7"/>
  <c r="O66" i="7"/>
  <c r="M66" i="7"/>
  <c r="P66" i="7"/>
  <c r="C105" i="3"/>
  <c r="C104" i="7"/>
  <c r="D68" i="7" s="1"/>
  <c r="D105" i="7"/>
  <c r="H29" i="3" l="1"/>
  <c r="B31" i="3"/>
  <c r="B31" i="7" s="1"/>
  <c r="C137" i="3"/>
  <c r="D137" i="3"/>
  <c r="M30" i="7"/>
  <c r="N30" i="7"/>
  <c r="K30" i="7"/>
  <c r="N30" i="3"/>
  <c r="J30" i="3"/>
  <c r="L30" i="3"/>
  <c r="L30" i="7"/>
  <c r="K30" i="3"/>
  <c r="J30" i="7"/>
  <c r="M30" i="3"/>
  <c r="P67" i="3"/>
  <c r="O67" i="3"/>
  <c r="M67" i="3"/>
  <c r="Q67" i="3"/>
  <c r="K67" i="3"/>
  <c r="I67" i="3"/>
  <c r="H67" i="3"/>
  <c r="L67" i="3"/>
  <c r="T67" i="3"/>
  <c r="S67" i="3"/>
  <c r="U67" i="3"/>
  <c r="R67" i="3"/>
  <c r="V67" i="3"/>
  <c r="D105" i="3"/>
  <c r="D68" i="3"/>
  <c r="E68" i="3"/>
  <c r="F68" i="3"/>
  <c r="G68" i="3"/>
  <c r="C68" i="3"/>
  <c r="G68" i="7"/>
  <c r="C30" i="7"/>
  <c r="F30" i="7"/>
  <c r="S67" i="7"/>
  <c r="V67" i="7"/>
  <c r="T67" i="7"/>
  <c r="R67" i="7"/>
  <c r="U67" i="7"/>
  <c r="P67" i="7"/>
  <c r="Q67" i="7"/>
  <c r="M67" i="7"/>
  <c r="N67" i="7"/>
  <c r="O67" i="7"/>
  <c r="D30" i="7"/>
  <c r="E104" i="7"/>
  <c r="E104" i="3"/>
  <c r="P31" i="1"/>
  <c r="C68" i="7"/>
  <c r="F104" i="7"/>
  <c r="F104" i="3"/>
  <c r="Y31" i="1"/>
  <c r="E30" i="3"/>
  <c r="N67" i="3"/>
  <c r="E30" i="7"/>
  <c r="F30" i="3"/>
  <c r="J67" i="3"/>
  <c r="F68" i="7"/>
  <c r="D30" i="3"/>
  <c r="H67" i="7"/>
  <c r="L67" i="7"/>
  <c r="K67" i="7"/>
  <c r="I67" i="7"/>
  <c r="J67" i="7"/>
  <c r="G30" i="7"/>
  <c r="G30" i="3"/>
  <c r="G104" i="7"/>
  <c r="G104" i="3"/>
  <c r="AF31" i="1"/>
  <c r="C30" i="3"/>
  <c r="E68" i="7"/>
  <c r="D106" i="7"/>
  <c r="C106" i="3"/>
  <c r="C105" i="7"/>
  <c r="E69" i="7" s="1"/>
  <c r="H30" i="3" l="1"/>
  <c r="B32" i="3"/>
  <c r="B32" i="7" s="1"/>
  <c r="C138" i="3"/>
  <c r="K31" i="3"/>
  <c r="D138" i="3"/>
  <c r="J31" i="7"/>
  <c r="N31" i="3"/>
  <c r="J31" i="3"/>
  <c r="L31" i="7"/>
  <c r="N31" i="7"/>
  <c r="L31" i="3"/>
  <c r="M31" i="3"/>
  <c r="K31" i="7"/>
  <c r="M31" i="7"/>
  <c r="D31" i="7"/>
  <c r="V68" i="3"/>
  <c r="R68" i="3"/>
  <c r="T68" i="3"/>
  <c r="S68" i="3"/>
  <c r="U68" i="3"/>
  <c r="K68" i="3"/>
  <c r="I68" i="3"/>
  <c r="H68" i="3"/>
  <c r="L68" i="3"/>
  <c r="P68" i="3"/>
  <c r="O68" i="3"/>
  <c r="M68" i="3"/>
  <c r="Q68" i="3"/>
  <c r="D106" i="3"/>
  <c r="C70" i="3" s="1"/>
  <c r="D69" i="3"/>
  <c r="E69" i="3"/>
  <c r="G69" i="3"/>
  <c r="F69" i="3"/>
  <c r="C69" i="3"/>
  <c r="E31" i="7"/>
  <c r="D31" i="3"/>
  <c r="C31" i="7"/>
  <c r="G31" i="7"/>
  <c r="F31" i="7"/>
  <c r="C31" i="3"/>
  <c r="C69" i="7"/>
  <c r="D69" i="7"/>
  <c r="Q68" i="7"/>
  <c r="N68" i="7"/>
  <c r="P68" i="7"/>
  <c r="O68" i="7"/>
  <c r="M68" i="7"/>
  <c r="G69" i="7"/>
  <c r="G105" i="7"/>
  <c r="AF32" i="1"/>
  <c r="G105" i="3"/>
  <c r="G31" i="3"/>
  <c r="F105" i="7"/>
  <c r="Y32" i="1"/>
  <c r="F105" i="3"/>
  <c r="N68" i="3"/>
  <c r="F69" i="7"/>
  <c r="E105" i="7"/>
  <c r="E105" i="3"/>
  <c r="P32" i="1"/>
  <c r="R68" i="7"/>
  <c r="V68" i="7"/>
  <c r="T68" i="7"/>
  <c r="S68" i="7"/>
  <c r="U68" i="7"/>
  <c r="E31" i="3"/>
  <c r="J68" i="3"/>
  <c r="F31" i="3"/>
  <c r="H68" i="7"/>
  <c r="L68" i="7"/>
  <c r="J68" i="7"/>
  <c r="K68" i="7"/>
  <c r="I68" i="7"/>
  <c r="C107" i="3"/>
  <c r="D107" i="7"/>
  <c r="C106" i="7"/>
  <c r="E70" i="7" s="1"/>
  <c r="H31" i="3" l="1"/>
  <c r="B33" i="3"/>
  <c r="B33" i="7" s="1"/>
  <c r="C139" i="3"/>
  <c r="D139" i="3"/>
  <c r="L32" i="7"/>
  <c r="M32" i="3"/>
  <c r="K32" i="7"/>
  <c r="M32" i="7"/>
  <c r="N32" i="7"/>
  <c r="N32" i="3"/>
  <c r="L32" i="3"/>
  <c r="J32" i="3"/>
  <c r="J32" i="7"/>
  <c r="K32" i="3"/>
  <c r="D107" i="3"/>
  <c r="D70" i="3"/>
  <c r="E70" i="3"/>
  <c r="G70" i="3"/>
  <c r="F70" i="3"/>
  <c r="K69" i="3"/>
  <c r="I69" i="3"/>
  <c r="H69" i="3"/>
  <c r="L69" i="3"/>
  <c r="Q69" i="3"/>
  <c r="P69" i="3"/>
  <c r="O69" i="3"/>
  <c r="M69" i="3"/>
  <c r="U69" i="3"/>
  <c r="V69" i="3"/>
  <c r="R69" i="3"/>
  <c r="T69" i="3"/>
  <c r="S69" i="3"/>
  <c r="C32" i="7"/>
  <c r="G32" i="7"/>
  <c r="E32" i="3"/>
  <c r="G32" i="3"/>
  <c r="E32" i="7"/>
  <c r="F32" i="7"/>
  <c r="N69" i="3"/>
  <c r="F106" i="7"/>
  <c r="Y33" i="1"/>
  <c r="F106" i="3"/>
  <c r="C32" i="3"/>
  <c r="C70" i="7"/>
  <c r="F70" i="7"/>
  <c r="J69" i="3"/>
  <c r="G70" i="7"/>
  <c r="D32" i="3"/>
  <c r="I69" i="7"/>
  <c r="J69" i="7"/>
  <c r="K69" i="7"/>
  <c r="H69" i="7"/>
  <c r="L69" i="7"/>
  <c r="D70" i="7"/>
  <c r="E106" i="7"/>
  <c r="E106" i="3"/>
  <c r="P33" i="1"/>
  <c r="M69" i="7"/>
  <c r="O69" i="7"/>
  <c r="Q69" i="7"/>
  <c r="P69" i="7"/>
  <c r="N69" i="7"/>
  <c r="D32" i="7"/>
  <c r="F32" i="3"/>
  <c r="G106" i="7"/>
  <c r="AF33" i="1"/>
  <c r="G106" i="3"/>
  <c r="V69" i="7"/>
  <c r="U69" i="7"/>
  <c r="T69" i="7"/>
  <c r="S69" i="7"/>
  <c r="R69" i="7"/>
  <c r="C107" i="7"/>
  <c r="G71" i="7" s="1"/>
  <c r="C108" i="3"/>
  <c r="D108" i="7"/>
  <c r="H32" i="3" l="1"/>
  <c r="B34" i="3"/>
  <c r="B34" i="7" s="1"/>
  <c r="C140" i="3"/>
  <c r="D140" i="3"/>
  <c r="N33" i="7"/>
  <c r="K33" i="3"/>
  <c r="L33" i="3"/>
  <c r="J33" i="3"/>
  <c r="M33" i="7"/>
  <c r="J33" i="7"/>
  <c r="M33" i="3"/>
  <c r="K33" i="7"/>
  <c r="L33" i="7"/>
  <c r="N33" i="3"/>
  <c r="H70" i="3"/>
  <c r="K70" i="3"/>
  <c r="I70" i="3"/>
  <c r="L70" i="3"/>
  <c r="O70" i="3"/>
  <c r="M70" i="3"/>
  <c r="Q70" i="3"/>
  <c r="P70" i="3"/>
  <c r="D108" i="3"/>
  <c r="C72" i="3" s="1"/>
  <c r="D71" i="3"/>
  <c r="E71" i="3"/>
  <c r="G71" i="3"/>
  <c r="F71" i="3"/>
  <c r="U70" i="3"/>
  <c r="V70" i="3"/>
  <c r="R70" i="3"/>
  <c r="T70" i="3"/>
  <c r="S70" i="3"/>
  <c r="C71" i="3"/>
  <c r="F71" i="7"/>
  <c r="G33" i="3"/>
  <c r="E33" i="3"/>
  <c r="F33" i="7"/>
  <c r="C33" i="7"/>
  <c r="G33" i="7"/>
  <c r="D33" i="3"/>
  <c r="P70" i="7"/>
  <c r="M70" i="7"/>
  <c r="O70" i="7"/>
  <c r="N70" i="7"/>
  <c r="Q70" i="7"/>
  <c r="F33" i="3"/>
  <c r="C33" i="3"/>
  <c r="E71" i="7"/>
  <c r="E33" i="7"/>
  <c r="D33" i="7"/>
  <c r="G107" i="3"/>
  <c r="G107" i="7"/>
  <c r="AF34" i="1"/>
  <c r="N70" i="3"/>
  <c r="J70" i="3"/>
  <c r="H70" i="7"/>
  <c r="I70" i="7"/>
  <c r="L70" i="7"/>
  <c r="J70" i="7"/>
  <c r="K70" i="7"/>
  <c r="C71" i="7"/>
  <c r="U70" i="7"/>
  <c r="T70" i="7"/>
  <c r="V70" i="7"/>
  <c r="S70" i="7"/>
  <c r="R70" i="7"/>
  <c r="E107" i="7"/>
  <c r="E107" i="3"/>
  <c r="P34" i="1"/>
  <c r="D71" i="7"/>
  <c r="F107" i="7"/>
  <c r="F107" i="3"/>
  <c r="Y34" i="1"/>
  <c r="C109" i="3"/>
  <c r="C108" i="7"/>
  <c r="F72" i="7" s="1"/>
  <c r="D109" i="7"/>
  <c r="H33" i="3" l="1"/>
  <c r="B35" i="3"/>
  <c r="B35" i="7" s="1"/>
  <c r="C141" i="3"/>
  <c r="D141" i="3"/>
  <c r="M34" i="7"/>
  <c r="L34" i="7"/>
  <c r="N34" i="3"/>
  <c r="N34" i="7"/>
  <c r="M34" i="3"/>
  <c r="K34" i="7"/>
  <c r="J34" i="7"/>
  <c r="K34" i="3"/>
  <c r="L34" i="3"/>
  <c r="J34" i="3"/>
  <c r="P71" i="3"/>
  <c r="O71" i="3"/>
  <c r="M71" i="3"/>
  <c r="Q71" i="3"/>
  <c r="T71" i="3"/>
  <c r="S71" i="3"/>
  <c r="U71" i="3"/>
  <c r="R71" i="3"/>
  <c r="V71" i="3"/>
  <c r="K71" i="3"/>
  <c r="I71" i="3"/>
  <c r="H71" i="3"/>
  <c r="L71" i="3"/>
  <c r="D109" i="3"/>
  <c r="C73" i="3" s="1"/>
  <c r="E72" i="3"/>
  <c r="D72" i="3"/>
  <c r="F72" i="3"/>
  <c r="G72" i="3"/>
  <c r="F34" i="7"/>
  <c r="E72" i="7"/>
  <c r="D34" i="3"/>
  <c r="D34" i="7"/>
  <c r="C34" i="7"/>
  <c r="M71" i="7"/>
  <c r="Q71" i="7"/>
  <c r="N71" i="7"/>
  <c r="P71" i="7"/>
  <c r="O71" i="7"/>
  <c r="E108" i="3"/>
  <c r="E108" i="7"/>
  <c r="P35" i="1"/>
  <c r="J71" i="3"/>
  <c r="E34" i="3"/>
  <c r="C72" i="7"/>
  <c r="K71" i="7"/>
  <c r="I71" i="7"/>
  <c r="L71" i="7"/>
  <c r="H71" i="7"/>
  <c r="J71" i="7"/>
  <c r="G34" i="3"/>
  <c r="D72" i="7"/>
  <c r="G72" i="7"/>
  <c r="G108" i="3"/>
  <c r="G108" i="7"/>
  <c r="AF35" i="1"/>
  <c r="F108" i="3"/>
  <c r="F108" i="7"/>
  <c r="Y35" i="1"/>
  <c r="E34" i="7"/>
  <c r="F34" i="3"/>
  <c r="V71" i="7"/>
  <c r="T71" i="7"/>
  <c r="U71" i="7"/>
  <c r="S71" i="7"/>
  <c r="R71" i="7"/>
  <c r="N71" i="3"/>
  <c r="G34" i="7"/>
  <c r="C34" i="3"/>
  <c r="C109" i="7"/>
  <c r="F73" i="7" s="1"/>
  <c r="H34" i="3" l="1"/>
  <c r="M35" i="3"/>
  <c r="B36" i="3"/>
  <c r="B36" i="7" s="1"/>
  <c r="C142" i="3"/>
  <c r="D142" i="3"/>
  <c r="K35" i="7"/>
  <c r="J35" i="3"/>
  <c r="N35" i="7"/>
  <c r="M35" i="7"/>
  <c r="N35" i="3"/>
  <c r="K35" i="3"/>
  <c r="L35" i="3"/>
  <c r="L35" i="7"/>
  <c r="J35" i="7"/>
  <c r="K72" i="3"/>
  <c r="H72" i="3"/>
  <c r="I72" i="3"/>
  <c r="L72" i="3"/>
  <c r="E73" i="3"/>
  <c r="D73" i="3"/>
  <c r="G73" i="3"/>
  <c r="F73" i="3"/>
  <c r="V72" i="3"/>
  <c r="R72" i="3"/>
  <c r="T72" i="3"/>
  <c r="S72" i="3"/>
  <c r="U72" i="3"/>
  <c r="P72" i="3"/>
  <c r="O72" i="3"/>
  <c r="M72" i="3"/>
  <c r="Q72" i="3"/>
  <c r="E35" i="7"/>
  <c r="E73" i="7"/>
  <c r="D73" i="7"/>
  <c r="C35" i="7"/>
  <c r="D35" i="7"/>
  <c r="C35" i="3"/>
  <c r="F109" i="7"/>
  <c r="Y36" i="1"/>
  <c r="Y37" i="1" s="1"/>
  <c r="F109" i="3"/>
  <c r="N72" i="7"/>
  <c r="Q72" i="7"/>
  <c r="P72" i="7"/>
  <c r="M72" i="7"/>
  <c r="O72" i="7"/>
  <c r="N72" i="3"/>
  <c r="H72" i="7"/>
  <c r="L72" i="7"/>
  <c r="K72" i="7"/>
  <c r="I72" i="7"/>
  <c r="J72" i="7"/>
  <c r="J72" i="3"/>
  <c r="G73" i="7"/>
  <c r="E109" i="3"/>
  <c r="E109" i="7"/>
  <c r="P36" i="1"/>
  <c r="P37" i="1" s="1"/>
  <c r="G109" i="7"/>
  <c r="AF36" i="1"/>
  <c r="AF37" i="1" s="1"/>
  <c r="G109" i="3"/>
  <c r="G35" i="7"/>
  <c r="G35" i="3"/>
  <c r="V72" i="7"/>
  <c r="S72" i="7"/>
  <c r="U72" i="7"/>
  <c r="T72" i="7"/>
  <c r="R72" i="7"/>
  <c r="F35" i="3"/>
  <c r="C73" i="7"/>
  <c r="F35" i="7"/>
  <c r="D35" i="3"/>
  <c r="E35" i="3"/>
  <c r="H35" i="3" l="1"/>
  <c r="B37" i="3"/>
  <c r="B37" i="7" s="1"/>
  <c r="C143" i="3"/>
  <c r="K36" i="7"/>
  <c r="D143" i="3"/>
  <c r="N36" i="3"/>
  <c r="N36" i="7"/>
  <c r="L36" i="3"/>
  <c r="L36" i="7"/>
  <c r="M36" i="7"/>
  <c r="K36" i="3"/>
  <c r="J36" i="3"/>
  <c r="J36" i="7"/>
  <c r="M36" i="3"/>
  <c r="Q73" i="3"/>
  <c r="P73" i="3"/>
  <c r="O73" i="3"/>
  <c r="M73" i="3"/>
  <c r="K73" i="3"/>
  <c r="H73" i="3"/>
  <c r="I73" i="3"/>
  <c r="L73" i="3"/>
  <c r="U73" i="3"/>
  <c r="V73" i="3"/>
  <c r="R73" i="3"/>
  <c r="T73" i="3"/>
  <c r="S73" i="3"/>
  <c r="G36" i="3"/>
  <c r="F36" i="3"/>
  <c r="D36" i="7"/>
  <c r="C36" i="3"/>
  <c r="J73" i="3"/>
  <c r="E36" i="7"/>
  <c r="N73" i="3"/>
  <c r="F36" i="7"/>
  <c r="M73" i="7"/>
  <c r="N73" i="7"/>
  <c r="P73" i="7"/>
  <c r="Q73" i="7"/>
  <c r="O73" i="7"/>
  <c r="V73" i="7"/>
  <c r="S73" i="7"/>
  <c r="U73" i="7"/>
  <c r="R73" i="7"/>
  <c r="T73" i="7"/>
  <c r="E36" i="3"/>
  <c r="G36" i="7"/>
  <c r="H73" i="7"/>
  <c r="AB9" i="7" s="1"/>
  <c r="K73" i="7"/>
  <c r="J73" i="7"/>
  <c r="I73" i="7"/>
  <c r="L73" i="7"/>
  <c r="D36" i="3"/>
  <c r="C36" i="7"/>
  <c r="H36" i="3" l="1"/>
  <c r="AB11" i="7"/>
  <c r="AC11" i="7"/>
  <c r="AB10" i="7"/>
  <c r="AC10" i="7"/>
  <c r="AC9" i="7"/>
  <c r="AC10" i="3"/>
  <c r="AB10" i="3"/>
  <c r="AC8" i="3"/>
  <c r="AB8" i="3"/>
  <c r="AC9" i="3"/>
  <c r="AB9" i="3"/>
  <c r="N37" i="7"/>
  <c r="C144" i="3"/>
  <c r="K37" i="3"/>
  <c r="D144" i="3"/>
  <c r="N37" i="3"/>
  <c r="J37" i="3"/>
  <c r="J38" i="3" s="1"/>
  <c r="M37" i="3"/>
  <c r="L37" i="7"/>
  <c r="J37" i="7"/>
  <c r="J38" i="7" s="1"/>
  <c r="L37" i="3"/>
  <c r="K37" i="7"/>
  <c r="M37" i="7"/>
  <c r="G37" i="7"/>
  <c r="G37" i="3"/>
  <c r="F37" i="3"/>
  <c r="D37" i="3"/>
  <c r="C37" i="3"/>
  <c r="C37" i="7"/>
  <c r="E37" i="3"/>
  <c r="D37" i="7"/>
  <c r="E37" i="7"/>
  <c r="F37" i="7"/>
  <c r="AC12" i="7" l="1"/>
  <c r="H37" i="3"/>
  <c r="H38" i="3" s="1"/>
  <c r="AB12" i="7"/>
  <c r="AB11" i="3"/>
  <c r="AC11" i="3"/>
  <c r="C145" i="3"/>
  <c r="D14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10" authorId="0" shapeId="0" xr:uid="{A3D232AF-EFE4-48B0-9CE9-81AD8D44E68E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obv STOWA 1998-40</t>
        </r>
      </text>
    </comment>
    <comment ref="D10" authorId="0" shapeId="0" xr:uid="{B0E6C531-9D99-4775-B1CA-0AB4FE9D17C5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STOWA 2018-41 stelt  85% urine thuis geloosd</t>
        </r>
      </text>
    </comment>
    <comment ref="E10" authorId="0" shapeId="0" xr:uid="{42CF8936-F69D-4CBB-BC33-0C264972CDD5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Tauw</t>
        </r>
      </text>
    </comment>
    <comment ref="F10" authorId="0" shapeId="0" xr:uid="{6084225B-FB93-4416-9AEE-D1D146BB5301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Inschatting. Uitgangspunt, mensen blijven vooral avond, nacht en kort deel ochtend, daarvoor 50%. Met 10% verhoogd aangezien in hotels ook conferenties worden gehouden.</t>
        </r>
      </text>
    </comment>
    <comment ref="C11" authorId="0" shapeId="0" xr:uid="{C3B6D87A-B46F-4D34-8792-5B6B4928AF6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obv 
STOWA 1998-40</t>
        </r>
      </text>
    </comment>
    <comment ref="D11" authorId="0" shapeId="0" xr:uid="{61ADA5EF-1DD1-41DF-B62E-E2A53901D0F2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Aanname. STOWA 2018-41 stelt 95% ontlasting binnenshuis </t>
        </r>
      </text>
    </comment>
    <comment ref="E11" authorId="0" shapeId="0" xr:uid="{963BCF54-AD05-4337-8524-9861C4A4047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Tauw</t>
        </r>
      </text>
    </comment>
    <comment ref="F11" authorId="0" shapeId="0" xr:uid="{9B71C67B-E982-4D19-B0DE-69DF80407453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Aanname, merendeel mensen doet behoefte in hotel</t>
        </r>
      </text>
    </comment>
    <comment ref="D12" authorId="0" shapeId="0" xr:uid="{54D80B3D-A3F9-452B-85E6-06E89470A4C5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Volgens Vewin watergebruikt thuis is het 5,87</t>
        </r>
      </text>
    </comment>
    <comment ref="E26" authorId="0" shapeId="0" xr:uid="{52BD9DF3-B98C-4C66-B945-724AD9A937B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aanname: 0,5 liter handen wassen per toiletbezoek + 2 liter kantine spoelwater en schoonmaak pppd</t>
        </r>
      </text>
    </comment>
    <comment ref="F26" authorId="0" shapeId="0" xr:uid="{5E9E22E0-29D5-4950-BA0A-9724AE0F90DB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Leidraad riolering stelt 10-40 l/h gedurende 10 uur/d als maatgevende belasting. Gemiddeld is dat 250 liter/d. Dat is inclusief toiletwater.
Ex toiletwater is dit afgerond op 200 l/d</t>
        </r>
      </text>
    </comment>
    <comment ref="D27" authorId="0" shapeId="0" xr:uid="{040C3BE5-0C47-4FAE-A144-BB86B425C7BD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rapportage CREM;  "Bepaling voedselverliezen om huishoudelijk afval in Nederland "; jaar 2013</t>
        </r>
      </text>
    </comment>
    <comment ref="E28" authorId="0" shapeId="0" xr:uid="{72DDCD66-C921-4F43-A03A-1C0097B249CB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aanname, kleinere vermaler dan in hotel dus minder efficient met water verbruik
Slechts een deel van de dagelijkse GF vracht wordt vermalen dus relatief beperkt debiet per persoon per  dag</t>
        </r>
      </text>
    </comment>
    <comment ref="F28" authorId="0" shapeId="0" xr:uid="{1B8ECD05-AA3F-4849-8207-6145B3FB765A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aanname; grote professionele vermaler in centrale keuken. Verwachting, verbruikt minder liter per persoon per dag</t>
        </r>
      </text>
    </comment>
    <comment ref="D32" authorId="0" shapeId="0" xr:uid="{7AC7BFB6-9715-4CB4-A622-C269C33219D6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STOWA 1998-40</t>
        </r>
      </text>
    </comment>
    <comment ref="D35" authorId="0" shapeId="0" xr:uid="{CA437B91-A5C8-46C9-B8CF-DC67BC34F4A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STOWA 1998-40</t>
        </r>
      </text>
    </comment>
    <comment ref="D36" authorId="0" shapeId="0" xr:uid="{8F8F7A8E-271C-4293-97C2-BCBBF155528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LCA voedselresten STOWA</t>
        </r>
      </text>
    </comment>
    <comment ref="D40" authorId="0" shapeId="0" xr:uid="{2D7106D9-3A0F-4455-8B33-166FE3EC5455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STOWA 1998-40</t>
        </r>
      </text>
    </comment>
    <comment ref="D41" authorId="0" shapeId="0" xr:uid="{E78EF501-426B-4B01-B13B-80C9BF8F93AE}">
      <text>
        <r>
          <rPr>
            <sz val="9"/>
            <color indexed="81"/>
            <rFont val="Tahoma"/>
            <family val="2"/>
          </rPr>
          <t xml:space="preserve">Gemiddelde verhouding grijswater afvalwater gehanteerd; CZV/BZV= 2 
</t>
        </r>
      </text>
    </comment>
    <comment ref="D42" authorId="0" shapeId="0" xr:uid="{AEFD395E-9B81-415B-ABD2-389964BF197B}">
      <text>
        <r>
          <rPr>
            <sz val="9"/>
            <color indexed="81"/>
            <rFont val="Tahoma"/>
            <family val="2"/>
          </rPr>
          <t xml:space="preserve">Gemiddelde verhouding communaal afvalwater gehanteerd; ZS/BZV= 1,2 
</t>
        </r>
      </text>
    </comment>
    <comment ref="D43" authorId="0" shapeId="0" xr:uid="{CFA20896-BFB6-472F-ABB1-97F40CF03967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STOWA 1998-40</t>
        </r>
      </text>
    </comment>
    <comment ref="E43" authorId="0" shapeId="0" xr:uid="{6A673424-C131-44E5-BED4-08EB9143BC1E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5% van huishoudelijke vracht, expert judgement</t>
        </r>
      </text>
    </comment>
    <comment ref="S43" authorId="0" shapeId="0" xr:uid="{AD0F7F07-C0F4-4B3B-9C32-C73D3D31AE48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5% </t>
        </r>
      </text>
    </comment>
    <comment ref="T43" authorId="0" shapeId="0" xr:uid="{99A21756-B57A-43BE-902B-38509289D9EC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5%</t>
        </r>
      </text>
    </comment>
    <comment ref="U43" authorId="0" shapeId="0" xr:uid="{C0259EA5-688B-4FB1-9C53-DCD2A367B9D3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5%</t>
        </r>
      </text>
    </comment>
    <comment ref="D44" authorId="0" shapeId="0" xr:uid="{C0603F91-1BC1-42BA-8397-3D8DDD483CD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Praktijkgegevens Lemmerweg, Sneek</t>
        </r>
      </text>
    </comment>
    <comment ref="E44" authorId="0" shapeId="0" xr:uid="{82A2B0E0-FBD7-431A-A154-56345084ACCC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5% van huishoudelijke vracht, expert judgement</t>
        </r>
      </text>
    </comment>
    <comment ref="S44" authorId="0" shapeId="0" xr:uid="{7D0CBCBB-46E0-45CD-8D53-B768FBA81F9C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5% </t>
        </r>
      </text>
    </comment>
    <comment ref="T44" authorId="0" shapeId="0" xr:uid="{42B74F01-B358-4755-943E-870ECD2EF6E5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5%</t>
        </r>
      </text>
    </comment>
    <comment ref="U44" authorId="0" shapeId="0" xr:uid="{243B7484-AB3A-4725-AE60-F2E501CE31CB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5%</t>
        </r>
      </text>
    </comment>
    <comment ref="E46" authorId="0" shapeId="0" xr:uid="{96E8EBE6-21FB-4B11-8765-F3E14898694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aanname: GF afval lunch is 25% t.o.v. dagelijkse GF vracht vanuit huishouden</t>
        </r>
      </text>
    </comment>
    <comment ref="F46" authorId="0" shapeId="0" xr:uid="{84311960-7F77-4EDF-A66F-C1D97932CD86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aanname: GF afval  50% t.o.v. dagelijkse GF vracht vanuit huishouden</t>
        </r>
      </text>
    </comment>
    <comment ref="S46" authorId="0" shapeId="0" xr:uid="{ABC73495-E5E2-466E-9FE0-481568485AB7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Aanname; gelijke vracht als in Strandeiland</t>
        </r>
      </text>
    </comment>
    <comment ref="T46" authorId="0" shapeId="0" xr:uid="{6313CB5D-3C40-48BB-8050-EA0865CE4562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gemiddeld hh NL 0,7x per week schoonmaak. Kantoren 5x per week</t>
        </r>
      </text>
    </comment>
    <comment ref="U46" authorId="0" shapeId="0" xr:uid="{EC7193FB-389E-45D4-B52E-3AE10BA2B4B9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 gemiddeld hh NL 0,7x per week schoonmaak. Kantoren 5x per week</t>
        </r>
      </text>
    </comment>
    <comment ref="O47" authorId="0" shapeId="0" xr:uid="{C68FE719-1A64-4AF0-ADE1-C6FBFDAE8672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expert judgement</t>
        </r>
      </text>
    </comment>
    <comment ref="T47" authorId="0" shapeId="0" xr:uid="{B0476EAF-DE74-4907-AD28-950E6487F38D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expert judgement</t>
        </r>
      </text>
    </comment>
    <comment ref="U47" authorId="0" shapeId="0" xr:uid="{5A962DBC-B05B-4327-8B9C-5A3EE978B412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expert judgement</t>
        </r>
      </text>
    </comment>
    <comment ref="D48" authorId="0" shapeId="0" xr:uid="{F1CA0CC8-5AAF-46D9-B96A-81A83545B9F6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Obv metingen Campusplaza, STOWA 2015-W-02 en Claudia Wendland</t>
        </r>
      </text>
    </comment>
    <comment ref="F48" authorId="0" shapeId="0" xr:uid="{C22B9513-A096-4F51-BABE-5A3761FB62F1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aanname; GF vrachten gelijk aan huishouden</t>
        </r>
      </text>
    </comment>
    <comment ref="D49" authorId="0" shapeId="0" xr:uid="{AF519880-10C5-4C37-BC91-AFCFBBBFAD4F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Obv metingen Campusplaza, STOWA 2015-W-02 en Claudia Wendland</t>
        </r>
      </text>
    </comment>
    <comment ref="D50" authorId="0" shapeId="0" xr:uid="{2E8D9DA3-F5F2-4091-8CA9-CDCDE6CE643A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Obv metingen Campusplaza, STOWA 2015-W-02 en Claudia Wendland</t>
        </r>
      </text>
    </comment>
    <comment ref="D51" authorId="0" shapeId="0" xr:uid="{DCD524D7-C468-4A0E-AA35-A1622BC3AB7E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Obv metingen Campusplaza, STOWA 2015-W-02 en Claudia Wendland</t>
        </r>
      </text>
    </comment>
    <comment ref="D52" authorId="0" shapeId="0" xr:uid="{2ADD8A50-BD57-4DF9-9C02-820AF505EECE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Obv metingen Campusplaza, STOWA 2015-W-02 en Claudia Wendland</t>
        </r>
      </text>
    </comment>
    <comment ref="E56" authorId="0" shapeId="0" xr:uid="{47F83A27-ED6E-4939-8BAC-DAB97DCCA661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juni, 100 medewerkers per 10.000 m2 bedrijfsoppverlak en een FSI van 2 (BVO=2x beschikbaar oppervlak) --&gt; alleen voor airport campus is de FSI iets kleiner dan 2 maar het verschil in medewerkers is verwaarloosbaar</t>
        </r>
      </text>
    </comment>
    <comment ref="E57" authorId="0" shapeId="0" xr:uid="{FDDB1826-FE7A-490A-A2ED-B2122EA1C695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juni, 75 medewerkers/ha</t>
        </r>
      </text>
    </comment>
    <comment ref="E58" authorId="0" shapeId="0" xr:uid="{DFEC766D-6844-4C2E-9E92-BCD5E58FF72F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juni, 75 medewerkers/ha</t>
        </r>
      </text>
    </comment>
    <comment ref="F62" authorId="0" shapeId="0" xr:uid="{2C0989AC-E002-44D6-8B87-87890E1AA9F9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</t>
        </r>
      </text>
    </comment>
    <comment ref="F63" authorId="0" shapeId="0" xr:uid="{53B1F445-1DEC-46F9-BBBB-1352759B086B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</t>
        </r>
      </text>
    </comment>
    <comment ref="F64" authorId="0" shapeId="0" xr:uid="{AA863FE6-FBE4-44FE-BF09-FB0D3E1F0D1F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</t>
        </r>
      </text>
    </comment>
    <comment ref="F65" authorId="0" shapeId="0" xr:uid="{C1509AE6-BE4E-4414-87F1-A6F4EC2C276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</t>
        </r>
      </text>
    </comment>
    <comment ref="F69" authorId="0" shapeId="0" xr:uid="{861028EF-A4FF-4837-88B8-B2175F31E25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</t>
        </r>
      </text>
    </comment>
    <comment ref="F70" authorId="0" shapeId="0" xr:uid="{08978226-5628-4F50-AFAD-8838EEDA0A6E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</t>
        </r>
      </text>
    </comment>
    <comment ref="F71" authorId="0" shapeId="0" xr:uid="{EAEA85DC-F353-478D-8ABE-396741BC3E68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Bron: ppt 11 juni</t>
        </r>
      </text>
    </comment>
  </commentList>
</comments>
</file>

<file path=xl/sharedStrings.xml><?xml version="1.0" encoding="utf-8"?>
<sst xmlns="http://schemas.openxmlformats.org/spreadsheetml/2006/main" count="469" uniqueCount="162">
  <si>
    <t>A01</t>
  </si>
  <si>
    <t>Optie hotel</t>
  </si>
  <si>
    <t>A02</t>
  </si>
  <si>
    <t>Kantoor/bedrijvigheid</t>
  </si>
  <si>
    <t>A03</t>
  </si>
  <si>
    <t>Optie airport campus</t>
  </si>
  <si>
    <t>B01</t>
  </si>
  <si>
    <t>B03</t>
  </si>
  <si>
    <t>B04</t>
  </si>
  <si>
    <t>B06</t>
  </si>
  <si>
    <t>C01</t>
  </si>
  <si>
    <t>C04</t>
  </si>
  <si>
    <t>C07</t>
  </si>
  <si>
    <t>A</t>
  </si>
  <si>
    <t>parkeren</t>
  </si>
  <si>
    <t>B02 + B05</t>
  </si>
  <si>
    <t>C02 – C06</t>
  </si>
  <si>
    <t>Deelgebied FDI</t>
  </si>
  <si>
    <t>Kavel</t>
  </si>
  <si>
    <t>Totale oppervlakte (m2)</t>
  </si>
  <si>
    <t>Bestemming</t>
  </si>
  <si>
    <t>E1 + E2</t>
  </si>
  <si>
    <t>F1 + F2</t>
  </si>
  <si>
    <t>E1 rest</t>
  </si>
  <si>
    <t>D1</t>
  </si>
  <si>
    <t>D2</t>
  </si>
  <si>
    <t>D3</t>
  </si>
  <si>
    <t>D4</t>
  </si>
  <si>
    <t>D5</t>
  </si>
  <si>
    <t>Deelgebied FDII</t>
  </si>
  <si>
    <t>G1</t>
  </si>
  <si>
    <t>H1</t>
  </si>
  <si>
    <t>H2</t>
  </si>
  <si>
    <t>H3</t>
  </si>
  <si>
    <t>H4</t>
  </si>
  <si>
    <t>H5</t>
  </si>
  <si>
    <t>Deelgebied FDIII</t>
  </si>
  <si>
    <t>Totaal</t>
  </si>
  <si>
    <t>Hotel</t>
  </si>
  <si>
    <t>Afvalwaterhoeveelheid</t>
  </si>
  <si>
    <t>Eenheid</t>
  </si>
  <si>
    <t>Omschrijving</t>
  </si>
  <si>
    <t>Zwartwater (vacuumtoiletten)</t>
  </si>
  <si>
    <t>l/pers.d</t>
  </si>
  <si>
    <t>bron: PPT LAB, 11 juni</t>
  </si>
  <si>
    <t>CZV totaal</t>
  </si>
  <si>
    <t>g/pers.d</t>
  </si>
  <si>
    <t>Zwevende stof (ZS)</t>
  </si>
  <si>
    <t>N-totaal</t>
  </si>
  <si>
    <t>P-totaal</t>
  </si>
  <si>
    <t>Vracht in zwartwater</t>
  </si>
  <si>
    <t>%</t>
  </si>
  <si>
    <t>Optie Hotel</t>
  </si>
  <si>
    <t>Uitgangspunten hotel bezetting</t>
  </si>
  <si>
    <t xml:space="preserve">Bezetting per kamer </t>
  </si>
  <si>
    <t>persoon/kamer</t>
  </si>
  <si>
    <t>Aantal medewerkers hotel A01</t>
  </si>
  <si>
    <t>Aantal medewerkers hotel B01</t>
  </si>
  <si>
    <t>Aantal medewerkers hotel B04</t>
  </si>
  <si>
    <t>Aantal kamers hotel A01</t>
  </si>
  <si>
    <t>Aantal kamers hotel B01</t>
  </si>
  <si>
    <t>Aantal kamers hotel B04</t>
  </si>
  <si>
    <t>stuks</t>
  </si>
  <si>
    <t>Aantal gasten hotel A01</t>
  </si>
  <si>
    <t>Aantal gasten hotel B01</t>
  </si>
  <si>
    <t>Aantal gasten hotel B04</t>
  </si>
  <si>
    <t xml:space="preserve">Verhouding dames </t>
  </si>
  <si>
    <t>Verhouding heren</t>
  </si>
  <si>
    <t>Uitgangspunten bedrijventerein</t>
  </si>
  <si>
    <t>Medewerkers per ha district I</t>
  </si>
  <si>
    <t>Medewerkers per ha district II</t>
  </si>
  <si>
    <t>Medewerkers per ha district III</t>
  </si>
  <si>
    <t>medewerkers/m2</t>
  </si>
  <si>
    <t>kg/d</t>
  </si>
  <si>
    <t>m3/dag</t>
  </si>
  <si>
    <t>Debiet</t>
  </si>
  <si>
    <t>Deelgebied FDI hotels</t>
  </si>
  <si>
    <t>Deelgebied FDI bedrijvigheid</t>
  </si>
  <si>
    <t>Deelgebied FDII bedrijvigheid</t>
  </si>
  <si>
    <t xml:space="preserve">Totaal </t>
  </si>
  <si>
    <t>Toiletgebruik</t>
  </si>
  <si>
    <t>x per dag</t>
  </si>
  <si>
    <t>Huishoudens</t>
  </si>
  <si>
    <t>Urine</t>
  </si>
  <si>
    <t>Feces</t>
  </si>
  <si>
    <t>Watergebruik toileten + toevoeging aan afvalwater</t>
  </si>
  <si>
    <t>Watergebruik conventioneel toilet</t>
  </si>
  <si>
    <t>l/spoelbeurt</t>
  </si>
  <si>
    <t>Watergebruik vacuumtoiletten</t>
  </si>
  <si>
    <t>Gemiddelde hoeveelheid urine (+ fecalien) per toiletbezoek</t>
  </si>
  <si>
    <r>
      <t>Omschrij</t>
    </r>
    <r>
      <rPr>
        <sz val="11"/>
        <color theme="1"/>
        <rFont val="Calibri"/>
        <family val="2"/>
        <scheme val="minor"/>
      </rPr>
      <t>ving</t>
    </r>
  </si>
  <si>
    <t xml:space="preserve">Eenheid </t>
  </si>
  <si>
    <t>Grijswater</t>
  </si>
  <si>
    <t>GF-afval</t>
  </si>
  <si>
    <t>Watergebruik voedselrestenvermaler</t>
  </si>
  <si>
    <t>BZV</t>
  </si>
  <si>
    <t>Vracht in grijswater</t>
  </si>
  <si>
    <t>Vracht in GF-afval</t>
  </si>
  <si>
    <t>Zwartwater (closet)</t>
  </si>
  <si>
    <t>Watergebruik urinoir</t>
  </si>
  <si>
    <t>n.v.t.</t>
  </si>
  <si>
    <t xml:space="preserve">Deelgebied FDII </t>
  </si>
  <si>
    <t>gasten</t>
  </si>
  <si>
    <t>medewerkers</t>
  </si>
  <si>
    <t>Deelgebied FDI kantoren</t>
  </si>
  <si>
    <t>Debiet en vrachten voor alle deelgebieden samen</t>
  </si>
  <si>
    <t>Debiet en vrachten per deelgebied</t>
  </si>
  <si>
    <t>Aantal gasten/medewerkers per deelgebied</t>
  </si>
  <si>
    <t>Behandelen als</t>
  </si>
  <si>
    <t>Urinoir gebruik</t>
  </si>
  <si>
    <t>Gebruik urinoir door heren voor lozing urine</t>
  </si>
  <si>
    <t>Zwartwater (closet en urinoir)</t>
  </si>
  <si>
    <t>Kies situatie voor debiet berekening:</t>
  </si>
  <si>
    <t>Hotels</t>
  </si>
  <si>
    <t>Kantoor/ bedrijvigheid</t>
  </si>
  <si>
    <t>Gebruik closet door heren voor lozing urine</t>
  </si>
  <si>
    <t>Oppervlakte kavels</t>
  </si>
  <si>
    <t>n.v.t</t>
  </si>
  <si>
    <t>Pers. Verz.</t>
  </si>
  <si>
    <t>Voedselverz.</t>
  </si>
  <si>
    <t>Textielreiniging</t>
  </si>
  <si>
    <t>Verz. Woning</t>
  </si>
  <si>
    <t>Dweilen</t>
  </si>
  <si>
    <t>x/jaar</t>
  </si>
  <si>
    <t>x/m2</t>
  </si>
  <si>
    <t>Grijswater huishoudens</t>
  </si>
  <si>
    <t>Grijswater kantoor</t>
  </si>
  <si>
    <t>LeAF 2018</t>
  </si>
  <si>
    <t>https://www.vewin.nl/SiteCollectionDocuments/Publicaties/Cijfers/Watergebruik-Thuis-2016.pdf</t>
  </si>
  <si>
    <t>Bron: Vewin; Watergebruik Thuis</t>
  </si>
  <si>
    <t>Inschatting</t>
  </si>
  <si>
    <t xml:space="preserve">Zwartwatergat </t>
  </si>
  <si>
    <t>STOWA 1998-40 Theoretische vrachten</t>
  </si>
  <si>
    <t>Jaar</t>
  </si>
  <si>
    <t>Strandeiland</t>
  </si>
  <si>
    <t xml:space="preserve">Gemiddelde bezettingsfactor </t>
  </si>
  <si>
    <t>Gemiddelde bezettingsfactor</t>
  </si>
  <si>
    <t>Gemiddeld</t>
  </si>
  <si>
    <t>Kantoren/bedrijvigheid</t>
  </si>
  <si>
    <t>Deelgebied FDIII bedrijvigheid</t>
  </si>
  <si>
    <t>Ontwerp vrachten</t>
  </si>
  <si>
    <t>Gemiddelde vrachten</t>
  </si>
  <si>
    <t>Ontwerp</t>
  </si>
  <si>
    <t>Passagiers</t>
  </si>
  <si>
    <t>Terminals</t>
  </si>
  <si>
    <t>Vliegtuig-bewegingen</t>
  </si>
  <si>
    <t>Medewerkers+hotelgasten</t>
  </si>
  <si>
    <t>aantal</t>
  </si>
  <si>
    <t>per persoon</t>
  </si>
  <si>
    <t>Maximaal</t>
  </si>
  <si>
    <t>kg ds/d</t>
  </si>
  <si>
    <t>Zwartwaterbehandeling</t>
  </si>
  <si>
    <t>m3</t>
  </si>
  <si>
    <t>Zwartwater</t>
  </si>
  <si>
    <t>FDI</t>
  </si>
  <si>
    <t>FDII</t>
  </si>
  <si>
    <t>FDIII</t>
  </si>
  <si>
    <t>TOTAAL</t>
  </si>
  <si>
    <t>[m3/d]</t>
  </si>
  <si>
    <t>Opgaaf Quavac</t>
  </si>
  <si>
    <t>Aanname</t>
  </si>
  <si>
    <t xml:space="preserve">Slibproductie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</si>
</sst>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.000"/>
    <numFmt numFmtId="167" formatCode="_ * #,##0.0_ ;_ * \-#,##0.0_ ;_ * &quot;-&quot;??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 style="thin">
        <color indexed="64"/>
      </right>
      <top/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thick">
        <color rgb="FFFFFFF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thin">
        <color indexed="64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medium">
        <color rgb="FFFFFFFF"/>
      </bottom>
      <diagonal/>
    </border>
    <border>
      <left/>
      <right style="thin">
        <color indexed="64"/>
      </right>
      <top/>
      <bottom style="medium">
        <color rgb="FFFFFFFF"/>
      </bottom>
      <diagonal/>
    </border>
    <border>
      <left style="medium">
        <color rgb="FFFFFFFF"/>
      </left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 style="thin">
        <color indexed="64"/>
      </right>
      <top/>
      <bottom style="thick">
        <color rgb="FFFFFFFF"/>
      </bottom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thin">
        <color indexed="64"/>
      </bottom>
      <diagonal/>
    </border>
    <border>
      <left/>
      <right style="medium">
        <color rgb="FFFFFFFF"/>
      </right>
      <top style="thick">
        <color rgb="FFFFFFFF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FFFF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thin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/>
  </cellStyleXfs>
  <cellXfs count="293">
    <xf numFmtId="0" fontId="0" fillId="0" borderId="0" xfId="0"/>
    <xf numFmtId="0" fontId="0" fillId="2" borderId="0" xfId="0" applyFill="1"/>
    <xf numFmtId="0" fontId="6" fillId="2" borderId="10" xfId="0" applyFont="1" applyFill="1" applyBorder="1" applyAlignment="1">
      <alignment horizontal="left" vertical="center" wrapText="1" readingOrder="1"/>
    </xf>
    <xf numFmtId="0" fontId="0" fillId="2" borderId="0" xfId="0" applyFill="1" applyBorder="1"/>
    <xf numFmtId="0" fontId="0" fillId="2" borderId="17" xfId="0" applyFill="1" applyBorder="1"/>
    <xf numFmtId="0" fontId="6" fillId="3" borderId="10" xfId="0" applyFont="1" applyFill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horizontal="left" vertical="center" wrapText="1" readingOrder="1"/>
    </xf>
    <xf numFmtId="0" fontId="7" fillId="3" borderId="4" xfId="0" applyFont="1" applyFill="1" applyBorder="1" applyAlignment="1">
      <alignment horizontal="left" vertical="center" wrapText="1" readingOrder="1"/>
    </xf>
    <xf numFmtId="0" fontId="7" fillId="3" borderId="14" xfId="0" applyFont="1" applyFill="1" applyBorder="1" applyAlignment="1">
      <alignment horizontal="left" vertical="center" wrapText="1" readingOrder="1"/>
    </xf>
    <xf numFmtId="0" fontId="6" fillId="3" borderId="16" xfId="0" applyFont="1" applyFill="1" applyBorder="1" applyAlignment="1">
      <alignment horizontal="left" vertical="center" wrapText="1" readingOrder="1"/>
    </xf>
    <xf numFmtId="0" fontId="6" fillId="3" borderId="3" xfId="0" applyFont="1" applyFill="1" applyBorder="1" applyAlignment="1">
      <alignment horizontal="left" vertical="center" wrapText="1" readingOrder="1"/>
    </xf>
    <xf numFmtId="0" fontId="6" fillId="3" borderId="4" xfId="0" applyFont="1" applyFill="1" applyBorder="1" applyAlignment="1">
      <alignment horizontal="left" vertical="center" wrapText="1" readingOrder="1"/>
    </xf>
    <xf numFmtId="0" fontId="6" fillId="3" borderId="12" xfId="0" applyFont="1" applyFill="1" applyBorder="1" applyAlignment="1">
      <alignment horizontal="left" vertical="center" wrapText="1" readingOrder="1"/>
    </xf>
    <xf numFmtId="164" fontId="0" fillId="2" borderId="17" xfId="1" applyNumberFormat="1" applyFont="1" applyFill="1" applyBorder="1"/>
    <xf numFmtId="164" fontId="0" fillId="2" borderId="0" xfId="1" applyNumberFormat="1" applyFont="1" applyFill="1" applyBorder="1"/>
    <xf numFmtId="164" fontId="0" fillId="2" borderId="9" xfId="1" applyNumberFormat="1" applyFont="1" applyFill="1" applyBorder="1"/>
    <xf numFmtId="1" fontId="0" fillId="2" borderId="0" xfId="0" applyNumberFormat="1" applyFill="1" applyBorder="1"/>
    <xf numFmtId="0" fontId="0" fillId="2" borderId="0" xfId="0" applyFont="1" applyFill="1" applyBorder="1" applyAlignment="1"/>
    <xf numFmtId="164" fontId="11" fillId="2" borderId="8" xfId="1" applyNumberFormat="1" applyFont="1" applyFill="1" applyBorder="1" applyAlignment="1">
      <alignment horizontal="left" vertical="center" wrapText="1" readingOrder="1"/>
    </xf>
    <xf numFmtId="164" fontId="11" fillId="2" borderId="1" xfId="1" applyNumberFormat="1" applyFont="1" applyFill="1" applyBorder="1" applyAlignment="1">
      <alignment horizontal="left" vertical="center" wrapText="1" readingOrder="1"/>
    </xf>
    <xf numFmtId="164" fontId="1" fillId="2" borderId="17" xfId="1" applyNumberFormat="1" applyFont="1" applyFill="1" applyBorder="1"/>
    <xf numFmtId="164" fontId="1" fillId="2" borderId="0" xfId="1" applyNumberFormat="1" applyFont="1" applyFill="1" applyBorder="1"/>
    <xf numFmtId="164" fontId="1" fillId="2" borderId="9" xfId="1" applyNumberFormat="1" applyFont="1" applyFill="1" applyBorder="1"/>
    <xf numFmtId="164" fontId="1" fillId="2" borderId="0" xfId="1" applyNumberFormat="1" applyFont="1" applyFill="1"/>
    <xf numFmtId="0" fontId="6" fillId="3" borderId="14" xfId="0" applyFont="1" applyFill="1" applyBorder="1" applyAlignment="1">
      <alignment horizontal="left" vertical="center" wrapText="1" readingOrder="1"/>
    </xf>
    <xf numFmtId="164" fontId="11" fillId="2" borderId="18" xfId="1" applyNumberFormat="1" applyFont="1" applyFill="1" applyBorder="1" applyAlignment="1">
      <alignment horizontal="left" vertical="center" wrapText="1" readingOrder="1"/>
    </xf>
    <xf numFmtId="0" fontId="6" fillId="2" borderId="22" xfId="0" applyFont="1" applyFill="1" applyBorder="1" applyAlignment="1">
      <alignment horizontal="left" vertical="center" wrapText="1" readingOrder="1"/>
    </xf>
    <xf numFmtId="164" fontId="0" fillId="2" borderId="25" xfId="1" applyNumberFormat="1" applyFont="1" applyFill="1" applyBorder="1" applyAlignment="1"/>
    <xf numFmtId="164" fontId="0" fillId="2" borderId="26" xfId="1" applyNumberFormat="1" applyFont="1" applyFill="1" applyBorder="1" applyAlignment="1"/>
    <xf numFmtId="0" fontId="4" fillId="2" borderId="0" xfId="0" applyFont="1" applyFill="1" applyBorder="1" applyAlignment="1">
      <alignment horizontal="left" vertical="center" wrapText="1" readingOrder="1"/>
    </xf>
    <xf numFmtId="0" fontId="6" fillId="2" borderId="0" xfId="0" applyFont="1" applyFill="1" applyBorder="1" applyAlignment="1">
      <alignment horizontal="left" vertical="center" wrapText="1" readingOrder="1"/>
    </xf>
    <xf numFmtId="0" fontId="11" fillId="2" borderId="0" xfId="0" applyFont="1" applyFill="1" applyBorder="1" applyAlignment="1">
      <alignment horizontal="left" wrapText="1" readingOrder="1"/>
    </xf>
    <xf numFmtId="0" fontId="12" fillId="2" borderId="0" xfId="0" applyFont="1" applyFill="1" applyBorder="1" applyAlignment="1">
      <alignment wrapText="1"/>
    </xf>
    <xf numFmtId="0" fontId="6" fillId="2" borderId="20" xfId="0" applyFont="1" applyFill="1" applyBorder="1" applyAlignment="1">
      <alignment horizontal="left" vertical="center" wrapText="1" readingOrder="1"/>
    </xf>
    <xf numFmtId="3" fontId="11" fillId="2" borderId="29" xfId="0" applyNumberFormat="1" applyFont="1" applyFill="1" applyBorder="1" applyAlignment="1">
      <alignment wrapText="1" readingOrder="1"/>
    </xf>
    <xf numFmtId="3" fontId="11" fillId="2" borderId="20" xfId="0" applyNumberFormat="1" applyFont="1" applyFill="1" applyBorder="1" applyAlignment="1">
      <alignment wrapText="1" readingOrder="1"/>
    </xf>
    <xf numFmtId="0" fontId="5" fillId="2" borderId="23" xfId="0" applyFont="1" applyFill="1" applyBorder="1" applyAlignment="1">
      <alignment horizontal="left" vertical="center" wrapText="1" readingOrder="1"/>
    </xf>
    <xf numFmtId="0" fontId="5" fillId="2" borderId="24" xfId="0" applyFont="1" applyFill="1" applyBorder="1" applyAlignment="1">
      <alignment horizontal="left" vertical="center" wrapText="1" readingOrder="1"/>
    </xf>
    <xf numFmtId="0" fontId="5" fillId="2" borderId="22" xfId="0" applyFont="1" applyFill="1" applyBorder="1" applyAlignment="1">
      <alignment horizontal="left" vertical="center" wrapText="1" readingOrder="1"/>
    </xf>
    <xf numFmtId="164" fontId="0" fillId="2" borderId="25" xfId="1" applyNumberFormat="1" applyFont="1" applyFill="1" applyBorder="1"/>
    <xf numFmtId="164" fontId="0" fillId="2" borderId="26" xfId="1" applyNumberFormat="1" applyFont="1" applyFill="1" applyBorder="1"/>
    <xf numFmtId="0" fontId="6" fillId="2" borderId="21" xfId="0" applyFont="1" applyFill="1" applyBorder="1" applyAlignment="1">
      <alignment horizontal="left" vertical="center" wrapText="1" readingOrder="1"/>
    </xf>
    <xf numFmtId="164" fontId="11" fillId="2" borderId="7" xfId="1" applyNumberFormat="1" applyFont="1" applyFill="1" applyBorder="1" applyAlignment="1">
      <alignment horizontal="left" vertical="center" wrapText="1" readingOrder="1"/>
    </xf>
    <xf numFmtId="164" fontId="11" fillId="2" borderId="5" xfId="1" applyNumberFormat="1" applyFont="1" applyFill="1" applyBorder="1" applyAlignment="1">
      <alignment horizontal="left" vertical="center" wrapText="1" readingOrder="1"/>
    </xf>
    <xf numFmtId="164" fontId="11" fillId="2" borderId="13" xfId="1" applyNumberFormat="1" applyFont="1" applyFill="1" applyBorder="1" applyAlignment="1">
      <alignment horizontal="left" vertical="center" wrapText="1" readingOrder="1"/>
    </xf>
    <xf numFmtId="0" fontId="5" fillId="2" borderId="28" xfId="0" applyFont="1" applyFill="1" applyBorder="1" applyAlignment="1">
      <alignment horizontal="left" vertical="center" wrapText="1" readingOrder="1"/>
    </xf>
    <xf numFmtId="0" fontId="5" fillId="2" borderId="29" xfId="0" applyFont="1" applyFill="1" applyBorder="1" applyAlignment="1">
      <alignment horizontal="left" vertical="center" wrapText="1" readingOrder="1"/>
    </xf>
    <xf numFmtId="0" fontId="5" fillId="2" borderId="31" xfId="0" applyFont="1" applyFill="1" applyBorder="1" applyAlignment="1">
      <alignment horizontal="left" vertical="center" wrapText="1" readingOrder="1"/>
    </xf>
    <xf numFmtId="0" fontId="5" fillId="2" borderId="32" xfId="0" applyFont="1" applyFill="1" applyBorder="1" applyAlignment="1">
      <alignment horizontal="left" vertical="center" wrapText="1" readingOrder="1"/>
    </xf>
    <xf numFmtId="0" fontId="5" fillId="2" borderId="20" xfId="0" applyFont="1" applyFill="1" applyBorder="1" applyAlignment="1">
      <alignment horizontal="left" vertical="center" wrapText="1" readingOrder="1"/>
    </xf>
    <xf numFmtId="0" fontId="5" fillId="2" borderId="33" xfId="0" applyFont="1" applyFill="1" applyBorder="1" applyAlignment="1">
      <alignment horizontal="left" vertical="center" wrapText="1" readingOrder="1"/>
    </xf>
    <xf numFmtId="0" fontId="6" fillId="3" borderId="36" xfId="0" applyFont="1" applyFill="1" applyBorder="1" applyAlignment="1">
      <alignment horizontal="left" vertical="center" wrapText="1" readingOrder="1"/>
    </xf>
    <xf numFmtId="164" fontId="0" fillId="2" borderId="17" xfId="0" applyNumberFormat="1" applyFill="1" applyBorder="1"/>
    <xf numFmtId="164" fontId="0" fillId="2" borderId="9" xfId="0" applyNumberFormat="1" applyFill="1" applyBorder="1"/>
    <xf numFmtId="0" fontId="0" fillId="2" borderId="30" xfId="0" applyFill="1" applyBorder="1"/>
    <xf numFmtId="164" fontId="0" fillId="2" borderId="37" xfId="0" applyNumberFormat="1" applyFill="1" applyBorder="1"/>
    <xf numFmtId="164" fontId="0" fillId="2" borderId="38" xfId="0" applyNumberFormat="1" applyFill="1" applyBorder="1"/>
    <xf numFmtId="0" fontId="14" fillId="2" borderId="0" xfId="0" applyFont="1" applyFill="1" applyBorder="1" applyAlignment="1">
      <alignment horizontal="left" readingOrder="1"/>
    </xf>
    <xf numFmtId="0" fontId="0" fillId="4" borderId="0" xfId="0" applyFill="1" applyBorder="1"/>
    <xf numFmtId="0" fontId="6" fillId="2" borderId="25" xfId="0" applyFont="1" applyFill="1" applyBorder="1" applyAlignment="1">
      <alignment horizontal="left" vertical="center" wrapText="1" readingOrder="1"/>
    </xf>
    <xf numFmtId="0" fontId="9" fillId="2" borderId="25" xfId="0" applyFont="1" applyFill="1" applyBorder="1" applyAlignment="1">
      <alignment horizontal="left" vertical="center" wrapText="1" readingOrder="1"/>
    </xf>
    <xf numFmtId="0" fontId="0" fillId="4" borderId="9" xfId="0" applyFill="1" applyBorder="1"/>
    <xf numFmtId="0" fontId="0" fillId="2" borderId="25" xfId="0" applyFill="1" applyBorder="1"/>
    <xf numFmtId="0" fontId="0" fillId="2" borderId="42" xfId="0" applyFill="1" applyBorder="1"/>
    <xf numFmtId="0" fontId="0" fillId="2" borderId="43" xfId="0" applyFill="1" applyBorder="1"/>
    <xf numFmtId="0" fontId="0" fillId="4" borderId="25" xfId="0" applyFill="1" applyBorder="1"/>
    <xf numFmtId="0" fontId="0" fillId="4" borderId="26" xfId="0" applyFill="1" applyBorder="1"/>
    <xf numFmtId="164" fontId="11" fillId="2" borderId="0" xfId="1" applyNumberFormat="1" applyFont="1" applyFill="1" applyBorder="1" applyAlignment="1">
      <alignment horizontal="left" vertical="center" wrapText="1" readingOrder="1"/>
    </xf>
    <xf numFmtId="0" fontId="8" fillId="2" borderId="25" xfId="0" applyFont="1" applyFill="1" applyBorder="1" applyAlignment="1">
      <alignment horizontal="left" vertical="center" wrapText="1" readingOrder="1"/>
    </xf>
    <xf numFmtId="0" fontId="6" fillId="3" borderId="44" xfId="0" applyFont="1" applyFill="1" applyBorder="1" applyAlignment="1">
      <alignment horizontal="left" vertical="center" wrapText="1" readingOrder="1"/>
    </xf>
    <xf numFmtId="3" fontId="11" fillId="2" borderId="37" xfId="0" applyNumberFormat="1" applyFont="1" applyFill="1" applyBorder="1" applyAlignment="1">
      <alignment wrapText="1" readingOrder="1"/>
    </xf>
    <xf numFmtId="3" fontId="11" fillId="2" borderId="40" xfId="0" applyNumberFormat="1" applyFont="1" applyFill="1" applyBorder="1" applyAlignment="1">
      <alignment wrapText="1" readingOrder="1"/>
    </xf>
    <xf numFmtId="164" fontId="0" fillId="2" borderId="40" xfId="1" applyNumberFormat="1" applyFont="1" applyFill="1" applyBorder="1" applyAlignment="1"/>
    <xf numFmtId="164" fontId="0" fillId="2" borderId="38" xfId="1" applyNumberFormat="1" applyFont="1" applyFill="1" applyBorder="1" applyAlignment="1"/>
    <xf numFmtId="164" fontId="1" fillId="2" borderId="37" xfId="1" applyNumberFormat="1" applyFont="1" applyFill="1" applyBorder="1"/>
    <xf numFmtId="164" fontId="0" fillId="2" borderId="37" xfId="1" applyNumberFormat="1" applyFont="1" applyFill="1" applyBorder="1" applyAlignment="1"/>
    <xf numFmtId="0" fontId="6" fillId="3" borderId="45" xfId="0" applyFont="1" applyFill="1" applyBorder="1" applyAlignment="1">
      <alignment horizontal="left" vertical="center" wrapText="1" readingOrder="1"/>
    </xf>
    <xf numFmtId="164" fontId="0" fillId="2" borderId="27" xfId="1" applyNumberFormat="1" applyFont="1" applyFill="1" applyBorder="1" applyAlignment="1"/>
    <xf numFmtId="164" fontId="0" fillId="2" borderId="0" xfId="0" applyNumberFormat="1" applyFill="1" applyBorder="1"/>
    <xf numFmtId="0" fontId="0" fillId="5" borderId="0" xfId="0" applyFill="1"/>
    <xf numFmtId="165" fontId="0" fillId="2" borderId="0" xfId="0" applyNumberFormat="1" applyFill="1"/>
    <xf numFmtId="0" fontId="0" fillId="4" borderId="17" xfId="0" applyFill="1" applyBorder="1" applyAlignment="1">
      <alignment wrapText="1"/>
    </xf>
    <xf numFmtId="164" fontId="0" fillId="2" borderId="30" xfId="1" applyNumberFormat="1" applyFont="1" applyFill="1" applyBorder="1"/>
    <xf numFmtId="0" fontId="0" fillId="2" borderId="27" xfId="0" applyFont="1" applyFill="1" applyBorder="1"/>
    <xf numFmtId="0" fontId="0" fillId="4" borderId="17" xfId="0" applyFill="1" applyBorder="1"/>
    <xf numFmtId="0" fontId="0" fillId="2" borderId="39" xfId="0" applyFill="1" applyBorder="1"/>
    <xf numFmtId="0" fontId="0" fillId="4" borderId="17" xfId="0" applyFont="1" applyFill="1" applyBorder="1"/>
    <xf numFmtId="0" fontId="2" fillId="2" borderId="30" xfId="0" applyFont="1" applyFill="1" applyBorder="1"/>
    <xf numFmtId="0" fontId="0" fillId="6" borderId="26" xfId="0" applyFill="1" applyBorder="1"/>
    <xf numFmtId="0" fontId="2" fillId="2" borderId="34" xfId="0" applyFont="1" applyFill="1" applyBorder="1"/>
    <xf numFmtId="0" fontId="0" fillId="6" borderId="35" xfId="0" applyFill="1" applyBorder="1"/>
    <xf numFmtId="0" fontId="0" fillId="4" borderId="30" xfId="0" applyFill="1" applyBorder="1" applyAlignment="1">
      <alignment wrapText="1"/>
    </xf>
    <xf numFmtId="0" fontId="0" fillId="4" borderId="0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65" fontId="0" fillId="2" borderId="25" xfId="0" applyNumberFormat="1" applyFill="1" applyBorder="1" applyAlignment="1">
      <alignment horizontal="center"/>
    </xf>
    <xf numFmtId="165" fontId="0" fillId="2" borderId="26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0" fontId="0" fillId="4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165" fontId="0" fillId="2" borderId="0" xfId="0" applyNumberFormat="1" applyFill="1" applyBorder="1" applyAlignment="1">
      <alignment horizontal="left"/>
    </xf>
    <xf numFmtId="165" fontId="0" fillId="2" borderId="25" xfId="0" applyNumberFormat="1" applyFill="1" applyBorder="1" applyAlignment="1">
      <alignment horizontal="left"/>
    </xf>
    <xf numFmtId="0" fontId="3" fillId="2" borderId="0" xfId="0" applyFont="1" applyFill="1" applyBorder="1"/>
    <xf numFmtId="0" fontId="16" fillId="2" borderId="0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25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9" fontId="16" fillId="2" borderId="9" xfId="2" applyFont="1" applyFill="1" applyBorder="1" applyAlignment="1">
      <alignment horizontal="center"/>
    </xf>
    <xf numFmtId="9" fontId="16" fillId="2" borderId="9" xfId="0" applyNumberFormat="1" applyFont="1" applyFill="1" applyBorder="1" applyAlignment="1">
      <alignment horizontal="center"/>
    </xf>
    <xf numFmtId="9" fontId="16" fillId="2" borderId="26" xfId="0" applyNumberFormat="1" applyFont="1" applyFill="1" applyBorder="1" applyAlignment="1">
      <alignment horizontal="center"/>
    </xf>
    <xf numFmtId="9" fontId="16" fillId="2" borderId="0" xfId="2" applyFont="1" applyFill="1" applyBorder="1" applyAlignment="1">
      <alignment horizontal="center"/>
    </xf>
    <xf numFmtId="9" fontId="16" fillId="2" borderId="0" xfId="0" applyNumberFormat="1" applyFont="1" applyFill="1" applyBorder="1" applyAlignment="1">
      <alignment horizontal="center"/>
    </xf>
    <xf numFmtId="9" fontId="16" fillId="2" borderId="25" xfId="0" applyNumberFormat="1" applyFon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6" fontId="0" fillId="2" borderId="25" xfId="0" applyNumberFormat="1" applyFill="1" applyBorder="1" applyAlignment="1">
      <alignment horizontal="center"/>
    </xf>
    <xf numFmtId="165" fontId="16" fillId="2" borderId="0" xfId="0" applyNumberFormat="1" applyFont="1" applyFill="1" applyBorder="1" applyAlignment="1">
      <alignment horizontal="center"/>
    </xf>
    <xf numFmtId="165" fontId="16" fillId="2" borderId="25" xfId="0" applyNumberFormat="1" applyFont="1" applyFill="1" applyBorder="1" applyAlignment="1">
      <alignment horizontal="center"/>
    </xf>
    <xf numFmtId="165" fontId="19" fillId="2" borderId="0" xfId="0" applyNumberFormat="1" applyFont="1" applyFill="1" applyBorder="1" applyAlignment="1">
      <alignment horizontal="center"/>
    </xf>
    <xf numFmtId="165" fontId="16" fillId="2" borderId="9" xfId="0" applyNumberFormat="1" applyFont="1" applyFill="1" applyBorder="1" applyAlignment="1">
      <alignment horizontal="center"/>
    </xf>
    <xf numFmtId="165" fontId="19" fillId="2" borderId="25" xfId="0" applyNumberFormat="1" applyFont="1" applyFill="1" applyBorder="1" applyAlignment="1">
      <alignment horizontal="center"/>
    </xf>
    <xf numFmtId="165" fontId="16" fillId="2" borderId="26" xfId="0" applyNumberFormat="1" applyFont="1" applyFill="1" applyBorder="1" applyAlignment="1">
      <alignment horizontal="center"/>
    </xf>
    <xf numFmtId="9" fontId="0" fillId="2" borderId="25" xfId="0" applyNumberFormat="1" applyFill="1" applyBorder="1" applyAlignment="1">
      <alignment horizontal="center"/>
    </xf>
    <xf numFmtId="165" fontId="19" fillId="2" borderId="9" xfId="0" applyNumberFormat="1" applyFon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7" borderId="48" xfId="0" applyFill="1" applyBorder="1"/>
    <xf numFmtId="0" fontId="0" fillId="7" borderId="51" xfId="0" applyFill="1" applyBorder="1"/>
    <xf numFmtId="0" fontId="0" fillId="7" borderId="53" xfId="0" applyFill="1" applyBorder="1"/>
    <xf numFmtId="0" fontId="0" fillId="7" borderId="0" xfId="0" applyFill="1"/>
    <xf numFmtId="0" fontId="0" fillId="7" borderId="52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7" borderId="37" xfId="0" applyFill="1" applyBorder="1" applyAlignment="1">
      <alignment horizontal="center"/>
    </xf>
    <xf numFmtId="0" fontId="0" fillId="7" borderId="52" xfId="0" applyFill="1" applyBorder="1"/>
    <xf numFmtId="0" fontId="0" fillId="7" borderId="27" xfId="0" applyFill="1" applyBorder="1"/>
    <xf numFmtId="0" fontId="0" fillId="7" borderId="37" xfId="0" applyFill="1" applyBorder="1"/>
    <xf numFmtId="165" fontId="0" fillId="7" borderId="52" xfId="0" applyNumberFormat="1" applyFill="1" applyBorder="1" applyAlignment="1">
      <alignment horizontal="center"/>
    </xf>
    <xf numFmtId="165" fontId="0" fillId="7" borderId="27" xfId="0" applyNumberFormat="1" applyFill="1" applyBorder="1" applyAlignment="1">
      <alignment horizontal="center"/>
    </xf>
    <xf numFmtId="165" fontId="0" fillId="7" borderId="37" xfId="0" applyNumberFormat="1" applyFill="1" applyBorder="1" applyAlignment="1">
      <alignment horizontal="center"/>
    </xf>
    <xf numFmtId="0" fontId="21" fillId="7" borderId="54" xfId="0" applyFont="1" applyFill="1" applyBorder="1"/>
    <xf numFmtId="0" fontId="0" fillId="7" borderId="55" xfId="0" applyFill="1" applyBorder="1"/>
    <xf numFmtId="0" fontId="0" fillId="7" borderId="54" xfId="0" applyFill="1" applyBorder="1"/>
    <xf numFmtId="164" fontId="9" fillId="2" borderId="25" xfId="0" applyNumberFormat="1" applyFont="1" applyFill="1" applyBorder="1" applyAlignment="1">
      <alignment horizontal="left" vertical="center" wrapText="1" readingOrder="1"/>
    </xf>
    <xf numFmtId="164" fontId="13" fillId="2" borderId="0" xfId="1" applyNumberFormat="1" applyFont="1" applyFill="1" applyBorder="1" applyAlignment="1">
      <alignment horizontal="left" vertical="center" wrapText="1" readingOrder="1"/>
    </xf>
    <xf numFmtId="0" fontId="2" fillId="2" borderId="0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" fontId="19" fillId="2" borderId="9" xfId="0" applyNumberFormat="1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9" fillId="7" borderId="52" xfId="0" applyFont="1" applyFill="1" applyBorder="1" applyAlignment="1">
      <alignment horizontal="center"/>
    </xf>
    <xf numFmtId="0" fontId="19" fillId="2" borderId="0" xfId="0" applyFont="1" applyFill="1" applyBorder="1"/>
    <xf numFmtId="0" fontId="16" fillId="2" borderId="0" xfId="0" applyFont="1" applyFill="1" applyBorder="1" applyAlignment="1">
      <alignment horizontal="left"/>
    </xf>
    <xf numFmtId="165" fontId="16" fillId="2" borderId="0" xfId="0" applyNumberFormat="1" applyFont="1" applyFill="1" applyBorder="1" applyAlignment="1">
      <alignment horizontal="left"/>
    </xf>
    <xf numFmtId="0" fontId="22" fillId="2" borderId="0" xfId="3" applyFill="1" applyBorder="1"/>
    <xf numFmtId="166" fontId="19" fillId="2" borderId="9" xfId="0" applyNumberFormat="1" applyFont="1" applyFill="1" applyBorder="1" applyAlignment="1">
      <alignment horizontal="center"/>
    </xf>
    <xf numFmtId="166" fontId="19" fillId="2" borderId="26" xfId="0" applyNumberFormat="1" applyFont="1" applyFill="1" applyBorder="1" applyAlignment="1">
      <alignment horizontal="center"/>
    </xf>
    <xf numFmtId="0" fontId="15" fillId="2" borderId="0" xfId="0" applyFont="1" applyFill="1" applyBorder="1"/>
    <xf numFmtId="0" fontId="0" fillId="4" borderId="25" xfId="0" applyFill="1" applyBorder="1" applyAlignment="1">
      <alignment horizontal="right"/>
    </xf>
    <xf numFmtId="0" fontId="0" fillId="4" borderId="26" xfId="0" applyFill="1" applyBorder="1" applyAlignment="1">
      <alignment horizontal="right"/>
    </xf>
    <xf numFmtId="164" fontId="0" fillId="2" borderId="0" xfId="1" applyNumberFormat="1" applyFont="1" applyFill="1" applyBorder="1" applyAlignment="1">
      <alignment horizontal="right"/>
    </xf>
    <xf numFmtId="164" fontId="0" fillId="2" borderId="9" xfId="1" applyNumberFormat="1" applyFont="1" applyFill="1" applyBorder="1" applyAlignment="1">
      <alignment horizontal="right"/>
    </xf>
    <xf numFmtId="164" fontId="0" fillId="2" borderId="25" xfId="1" applyNumberFormat="1" applyFont="1" applyFill="1" applyBorder="1" applyAlignment="1">
      <alignment horizontal="right"/>
    </xf>
    <xf numFmtId="164" fontId="0" fillId="2" borderId="26" xfId="1" applyNumberFormat="1" applyFont="1" applyFill="1" applyBorder="1" applyAlignment="1">
      <alignment horizontal="right"/>
    </xf>
    <xf numFmtId="0" fontId="0" fillId="2" borderId="17" xfId="0" applyFill="1" applyBorder="1" applyAlignment="1">
      <alignment horizontal="left"/>
    </xf>
    <xf numFmtId="0" fontId="0" fillId="2" borderId="17" xfId="0" applyFill="1" applyBorder="1" applyAlignment="1">
      <alignment horizontal="right"/>
    </xf>
    <xf numFmtId="0" fontId="3" fillId="2" borderId="0" xfId="0" applyFont="1" applyFill="1"/>
    <xf numFmtId="0" fontId="0" fillId="2" borderId="2" xfId="0" applyFill="1" applyBorder="1"/>
    <xf numFmtId="0" fontId="0" fillId="2" borderId="55" xfId="0" applyFill="1" applyBorder="1"/>
    <xf numFmtId="9" fontId="16" fillId="2" borderId="56" xfId="0" applyNumberFormat="1" applyFont="1" applyFill="1" applyBorder="1" applyAlignment="1">
      <alignment horizontal="left"/>
    </xf>
    <xf numFmtId="9" fontId="16" fillId="2" borderId="57" xfId="2" applyFont="1" applyFill="1" applyBorder="1" applyAlignment="1">
      <alignment horizontal="left"/>
    </xf>
    <xf numFmtId="164" fontId="0" fillId="2" borderId="39" xfId="1" applyNumberFormat="1" applyFont="1" applyFill="1" applyBorder="1" applyAlignment="1">
      <alignment horizontal="right"/>
    </xf>
    <xf numFmtId="164" fontId="0" fillId="2" borderId="35" xfId="1" applyNumberFormat="1" applyFont="1" applyFill="1" applyBorder="1" applyAlignment="1">
      <alignment horizontal="right"/>
    </xf>
    <xf numFmtId="0" fontId="0" fillId="2" borderId="48" xfId="0" applyFont="1" applyFill="1" applyBorder="1"/>
    <xf numFmtId="0" fontId="0" fillId="2" borderId="54" xfId="0" applyFont="1" applyFill="1" applyBorder="1"/>
    <xf numFmtId="0" fontId="0" fillId="2" borderId="0" xfId="0" applyFont="1" applyFill="1" applyBorder="1"/>
    <xf numFmtId="9" fontId="16" fillId="2" borderId="0" xfId="2" applyFont="1" applyFill="1" applyBorder="1" applyAlignment="1">
      <alignment horizontal="left"/>
    </xf>
    <xf numFmtId="164" fontId="0" fillId="2" borderId="39" xfId="1" applyNumberFormat="1" applyFont="1" applyFill="1" applyBorder="1"/>
    <xf numFmtId="164" fontId="0" fillId="2" borderId="35" xfId="1" applyNumberFormat="1" applyFont="1" applyFill="1" applyBorder="1"/>
    <xf numFmtId="2" fontId="16" fillId="2" borderId="25" xfId="0" applyNumberFormat="1" applyFont="1" applyFill="1" applyBorder="1" applyAlignment="1">
      <alignment horizontal="center"/>
    </xf>
    <xf numFmtId="2" fontId="19" fillId="2" borderId="0" xfId="0" applyNumberFormat="1" applyFont="1" applyFill="1" applyBorder="1" applyAlignment="1">
      <alignment horizontal="center"/>
    </xf>
    <xf numFmtId="0" fontId="19" fillId="7" borderId="27" xfId="0" applyFont="1" applyFill="1" applyBorder="1" applyAlignment="1">
      <alignment horizontal="center"/>
    </xf>
    <xf numFmtId="0" fontId="19" fillId="7" borderId="37" xfId="0" applyFont="1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8" borderId="0" xfId="0" applyFill="1"/>
    <xf numFmtId="0" fontId="0" fillId="2" borderId="40" xfId="0" applyFont="1" applyFill="1" applyBorder="1"/>
    <xf numFmtId="0" fontId="0" fillId="4" borderId="25" xfId="0" applyFill="1" applyBorder="1" applyAlignment="1">
      <alignment wrapText="1"/>
    </xf>
    <xf numFmtId="164" fontId="0" fillId="2" borderId="0" xfId="0" applyNumberFormat="1" applyFill="1" applyBorder="1" applyAlignment="1">
      <alignment horizontal="right"/>
    </xf>
    <xf numFmtId="164" fontId="0" fillId="2" borderId="25" xfId="0" applyNumberFormat="1" applyFill="1" applyBorder="1" applyAlignment="1">
      <alignment horizontal="right"/>
    </xf>
    <xf numFmtId="0" fontId="0" fillId="4" borderId="0" xfId="0" applyFill="1" applyBorder="1" applyAlignment="1">
      <alignment wrapText="1"/>
    </xf>
    <xf numFmtId="3" fontId="0" fillId="2" borderId="0" xfId="0" applyNumberFormat="1" applyFill="1" applyBorder="1" applyAlignment="1">
      <alignment horizontal="left"/>
    </xf>
    <xf numFmtId="3" fontId="0" fillId="2" borderId="25" xfId="0" applyNumberFormat="1" applyFill="1" applyBorder="1" applyAlignment="1">
      <alignment horizontal="left"/>
    </xf>
    <xf numFmtId="164" fontId="0" fillId="2" borderId="0" xfId="0" applyNumberFormat="1" applyFill="1"/>
    <xf numFmtId="0" fontId="0" fillId="4" borderId="30" xfId="0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9" fontId="19" fillId="2" borderId="56" xfId="0" applyNumberFormat="1" applyFont="1" applyFill="1" applyBorder="1" applyAlignment="1">
      <alignment horizontal="left"/>
    </xf>
    <xf numFmtId="9" fontId="19" fillId="2" borderId="57" xfId="2" applyFont="1" applyFill="1" applyBorder="1" applyAlignment="1">
      <alignment horizontal="left"/>
    </xf>
    <xf numFmtId="0" fontId="24" fillId="9" borderId="2" xfId="0" applyFont="1" applyFill="1" applyBorder="1"/>
    <xf numFmtId="0" fontId="24" fillId="9" borderId="56" xfId="0" applyFont="1" applyFill="1" applyBorder="1"/>
    <xf numFmtId="0" fontId="0" fillId="2" borderId="53" xfId="0" applyFill="1" applyBorder="1"/>
    <xf numFmtId="0" fontId="0" fillId="2" borderId="58" xfId="0" applyFill="1" applyBorder="1"/>
    <xf numFmtId="167" fontId="0" fillId="2" borderId="58" xfId="0" applyNumberFormat="1" applyFill="1" applyBorder="1"/>
    <xf numFmtId="43" fontId="0" fillId="2" borderId="42" xfId="0" applyNumberFormat="1" applyFill="1" applyBorder="1"/>
    <xf numFmtId="167" fontId="0" fillId="2" borderId="42" xfId="0" applyNumberFormat="1" applyFill="1" applyBorder="1"/>
    <xf numFmtId="0" fontId="0" fillId="2" borderId="61" xfId="0" applyFill="1" applyBorder="1"/>
    <xf numFmtId="0" fontId="0" fillId="2" borderId="62" xfId="0" applyFill="1" applyBorder="1"/>
    <xf numFmtId="167" fontId="0" fillId="2" borderId="43" xfId="0" applyNumberFormat="1" applyFill="1" applyBorder="1"/>
    <xf numFmtId="167" fontId="0" fillId="2" borderId="62" xfId="0" applyNumberFormat="1" applyFill="1" applyBorder="1"/>
    <xf numFmtId="0" fontId="24" fillId="5" borderId="2" xfId="0" applyFont="1" applyFill="1" applyBorder="1"/>
    <xf numFmtId="0" fontId="24" fillId="5" borderId="56" xfId="0" applyFont="1" applyFill="1" applyBorder="1"/>
    <xf numFmtId="0" fontId="25" fillId="9" borderId="48" xfId="0" applyFont="1" applyFill="1" applyBorder="1"/>
    <xf numFmtId="0" fontId="26" fillId="5" borderId="48" xfId="0" applyFont="1" applyFill="1" applyBorder="1"/>
    <xf numFmtId="0" fontId="0" fillId="2" borderId="63" xfId="0" applyFill="1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3" fillId="10" borderId="9" xfId="0" applyFont="1" applyFill="1" applyBorder="1" applyAlignment="1"/>
    <xf numFmtId="0" fontId="10" fillId="10" borderId="2" xfId="0" applyFont="1" applyFill="1" applyBorder="1" applyAlignment="1">
      <alignment horizontal="center"/>
    </xf>
    <xf numFmtId="0" fontId="0" fillId="10" borderId="34" xfId="0" applyFill="1" applyBorder="1"/>
    <xf numFmtId="0" fontId="0" fillId="10" borderId="39" xfId="0" applyFill="1" applyBorder="1"/>
    <xf numFmtId="0" fontId="3" fillId="10" borderId="39" xfId="0" applyFont="1" applyFill="1" applyBorder="1" applyAlignment="1">
      <alignment horizontal="right"/>
    </xf>
    <xf numFmtId="0" fontId="3" fillId="10" borderId="35" xfId="0" applyFont="1" applyFill="1" applyBorder="1" applyAlignment="1">
      <alignment horizontal="right"/>
    </xf>
    <xf numFmtId="0" fontId="0" fillId="10" borderId="39" xfId="0" applyFill="1" applyBorder="1" applyAlignment="1">
      <alignment horizontal="left"/>
    </xf>
    <xf numFmtId="0" fontId="3" fillId="10" borderId="34" xfId="0" applyFont="1" applyFill="1" applyBorder="1"/>
    <xf numFmtId="0" fontId="3" fillId="10" borderId="39" xfId="0" applyFont="1" applyFill="1" applyBorder="1"/>
    <xf numFmtId="0" fontId="3" fillId="10" borderId="35" xfId="0" applyFont="1" applyFill="1" applyBorder="1"/>
    <xf numFmtId="0" fontId="3" fillId="10" borderId="34" xfId="0" applyFont="1" applyFill="1" applyBorder="1" applyAlignment="1">
      <alignment horizontal="right"/>
    </xf>
    <xf numFmtId="0" fontId="3" fillId="10" borderId="17" xfId="0" applyFont="1" applyFill="1" applyBorder="1"/>
    <xf numFmtId="0" fontId="3" fillId="10" borderId="0" xfId="0" applyFont="1" applyFill="1" applyBorder="1"/>
    <xf numFmtId="0" fontId="0" fillId="10" borderId="0" xfId="0" applyFill="1" applyBorder="1"/>
    <xf numFmtId="0" fontId="0" fillId="10" borderId="9" xfId="0" applyFill="1" applyBorder="1"/>
    <xf numFmtId="0" fontId="3" fillId="10" borderId="65" xfId="0" applyFont="1" applyFill="1" applyBorder="1" applyAlignment="1">
      <alignment horizontal="center"/>
    </xf>
    <xf numFmtId="0" fontId="3" fillId="10" borderId="54" xfId="0" applyFont="1" applyFill="1" applyBorder="1"/>
    <xf numFmtId="43" fontId="3" fillId="10" borderId="59" xfId="0" applyNumberFormat="1" applyFont="1" applyFill="1" applyBorder="1"/>
    <xf numFmtId="43" fontId="3" fillId="10" borderId="57" xfId="0" applyNumberFormat="1" applyFont="1" applyFill="1" applyBorder="1"/>
    <xf numFmtId="0" fontId="0" fillId="10" borderId="35" xfId="0" applyFill="1" applyBorder="1" applyAlignment="1">
      <alignment horizontal="center"/>
    </xf>
    <xf numFmtId="0" fontId="3" fillId="10" borderId="39" xfId="0" applyFont="1" applyFill="1" applyBorder="1" applyAlignment="1">
      <alignment horizontal="left"/>
    </xf>
    <xf numFmtId="0" fontId="3" fillId="10" borderId="39" xfId="0" applyFont="1" applyFill="1" applyBorder="1" applyAlignment="1">
      <alignment horizontal="center"/>
    </xf>
    <xf numFmtId="0" fontId="3" fillId="10" borderId="35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9" fontId="16" fillId="10" borderId="39" xfId="2" applyFont="1" applyFill="1" applyBorder="1" applyAlignment="1">
      <alignment horizontal="center"/>
    </xf>
    <xf numFmtId="9" fontId="16" fillId="10" borderId="35" xfId="2" applyFont="1" applyFill="1" applyBorder="1" applyAlignment="1">
      <alignment horizontal="center"/>
    </xf>
    <xf numFmtId="165" fontId="0" fillId="10" borderId="39" xfId="0" applyNumberFormat="1" applyFill="1" applyBorder="1" applyAlignment="1">
      <alignment horizontal="left"/>
    </xf>
    <xf numFmtId="165" fontId="0" fillId="10" borderId="39" xfId="0" applyNumberFormat="1" applyFill="1" applyBorder="1" applyAlignment="1">
      <alignment horizontal="center"/>
    </xf>
    <xf numFmtId="165" fontId="0" fillId="10" borderId="35" xfId="0" applyNumberFormat="1" applyFill="1" applyBorder="1" applyAlignment="1">
      <alignment horizontal="center"/>
    </xf>
    <xf numFmtId="0" fontId="23" fillId="2" borderId="0" xfId="1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0" fillId="10" borderId="41" xfId="0" applyFill="1" applyBorder="1"/>
    <xf numFmtId="1" fontId="0" fillId="2" borderId="25" xfId="0" applyNumberFormat="1" applyFill="1" applyBorder="1"/>
    <xf numFmtId="0" fontId="0" fillId="2" borderId="35" xfId="0" applyFill="1" applyBorder="1"/>
    <xf numFmtId="0" fontId="0" fillId="2" borderId="26" xfId="0" applyFill="1" applyBorder="1"/>
    <xf numFmtId="0" fontId="0" fillId="2" borderId="9" xfId="0" applyFill="1" applyBorder="1"/>
    <xf numFmtId="0" fontId="0" fillId="2" borderId="25" xfId="0" applyFill="1" applyBorder="1" applyAlignment="1">
      <alignment horizontal="center"/>
    </xf>
    <xf numFmtId="0" fontId="28" fillId="2" borderId="0" xfId="0" applyFont="1" applyFill="1"/>
    <xf numFmtId="0" fontId="0" fillId="2" borderId="34" xfId="0" applyFill="1" applyBorder="1"/>
    <xf numFmtId="1" fontId="0" fillId="2" borderId="39" xfId="0" applyNumberFormat="1" applyFill="1" applyBorder="1" applyAlignment="1">
      <alignment horizontal="center"/>
    </xf>
    <xf numFmtId="167" fontId="0" fillId="2" borderId="39" xfId="0" applyNumberFormat="1" applyFill="1" applyBorder="1"/>
    <xf numFmtId="164" fontId="0" fillId="2" borderId="39" xfId="0" applyNumberFormat="1" applyFill="1" applyBorder="1"/>
    <xf numFmtId="1" fontId="0" fillId="2" borderId="0" xfId="0" applyNumberFormat="1" applyFill="1" applyBorder="1" applyAlignment="1">
      <alignment horizontal="center"/>
    </xf>
    <xf numFmtId="167" fontId="0" fillId="2" borderId="0" xfId="0" applyNumberFormat="1" applyFill="1" applyBorder="1"/>
    <xf numFmtId="1" fontId="0" fillId="2" borderId="25" xfId="0" applyNumberFormat="1" applyFill="1" applyBorder="1" applyAlignment="1">
      <alignment horizontal="center"/>
    </xf>
    <xf numFmtId="167" fontId="0" fillId="2" borderId="25" xfId="0" applyNumberFormat="1" applyFill="1" applyBorder="1"/>
    <xf numFmtId="164" fontId="0" fillId="2" borderId="25" xfId="0" applyNumberFormat="1" applyFill="1" applyBorder="1"/>
    <xf numFmtId="164" fontId="0" fillId="5" borderId="0" xfId="0" applyNumberFormat="1" applyFill="1"/>
    <xf numFmtId="0" fontId="10" fillId="10" borderId="34" xfId="0" applyFont="1" applyFill="1" applyBorder="1" applyAlignment="1">
      <alignment horizontal="center"/>
    </xf>
    <xf numFmtId="0" fontId="10" fillId="10" borderId="35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 vertical="center" wrapText="1" readingOrder="1"/>
    </xf>
    <xf numFmtId="0" fontId="7" fillId="3" borderId="45" xfId="0" applyFont="1" applyFill="1" applyBorder="1" applyAlignment="1">
      <alignment horizontal="center" vertical="center" wrapText="1" readingOrder="1"/>
    </xf>
    <xf numFmtId="0" fontId="10" fillId="10" borderId="15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10" fillId="10" borderId="46" xfId="0" applyFont="1" applyFill="1" applyBorder="1" applyAlignment="1">
      <alignment horizontal="center"/>
    </xf>
    <xf numFmtId="0" fontId="10" fillId="10" borderId="47" xfId="0" applyFont="1" applyFill="1" applyBorder="1" applyAlignment="1">
      <alignment horizontal="center"/>
    </xf>
    <xf numFmtId="0" fontId="10" fillId="10" borderId="19" xfId="0" applyFont="1" applyFill="1" applyBorder="1" applyAlignment="1">
      <alignment horizontal="center"/>
    </xf>
    <xf numFmtId="0" fontId="20" fillId="7" borderId="49" xfId="0" applyFont="1" applyFill="1" applyBorder="1" applyAlignment="1">
      <alignment horizontal="center"/>
    </xf>
    <xf numFmtId="0" fontId="20" fillId="7" borderId="50" xfId="0" applyFont="1" applyFill="1" applyBorder="1" applyAlignment="1">
      <alignment horizontal="center"/>
    </xf>
    <xf numFmtId="0" fontId="20" fillId="7" borderId="48" xfId="0" applyFont="1" applyFill="1" applyBorder="1" applyAlignment="1">
      <alignment horizontal="center"/>
    </xf>
    <xf numFmtId="0" fontId="20" fillId="7" borderId="2" xfId="0" applyFont="1" applyFill="1" applyBorder="1" applyAlignment="1">
      <alignment horizontal="center"/>
    </xf>
    <xf numFmtId="0" fontId="0" fillId="7" borderId="52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7" borderId="37" xfId="0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10" borderId="39" xfId="0" applyFont="1" applyFill="1" applyBorder="1" applyAlignment="1">
      <alignment horizontal="center"/>
    </xf>
  </cellXfs>
  <cellStyles count="5">
    <cellStyle name="Hyperlink" xfId="3" builtinId="8"/>
    <cellStyle name="Komma" xfId="1" builtinId="3"/>
    <cellStyle name="Procent" xfId="2" builtinId="5"/>
    <cellStyle name="Standaard" xfId="0" builtinId="0"/>
    <cellStyle name="Standaard 2" xfId="4" xr:uid="{6CC34949-15B4-4344-9E82-8704D30B00A4}"/>
  </cellStyles>
  <dxfs count="0"/>
  <tableStyles count="0" defaultTableStyle="TableStyleMedium2" defaultPivotStyle="PivotStyleLight16"/>
  <colors>
    <mruColors>
      <color rgb="FF0000FF"/>
      <color rgb="FFB3B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Zwartwater vrachten</a:t>
            </a:r>
            <a:r>
              <a:rPr lang="nl-NL" baseline="0"/>
              <a:t> ontwerp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'ZW Vrachten door de tijd'!$D$5</c:f>
              <c:strCache>
                <c:ptCount val="1"/>
                <c:pt idx="0">
                  <c:v>CZV totaal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tijd'!$D$7:$D$37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22.282121543478262</c:v>
                </c:pt>
                <c:pt idx="2">
                  <c:v>73.065142195652172</c:v>
                </c:pt>
                <c:pt idx="3">
                  <c:v>123.99043023913043</c:v>
                </c:pt>
                <c:pt idx="4">
                  <c:v>134.5697650217391</c:v>
                </c:pt>
                <c:pt idx="5">
                  <c:v>219.54865197826086</c:v>
                </c:pt>
                <c:pt idx="6">
                  <c:v>223.80346719565216</c:v>
                </c:pt>
                <c:pt idx="7">
                  <c:v>228.05828241304349</c:v>
                </c:pt>
                <c:pt idx="8">
                  <c:v>228.05828241304349</c:v>
                </c:pt>
                <c:pt idx="9">
                  <c:v>228.05828241304349</c:v>
                </c:pt>
                <c:pt idx="10">
                  <c:v>228.05828241304349</c:v>
                </c:pt>
                <c:pt idx="11">
                  <c:v>228.05828241304349</c:v>
                </c:pt>
                <c:pt idx="12">
                  <c:v>228.05828241304349</c:v>
                </c:pt>
                <c:pt idx="13">
                  <c:v>228.05828241304349</c:v>
                </c:pt>
                <c:pt idx="14">
                  <c:v>228.05828241304349</c:v>
                </c:pt>
                <c:pt idx="15">
                  <c:v>228.05828241304349</c:v>
                </c:pt>
                <c:pt idx="16">
                  <c:v>228.05828241304349</c:v>
                </c:pt>
                <c:pt idx="17">
                  <c:v>228.05828241304349</c:v>
                </c:pt>
                <c:pt idx="18">
                  <c:v>228.05828241304349</c:v>
                </c:pt>
                <c:pt idx="19">
                  <c:v>228.05828241304349</c:v>
                </c:pt>
                <c:pt idx="20">
                  <c:v>228.05828241304349</c:v>
                </c:pt>
                <c:pt idx="21">
                  <c:v>228.05828241304349</c:v>
                </c:pt>
                <c:pt idx="22">
                  <c:v>228.05828241304349</c:v>
                </c:pt>
                <c:pt idx="23">
                  <c:v>228.05828241304349</c:v>
                </c:pt>
                <c:pt idx="24">
                  <c:v>228.05828241304349</c:v>
                </c:pt>
                <c:pt idx="25">
                  <c:v>228.05828241304349</c:v>
                </c:pt>
                <c:pt idx="26">
                  <c:v>228.05828241304349</c:v>
                </c:pt>
                <c:pt idx="27">
                  <c:v>228.05828241304349</c:v>
                </c:pt>
                <c:pt idx="28">
                  <c:v>228.05828241304349</c:v>
                </c:pt>
                <c:pt idx="29">
                  <c:v>228.05828241304349</c:v>
                </c:pt>
                <c:pt idx="30">
                  <c:v>228.05828241304349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8-4119-8AA0-4A9B6382BAD9}"/>
            </c:ext>
          </c:extLst>
        </c:ser>
        <c:ser>
          <c:idx val="2"/>
          <c:order val="2"/>
          <c:tx>
            <c:strRef>
              <c:f>'ZW Vrachten door de tijd'!$E$5</c:f>
              <c:strCache>
                <c:ptCount val="1"/>
                <c:pt idx="0">
                  <c:v>Zwevende stof (ZS)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tijd'!$E$7:$E$37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16.740984880434777</c:v>
                </c:pt>
                <c:pt idx="2">
                  <c:v>48.523394336956507</c:v>
                </c:pt>
                <c:pt idx="3">
                  <c:v>73.758433467391285</c:v>
                </c:pt>
                <c:pt idx="4">
                  <c:v>80.163437815217378</c:v>
                </c:pt>
                <c:pt idx="5">
                  <c:v>124.58880868478259</c:v>
                </c:pt>
                <c:pt idx="6">
                  <c:v>126.70137933695651</c:v>
                </c:pt>
                <c:pt idx="7">
                  <c:v>128.81394998913041</c:v>
                </c:pt>
                <c:pt idx="8">
                  <c:v>128.81394998913041</c:v>
                </c:pt>
                <c:pt idx="9">
                  <c:v>128.81394998913041</c:v>
                </c:pt>
                <c:pt idx="10">
                  <c:v>128.81394998913041</c:v>
                </c:pt>
                <c:pt idx="11">
                  <c:v>128.81394998913041</c:v>
                </c:pt>
                <c:pt idx="12">
                  <c:v>128.81394998913041</c:v>
                </c:pt>
                <c:pt idx="13">
                  <c:v>128.81394998913041</c:v>
                </c:pt>
                <c:pt idx="14">
                  <c:v>128.81394998913041</c:v>
                </c:pt>
                <c:pt idx="15">
                  <c:v>128.81394998913041</c:v>
                </c:pt>
                <c:pt idx="16">
                  <c:v>128.81394998913041</c:v>
                </c:pt>
                <c:pt idx="17">
                  <c:v>128.81394998913041</c:v>
                </c:pt>
                <c:pt idx="18">
                  <c:v>128.81394998913041</c:v>
                </c:pt>
                <c:pt idx="19">
                  <c:v>128.81394998913041</c:v>
                </c:pt>
                <c:pt idx="20">
                  <c:v>128.81394998913041</c:v>
                </c:pt>
                <c:pt idx="21">
                  <c:v>128.81394998913041</c:v>
                </c:pt>
                <c:pt idx="22">
                  <c:v>128.81394998913041</c:v>
                </c:pt>
                <c:pt idx="23">
                  <c:v>128.81394998913041</c:v>
                </c:pt>
                <c:pt idx="24">
                  <c:v>128.81394998913041</c:v>
                </c:pt>
                <c:pt idx="25">
                  <c:v>128.81394998913041</c:v>
                </c:pt>
                <c:pt idx="26">
                  <c:v>128.81394998913041</c:v>
                </c:pt>
                <c:pt idx="27">
                  <c:v>128.81394998913041</c:v>
                </c:pt>
                <c:pt idx="28">
                  <c:v>128.81394998913041</c:v>
                </c:pt>
                <c:pt idx="29">
                  <c:v>128.81394998913041</c:v>
                </c:pt>
                <c:pt idx="30">
                  <c:v>128.81394998913041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8-4119-8AA0-4A9B6382BAD9}"/>
            </c:ext>
          </c:extLst>
        </c:ser>
        <c:ser>
          <c:idx val="3"/>
          <c:order val="3"/>
          <c:tx>
            <c:strRef>
              <c:f>'ZW Vrachten door de tijd'!$F$5</c:f>
              <c:strCache>
                <c:ptCount val="1"/>
                <c:pt idx="0">
                  <c:v>N-totaal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tijd'!$F$7:$F$37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4.9852537745652157</c:v>
                </c:pt>
                <c:pt idx="2">
                  <c:v>14.237754134710139</c:v>
                </c:pt>
                <c:pt idx="3">
                  <c:v>21.969193087608691</c:v>
                </c:pt>
                <c:pt idx="4">
                  <c:v>23.937137073115935</c:v>
                </c:pt>
                <c:pt idx="5">
                  <c:v>35.698123803550715</c:v>
                </c:pt>
                <c:pt idx="6">
                  <c:v>36.327220651376805</c:v>
                </c:pt>
                <c:pt idx="7">
                  <c:v>36.956317499202889</c:v>
                </c:pt>
                <c:pt idx="8">
                  <c:v>36.956317499202889</c:v>
                </c:pt>
                <c:pt idx="9">
                  <c:v>36.956317499202889</c:v>
                </c:pt>
                <c:pt idx="10">
                  <c:v>36.956317499202889</c:v>
                </c:pt>
                <c:pt idx="11">
                  <c:v>36.956317499202889</c:v>
                </c:pt>
                <c:pt idx="12">
                  <c:v>36.956317499202889</c:v>
                </c:pt>
                <c:pt idx="13">
                  <c:v>36.956317499202889</c:v>
                </c:pt>
                <c:pt idx="14">
                  <c:v>36.956317499202889</c:v>
                </c:pt>
                <c:pt idx="15">
                  <c:v>36.956317499202889</c:v>
                </c:pt>
                <c:pt idx="16">
                  <c:v>36.956317499202889</c:v>
                </c:pt>
                <c:pt idx="17">
                  <c:v>36.956317499202889</c:v>
                </c:pt>
                <c:pt idx="18">
                  <c:v>36.956317499202889</c:v>
                </c:pt>
                <c:pt idx="19">
                  <c:v>36.956317499202889</c:v>
                </c:pt>
                <c:pt idx="20">
                  <c:v>36.956317499202889</c:v>
                </c:pt>
                <c:pt idx="21">
                  <c:v>36.956317499202889</c:v>
                </c:pt>
                <c:pt idx="22">
                  <c:v>36.956317499202889</c:v>
                </c:pt>
                <c:pt idx="23">
                  <c:v>36.956317499202889</c:v>
                </c:pt>
                <c:pt idx="24">
                  <c:v>36.956317499202889</c:v>
                </c:pt>
                <c:pt idx="25">
                  <c:v>36.956317499202889</c:v>
                </c:pt>
                <c:pt idx="26">
                  <c:v>36.956317499202889</c:v>
                </c:pt>
                <c:pt idx="27">
                  <c:v>36.956317499202889</c:v>
                </c:pt>
                <c:pt idx="28">
                  <c:v>36.956317499202889</c:v>
                </c:pt>
                <c:pt idx="29">
                  <c:v>36.956317499202889</c:v>
                </c:pt>
                <c:pt idx="30">
                  <c:v>36.956317499202889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8-4119-8AA0-4A9B6382BAD9}"/>
            </c:ext>
          </c:extLst>
        </c:ser>
        <c:ser>
          <c:idx val="4"/>
          <c:order val="4"/>
          <c:tx>
            <c:strRef>
              <c:f>'ZW Vrachten door de tijd'!$G$5</c:f>
              <c:strCache>
                <c:ptCount val="1"/>
                <c:pt idx="0">
                  <c:v>P-totaal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tijd'!$G$7:$G$37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0.62381878043478256</c:v>
                </c:pt>
                <c:pt idx="2">
                  <c:v>1.7763257369565215</c:v>
                </c:pt>
                <c:pt idx="3">
                  <c:v>2.7409036173913042</c:v>
                </c:pt>
                <c:pt idx="4">
                  <c:v>2.986352965217391</c:v>
                </c:pt>
                <c:pt idx="5">
                  <c:v>4.4473248347826084</c:v>
                </c:pt>
                <c:pt idx="6">
                  <c:v>4.5260454869565212</c:v>
                </c:pt>
                <c:pt idx="7">
                  <c:v>4.604766139130434</c:v>
                </c:pt>
                <c:pt idx="8">
                  <c:v>4.604766139130434</c:v>
                </c:pt>
                <c:pt idx="9">
                  <c:v>4.604766139130434</c:v>
                </c:pt>
                <c:pt idx="10">
                  <c:v>4.604766139130434</c:v>
                </c:pt>
                <c:pt idx="11">
                  <c:v>4.604766139130434</c:v>
                </c:pt>
                <c:pt idx="12">
                  <c:v>4.604766139130434</c:v>
                </c:pt>
                <c:pt idx="13">
                  <c:v>4.604766139130434</c:v>
                </c:pt>
                <c:pt idx="14">
                  <c:v>4.604766139130434</c:v>
                </c:pt>
                <c:pt idx="15">
                  <c:v>4.604766139130434</c:v>
                </c:pt>
                <c:pt idx="16">
                  <c:v>4.604766139130434</c:v>
                </c:pt>
                <c:pt idx="17">
                  <c:v>4.604766139130434</c:v>
                </c:pt>
                <c:pt idx="18">
                  <c:v>4.604766139130434</c:v>
                </c:pt>
                <c:pt idx="19">
                  <c:v>4.604766139130434</c:v>
                </c:pt>
                <c:pt idx="20">
                  <c:v>4.604766139130434</c:v>
                </c:pt>
                <c:pt idx="21">
                  <c:v>4.604766139130434</c:v>
                </c:pt>
                <c:pt idx="22">
                  <c:v>4.604766139130434</c:v>
                </c:pt>
                <c:pt idx="23">
                  <c:v>4.604766139130434</c:v>
                </c:pt>
                <c:pt idx="24">
                  <c:v>4.604766139130434</c:v>
                </c:pt>
                <c:pt idx="25">
                  <c:v>4.604766139130434</c:v>
                </c:pt>
                <c:pt idx="26">
                  <c:v>4.604766139130434</c:v>
                </c:pt>
                <c:pt idx="27">
                  <c:v>4.604766139130434</c:v>
                </c:pt>
                <c:pt idx="28">
                  <c:v>4.604766139130434</c:v>
                </c:pt>
                <c:pt idx="29">
                  <c:v>4.604766139130434</c:v>
                </c:pt>
                <c:pt idx="30">
                  <c:v>4.604766139130434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28-4119-8AA0-4A9B6382B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935752"/>
        <c:axId val="428934768"/>
      </c:lineChart>
      <c:lineChart>
        <c:grouping val="standard"/>
        <c:varyColors val="0"/>
        <c:ser>
          <c:idx val="0"/>
          <c:order val="0"/>
          <c:tx>
            <c:strRef>
              <c:f>'ZW Vrachten door de tijd'!$C$5</c:f>
              <c:strCache>
                <c:ptCount val="1"/>
                <c:pt idx="0">
                  <c:v>Debiet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tijd'!$C$7:$C$37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3.54542885625</c:v>
                </c:pt>
                <c:pt idx="2">
                  <c:v>10.261594918749999</c:v>
                </c:pt>
                <c:pt idx="3">
                  <c:v>15.760064606249999</c:v>
                </c:pt>
                <c:pt idx="4">
                  <c:v>17.159633356250001</c:v>
                </c:pt>
                <c:pt idx="5">
                  <c:v>26.03102185625</c:v>
                </c:pt>
                <c:pt idx="6">
                  <c:v>26.478424981250001</c:v>
                </c:pt>
                <c:pt idx="7">
                  <c:v>26.925828106250002</c:v>
                </c:pt>
                <c:pt idx="8">
                  <c:v>26.925828106250002</c:v>
                </c:pt>
                <c:pt idx="9">
                  <c:v>26.925828106250002</c:v>
                </c:pt>
                <c:pt idx="10">
                  <c:v>26.925828106250002</c:v>
                </c:pt>
                <c:pt idx="11">
                  <c:v>26.925828106250002</c:v>
                </c:pt>
                <c:pt idx="12">
                  <c:v>26.925828106250002</c:v>
                </c:pt>
                <c:pt idx="13">
                  <c:v>26.925828106250002</c:v>
                </c:pt>
                <c:pt idx="14">
                  <c:v>26.925828106250002</c:v>
                </c:pt>
                <c:pt idx="15">
                  <c:v>26.925828106250002</c:v>
                </c:pt>
                <c:pt idx="16">
                  <c:v>26.925828106250002</c:v>
                </c:pt>
                <c:pt idx="17">
                  <c:v>26.925828106250002</c:v>
                </c:pt>
                <c:pt idx="18">
                  <c:v>26.925828106250002</c:v>
                </c:pt>
                <c:pt idx="19">
                  <c:v>26.925828106250002</c:v>
                </c:pt>
                <c:pt idx="20">
                  <c:v>26.925828106250002</c:v>
                </c:pt>
                <c:pt idx="21">
                  <c:v>26.925828106250002</c:v>
                </c:pt>
                <c:pt idx="22">
                  <c:v>26.925828106250002</c:v>
                </c:pt>
                <c:pt idx="23">
                  <c:v>26.925828106250002</c:v>
                </c:pt>
                <c:pt idx="24">
                  <c:v>26.925828106250002</c:v>
                </c:pt>
                <c:pt idx="25">
                  <c:v>26.925828106250002</c:v>
                </c:pt>
                <c:pt idx="26">
                  <c:v>26.925828106250002</c:v>
                </c:pt>
                <c:pt idx="27">
                  <c:v>26.925828106250002</c:v>
                </c:pt>
                <c:pt idx="28">
                  <c:v>26.925828106250002</c:v>
                </c:pt>
                <c:pt idx="29">
                  <c:v>26.925828106250002</c:v>
                </c:pt>
                <c:pt idx="30">
                  <c:v>26.925828106250002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28-4119-8AA0-4A9B6382B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671264"/>
        <c:axId val="1080669952"/>
      </c:lineChart>
      <c:dateAx>
        <c:axId val="42893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8934768"/>
        <c:crosses val="autoZero"/>
        <c:auto val="0"/>
        <c:lblOffset val="100"/>
        <c:baseTimeUnit val="days"/>
        <c:majorUnit val="5"/>
        <c:majorTimeUnit val="days"/>
      </c:dateAx>
      <c:valAx>
        <c:axId val="42893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Vracht (kg/d)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8935752"/>
        <c:crosses val="autoZero"/>
        <c:crossBetween val="between"/>
      </c:valAx>
      <c:valAx>
        <c:axId val="1080669952"/>
        <c:scaling>
          <c:orientation val="minMax"/>
          <c:max val="3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Debiet (m3/d)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0671264"/>
        <c:crosses val="max"/>
        <c:crossBetween val="between"/>
      </c:valAx>
      <c:catAx>
        <c:axId val="1080671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0669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Grijswater vrachten ontwerp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2"/>
          <c:order val="1"/>
          <c:tx>
            <c:strRef>
              <c:f>'GW vrachten door de tijd'!$D$5</c:f>
              <c:strCache>
                <c:ptCount val="1"/>
                <c:pt idx="0">
                  <c:v>CZV totaal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tijd'!$D$7:$D$37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1.3327953750000001</c:v>
                </c:pt>
                <c:pt idx="2">
                  <c:v>11.511799125</c:v>
                </c:pt>
                <c:pt idx="3">
                  <c:v>13.578780375000001</c:v>
                </c:pt>
                <c:pt idx="4">
                  <c:v>14.104905375000001</c:v>
                </c:pt>
                <c:pt idx="5">
                  <c:v>45.996135375000009</c:v>
                </c:pt>
                <c:pt idx="6">
                  <c:v>46.164322875000003</c:v>
                </c:pt>
                <c:pt idx="7">
                  <c:v>46.332510375000005</c:v>
                </c:pt>
                <c:pt idx="8">
                  <c:v>46.332510375000005</c:v>
                </c:pt>
                <c:pt idx="9">
                  <c:v>46.332510375000005</c:v>
                </c:pt>
                <c:pt idx="10">
                  <c:v>46.332510375000005</c:v>
                </c:pt>
                <c:pt idx="11">
                  <c:v>46.332510375000005</c:v>
                </c:pt>
                <c:pt idx="12">
                  <c:v>46.332510375000005</c:v>
                </c:pt>
                <c:pt idx="13">
                  <c:v>46.332510375000005</c:v>
                </c:pt>
                <c:pt idx="14">
                  <c:v>46.332510375000005</c:v>
                </c:pt>
                <c:pt idx="15">
                  <c:v>46.332510375000005</c:v>
                </c:pt>
                <c:pt idx="16">
                  <c:v>46.332510375000005</c:v>
                </c:pt>
                <c:pt idx="17">
                  <c:v>46.332510375000005</c:v>
                </c:pt>
                <c:pt idx="18">
                  <c:v>46.332510375000005</c:v>
                </c:pt>
                <c:pt idx="19">
                  <c:v>46.332510375000005</c:v>
                </c:pt>
                <c:pt idx="20">
                  <c:v>46.332510375000005</c:v>
                </c:pt>
                <c:pt idx="21">
                  <c:v>46.332510375000005</c:v>
                </c:pt>
                <c:pt idx="22">
                  <c:v>46.332510375000005</c:v>
                </c:pt>
                <c:pt idx="23">
                  <c:v>46.332510375000005</c:v>
                </c:pt>
                <c:pt idx="24">
                  <c:v>46.332510375000005</c:v>
                </c:pt>
                <c:pt idx="25">
                  <c:v>46.332510375000005</c:v>
                </c:pt>
                <c:pt idx="26">
                  <c:v>46.332510375000005</c:v>
                </c:pt>
                <c:pt idx="27">
                  <c:v>46.332510375000005</c:v>
                </c:pt>
                <c:pt idx="28">
                  <c:v>46.332510375000005</c:v>
                </c:pt>
                <c:pt idx="29">
                  <c:v>46.332510375000005</c:v>
                </c:pt>
                <c:pt idx="30">
                  <c:v>46.332510375000005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C-4727-8A9C-62C18E4C12A1}"/>
            </c:ext>
          </c:extLst>
        </c:ser>
        <c:ser>
          <c:idx val="3"/>
          <c:order val="2"/>
          <c:tx>
            <c:strRef>
              <c:f>'GW vrachten door de tijd'!$E$5</c:f>
              <c:strCache>
                <c:ptCount val="1"/>
                <c:pt idx="0">
                  <c:v>Zwevende stof (ZS)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tijd'!$E$7:$E$37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0.79967722499999994</c:v>
                </c:pt>
                <c:pt idx="2">
                  <c:v>6.9070794749999997</c:v>
                </c:pt>
                <c:pt idx="3">
                  <c:v>8.1472682249999995</c:v>
                </c:pt>
                <c:pt idx="4">
                  <c:v>8.4629432250000001</c:v>
                </c:pt>
                <c:pt idx="5">
                  <c:v>27.597681225000002</c:v>
                </c:pt>
                <c:pt idx="6">
                  <c:v>27.698593725000002</c:v>
                </c:pt>
                <c:pt idx="7">
                  <c:v>27.799506225000002</c:v>
                </c:pt>
                <c:pt idx="8">
                  <c:v>27.799506225000002</c:v>
                </c:pt>
                <c:pt idx="9">
                  <c:v>27.799506225000002</c:v>
                </c:pt>
                <c:pt idx="10">
                  <c:v>27.799506225000002</c:v>
                </c:pt>
                <c:pt idx="11">
                  <c:v>27.799506225000002</c:v>
                </c:pt>
                <c:pt idx="12">
                  <c:v>27.799506225000002</c:v>
                </c:pt>
                <c:pt idx="13">
                  <c:v>27.799506225000002</c:v>
                </c:pt>
                <c:pt idx="14">
                  <c:v>27.799506225000002</c:v>
                </c:pt>
                <c:pt idx="15">
                  <c:v>27.799506225000002</c:v>
                </c:pt>
                <c:pt idx="16">
                  <c:v>27.799506225000002</c:v>
                </c:pt>
                <c:pt idx="17">
                  <c:v>27.799506225000002</c:v>
                </c:pt>
                <c:pt idx="18">
                  <c:v>27.799506225000002</c:v>
                </c:pt>
                <c:pt idx="19">
                  <c:v>27.799506225000002</c:v>
                </c:pt>
                <c:pt idx="20">
                  <c:v>27.799506225000002</c:v>
                </c:pt>
                <c:pt idx="21">
                  <c:v>27.799506225000002</c:v>
                </c:pt>
                <c:pt idx="22">
                  <c:v>27.799506225000002</c:v>
                </c:pt>
                <c:pt idx="23">
                  <c:v>27.799506225000002</c:v>
                </c:pt>
                <c:pt idx="24">
                  <c:v>27.799506225000002</c:v>
                </c:pt>
                <c:pt idx="25">
                  <c:v>27.799506225000002</c:v>
                </c:pt>
                <c:pt idx="26">
                  <c:v>27.799506225000002</c:v>
                </c:pt>
                <c:pt idx="27">
                  <c:v>27.799506225000002</c:v>
                </c:pt>
                <c:pt idx="28">
                  <c:v>27.799506225000002</c:v>
                </c:pt>
                <c:pt idx="29">
                  <c:v>27.799506225000002</c:v>
                </c:pt>
                <c:pt idx="30">
                  <c:v>27.799506225000002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C-4727-8A9C-62C18E4C12A1}"/>
            </c:ext>
          </c:extLst>
        </c:ser>
        <c:ser>
          <c:idx val="4"/>
          <c:order val="3"/>
          <c:tx>
            <c:strRef>
              <c:f>'GW vrachten door de tijd'!$F$5</c:f>
              <c:strCache>
                <c:ptCount val="1"/>
                <c:pt idx="0">
                  <c:v>N-totaal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tijd'!$F$7:$F$37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1.5452700000000003E-2</c:v>
                </c:pt>
                <c:pt idx="2">
                  <c:v>9.2611700000000019E-2</c:v>
                </c:pt>
                <c:pt idx="3">
                  <c:v>0.11657670000000002</c:v>
                </c:pt>
                <c:pt idx="4">
                  <c:v>0.1226767</c:v>
                </c:pt>
                <c:pt idx="5">
                  <c:v>0.33999669999999999</c:v>
                </c:pt>
                <c:pt idx="6">
                  <c:v>0.34194669999999999</c:v>
                </c:pt>
                <c:pt idx="7">
                  <c:v>0.3438967</c:v>
                </c:pt>
                <c:pt idx="8">
                  <c:v>0.3438967</c:v>
                </c:pt>
                <c:pt idx="9">
                  <c:v>0.3438967</c:v>
                </c:pt>
                <c:pt idx="10">
                  <c:v>0.3438967</c:v>
                </c:pt>
                <c:pt idx="11">
                  <c:v>0.3438967</c:v>
                </c:pt>
                <c:pt idx="12">
                  <c:v>0.3438967</c:v>
                </c:pt>
                <c:pt idx="13">
                  <c:v>0.3438967</c:v>
                </c:pt>
                <c:pt idx="14">
                  <c:v>0.3438967</c:v>
                </c:pt>
                <c:pt idx="15">
                  <c:v>0.3438967</c:v>
                </c:pt>
                <c:pt idx="16">
                  <c:v>0.3438967</c:v>
                </c:pt>
                <c:pt idx="17">
                  <c:v>0.3438967</c:v>
                </c:pt>
                <c:pt idx="18">
                  <c:v>0.3438967</c:v>
                </c:pt>
                <c:pt idx="19">
                  <c:v>0.3438967</c:v>
                </c:pt>
                <c:pt idx="20">
                  <c:v>0.3438967</c:v>
                </c:pt>
                <c:pt idx="21">
                  <c:v>0.3438967</c:v>
                </c:pt>
                <c:pt idx="22">
                  <c:v>0.3438967</c:v>
                </c:pt>
                <c:pt idx="23">
                  <c:v>0.3438967</c:v>
                </c:pt>
                <c:pt idx="24">
                  <c:v>0.3438967</c:v>
                </c:pt>
                <c:pt idx="25">
                  <c:v>0.3438967</c:v>
                </c:pt>
                <c:pt idx="26">
                  <c:v>0.3438967</c:v>
                </c:pt>
                <c:pt idx="27">
                  <c:v>0.3438967</c:v>
                </c:pt>
                <c:pt idx="28">
                  <c:v>0.3438967</c:v>
                </c:pt>
                <c:pt idx="29">
                  <c:v>0.3438967</c:v>
                </c:pt>
                <c:pt idx="30">
                  <c:v>0.3438967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C-4727-8A9C-62C18E4C12A1}"/>
            </c:ext>
          </c:extLst>
        </c:ser>
        <c:ser>
          <c:idx val="5"/>
          <c:order val="4"/>
          <c:tx>
            <c:strRef>
              <c:f>'GW vrachten door de tijd'!$G$5</c:f>
              <c:strCache>
                <c:ptCount val="1"/>
                <c:pt idx="0">
                  <c:v>P-totaal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tijd'!$G$7:$G$37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1.1589525E-2</c:v>
                </c:pt>
                <c:pt idx="2">
                  <c:v>0.11157877500000001</c:v>
                </c:pt>
                <c:pt idx="3">
                  <c:v>0.12955252499999997</c:v>
                </c:pt>
                <c:pt idx="4">
                  <c:v>0.134127525</c:v>
                </c:pt>
                <c:pt idx="5">
                  <c:v>0.45425752500000005</c:v>
                </c:pt>
                <c:pt idx="6">
                  <c:v>0.45572002500000003</c:v>
                </c:pt>
                <c:pt idx="7">
                  <c:v>0.45718252500000001</c:v>
                </c:pt>
                <c:pt idx="8">
                  <c:v>0.45718252500000001</c:v>
                </c:pt>
                <c:pt idx="9">
                  <c:v>0.45718252500000001</c:v>
                </c:pt>
                <c:pt idx="10">
                  <c:v>0.45718252500000001</c:v>
                </c:pt>
                <c:pt idx="11">
                  <c:v>0.45718252500000001</c:v>
                </c:pt>
                <c:pt idx="12">
                  <c:v>0.45718252500000001</c:v>
                </c:pt>
                <c:pt idx="13">
                  <c:v>0.45718252500000001</c:v>
                </c:pt>
                <c:pt idx="14">
                  <c:v>0.45718252500000001</c:v>
                </c:pt>
                <c:pt idx="15">
                  <c:v>0.45718252500000001</c:v>
                </c:pt>
                <c:pt idx="16">
                  <c:v>0.45718252500000001</c:v>
                </c:pt>
                <c:pt idx="17">
                  <c:v>0.45718252500000001</c:v>
                </c:pt>
                <c:pt idx="18">
                  <c:v>0.45718252500000001</c:v>
                </c:pt>
                <c:pt idx="19">
                  <c:v>0.45718252500000001</c:v>
                </c:pt>
                <c:pt idx="20">
                  <c:v>0.45718252500000001</c:v>
                </c:pt>
                <c:pt idx="21">
                  <c:v>0.45718252500000001</c:v>
                </c:pt>
                <c:pt idx="22">
                  <c:v>0.45718252500000001</c:v>
                </c:pt>
                <c:pt idx="23">
                  <c:v>0.45718252500000001</c:v>
                </c:pt>
                <c:pt idx="24">
                  <c:v>0.45718252500000001</c:v>
                </c:pt>
                <c:pt idx="25">
                  <c:v>0.45718252500000001</c:v>
                </c:pt>
                <c:pt idx="26">
                  <c:v>0.45718252500000001</c:v>
                </c:pt>
                <c:pt idx="27">
                  <c:v>0.45718252500000001</c:v>
                </c:pt>
                <c:pt idx="28">
                  <c:v>0.45718252500000001</c:v>
                </c:pt>
                <c:pt idx="29">
                  <c:v>0.45718252500000001</c:v>
                </c:pt>
                <c:pt idx="30">
                  <c:v>0.45718252500000001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1C-4727-8A9C-62C18E4C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935752"/>
        <c:axId val="428934768"/>
      </c:lineChart>
      <c:lineChart>
        <c:grouping val="standard"/>
        <c:varyColors val="0"/>
        <c:ser>
          <c:idx val="1"/>
          <c:order val="0"/>
          <c:tx>
            <c:strRef>
              <c:f>'GW vrachten door de tijd'!$C$5</c:f>
              <c:strCache>
                <c:ptCount val="1"/>
                <c:pt idx="0">
                  <c:v>Debiet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tijd'!$C$7:$C$37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2.8394336249999999</c:v>
                </c:pt>
                <c:pt idx="2">
                  <c:v>62.857999874999997</c:v>
                </c:pt>
                <c:pt idx="3">
                  <c:v>67.261568624999995</c:v>
                </c:pt>
                <c:pt idx="4">
                  <c:v>68.382443624999993</c:v>
                </c:pt>
                <c:pt idx="5">
                  <c:v>279.33569362500003</c:v>
                </c:pt>
                <c:pt idx="6">
                  <c:v>279.69400612499999</c:v>
                </c:pt>
                <c:pt idx="7">
                  <c:v>280.052318625</c:v>
                </c:pt>
                <c:pt idx="8">
                  <c:v>280.052318625</c:v>
                </c:pt>
                <c:pt idx="9">
                  <c:v>280.052318625</c:v>
                </c:pt>
                <c:pt idx="10">
                  <c:v>280.052318625</c:v>
                </c:pt>
                <c:pt idx="11">
                  <c:v>280.052318625</c:v>
                </c:pt>
                <c:pt idx="12">
                  <c:v>280.052318625</c:v>
                </c:pt>
                <c:pt idx="13">
                  <c:v>280.052318625</c:v>
                </c:pt>
                <c:pt idx="14">
                  <c:v>280.052318625</c:v>
                </c:pt>
                <c:pt idx="15">
                  <c:v>280.052318625</c:v>
                </c:pt>
                <c:pt idx="16">
                  <c:v>280.052318625</c:v>
                </c:pt>
                <c:pt idx="17">
                  <c:v>280.052318625</c:v>
                </c:pt>
                <c:pt idx="18">
                  <c:v>280.052318625</c:v>
                </c:pt>
                <c:pt idx="19">
                  <c:v>280.052318625</c:v>
                </c:pt>
                <c:pt idx="20">
                  <c:v>280.052318625</c:v>
                </c:pt>
                <c:pt idx="21">
                  <c:v>280.052318625</c:v>
                </c:pt>
                <c:pt idx="22">
                  <c:v>280.052318625</c:v>
                </c:pt>
                <c:pt idx="23">
                  <c:v>280.052318625</c:v>
                </c:pt>
                <c:pt idx="24">
                  <c:v>280.052318625</c:v>
                </c:pt>
                <c:pt idx="25">
                  <c:v>280.052318625</c:v>
                </c:pt>
                <c:pt idx="26">
                  <c:v>280.052318625</c:v>
                </c:pt>
                <c:pt idx="27">
                  <c:v>280.052318625</c:v>
                </c:pt>
                <c:pt idx="28">
                  <c:v>280.052318625</c:v>
                </c:pt>
                <c:pt idx="29">
                  <c:v>280.052318625</c:v>
                </c:pt>
                <c:pt idx="30">
                  <c:v>280.052318625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1C-4727-8A9C-62C18E4C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671264"/>
        <c:axId val="1080669952"/>
      </c:lineChart>
      <c:dateAx>
        <c:axId val="42893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8934768"/>
        <c:crosses val="autoZero"/>
        <c:auto val="0"/>
        <c:lblOffset val="100"/>
        <c:baseTimeUnit val="days"/>
        <c:majorUnit val="5"/>
        <c:majorTimeUnit val="days"/>
      </c:dateAx>
      <c:valAx>
        <c:axId val="428934768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Vracht (kg/d)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8935752"/>
        <c:crosses val="autoZero"/>
        <c:crossBetween val="between"/>
      </c:valAx>
      <c:valAx>
        <c:axId val="1080669952"/>
        <c:scaling>
          <c:orientation val="minMax"/>
          <c:max val="3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Debiet (m3/d)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0671264"/>
        <c:crosses val="max"/>
        <c:crossBetween val="between"/>
      </c:valAx>
      <c:catAx>
        <c:axId val="1080671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0669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Zwartwater vrachten</a:t>
            </a:r>
            <a:r>
              <a:rPr lang="nl-NL" baseline="0"/>
              <a:t> gemiddeld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'ZW Vrachten door de tijd'!$K$5</c:f>
              <c:strCache>
                <c:ptCount val="1"/>
                <c:pt idx="0">
                  <c:v>CZV totaal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tijd'!$K$7:$K$37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15.915801102484473</c:v>
                </c:pt>
                <c:pt idx="2">
                  <c:v>55.951414487577637</c:v>
                </c:pt>
                <c:pt idx="3">
                  <c:v>92.326620232919254</c:v>
                </c:pt>
                <c:pt idx="4">
                  <c:v>99.883287934782601</c:v>
                </c:pt>
                <c:pt idx="5">
                  <c:v>174.39955259316773</c:v>
                </c:pt>
                <c:pt idx="6">
                  <c:v>177.43870631987579</c:v>
                </c:pt>
                <c:pt idx="7">
                  <c:v>180.47786004658388</c:v>
                </c:pt>
                <c:pt idx="8">
                  <c:v>180.47786004658388</c:v>
                </c:pt>
                <c:pt idx="9">
                  <c:v>180.47786004658388</c:v>
                </c:pt>
                <c:pt idx="10">
                  <c:v>180.47786004658388</c:v>
                </c:pt>
                <c:pt idx="11">
                  <c:v>180.47786004658388</c:v>
                </c:pt>
                <c:pt idx="12">
                  <c:v>180.47786004658388</c:v>
                </c:pt>
                <c:pt idx="13">
                  <c:v>180.47786004658388</c:v>
                </c:pt>
                <c:pt idx="14">
                  <c:v>180.47786004658388</c:v>
                </c:pt>
                <c:pt idx="15">
                  <c:v>180.47786004658388</c:v>
                </c:pt>
                <c:pt idx="16">
                  <c:v>180.47786004658388</c:v>
                </c:pt>
                <c:pt idx="17">
                  <c:v>180.47786004658388</c:v>
                </c:pt>
                <c:pt idx="18">
                  <c:v>180.47786004658388</c:v>
                </c:pt>
                <c:pt idx="19">
                  <c:v>180.47786004658388</c:v>
                </c:pt>
                <c:pt idx="20">
                  <c:v>180.47786004658388</c:v>
                </c:pt>
                <c:pt idx="21">
                  <c:v>180.47786004658388</c:v>
                </c:pt>
                <c:pt idx="22">
                  <c:v>180.47786004658388</c:v>
                </c:pt>
                <c:pt idx="23">
                  <c:v>180.47786004658388</c:v>
                </c:pt>
                <c:pt idx="24">
                  <c:v>180.47786004658388</c:v>
                </c:pt>
                <c:pt idx="25">
                  <c:v>180.47786004658388</c:v>
                </c:pt>
                <c:pt idx="26">
                  <c:v>180.47786004658388</c:v>
                </c:pt>
                <c:pt idx="27">
                  <c:v>180.47786004658388</c:v>
                </c:pt>
                <c:pt idx="28">
                  <c:v>180.47786004658388</c:v>
                </c:pt>
                <c:pt idx="29">
                  <c:v>180.47786004658388</c:v>
                </c:pt>
                <c:pt idx="30">
                  <c:v>180.47786004658388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EC6-8015-A0686EE01F78}"/>
            </c:ext>
          </c:extLst>
        </c:ser>
        <c:ser>
          <c:idx val="2"/>
          <c:order val="2"/>
          <c:tx>
            <c:strRef>
              <c:f>'ZW Vrachten door de tijd'!$L$5</c:f>
              <c:strCache>
                <c:ptCount val="1"/>
                <c:pt idx="0">
                  <c:v>Zwevende stof (ZS)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tijd'!$L$7:$L$37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11.957846343167699</c:v>
                </c:pt>
                <c:pt idx="2">
                  <c:v>36.581225284161476</c:v>
                </c:pt>
                <c:pt idx="3">
                  <c:v>54.606253234472035</c:v>
                </c:pt>
                <c:pt idx="4">
                  <c:v>59.181256340062099</c:v>
                </c:pt>
                <c:pt idx="5">
                  <c:v>97.974589315217386</c:v>
                </c:pt>
                <c:pt idx="6">
                  <c:v>99.483568352484468</c:v>
                </c:pt>
                <c:pt idx="7">
                  <c:v>100.99254738975155</c:v>
                </c:pt>
                <c:pt idx="8">
                  <c:v>100.99254738975155</c:v>
                </c:pt>
                <c:pt idx="9">
                  <c:v>100.99254738975155</c:v>
                </c:pt>
                <c:pt idx="10">
                  <c:v>100.99254738975155</c:v>
                </c:pt>
                <c:pt idx="11">
                  <c:v>100.99254738975155</c:v>
                </c:pt>
                <c:pt idx="12">
                  <c:v>100.99254738975155</c:v>
                </c:pt>
                <c:pt idx="13">
                  <c:v>100.99254738975155</c:v>
                </c:pt>
                <c:pt idx="14">
                  <c:v>100.99254738975155</c:v>
                </c:pt>
                <c:pt idx="15">
                  <c:v>100.99254738975155</c:v>
                </c:pt>
                <c:pt idx="16">
                  <c:v>100.99254738975155</c:v>
                </c:pt>
                <c:pt idx="17">
                  <c:v>100.99254738975155</c:v>
                </c:pt>
                <c:pt idx="18">
                  <c:v>100.99254738975155</c:v>
                </c:pt>
                <c:pt idx="19">
                  <c:v>100.99254738975155</c:v>
                </c:pt>
                <c:pt idx="20">
                  <c:v>100.99254738975155</c:v>
                </c:pt>
                <c:pt idx="21">
                  <c:v>100.99254738975155</c:v>
                </c:pt>
                <c:pt idx="22">
                  <c:v>100.99254738975155</c:v>
                </c:pt>
                <c:pt idx="23">
                  <c:v>100.99254738975155</c:v>
                </c:pt>
                <c:pt idx="24">
                  <c:v>100.99254738975155</c:v>
                </c:pt>
                <c:pt idx="25">
                  <c:v>100.99254738975155</c:v>
                </c:pt>
                <c:pt idx="26">
                  <c:v>100.99254738975155</c:v>
                </c:pt>
                <c:pt idx="27">
                  <c:v>100.99254738975155</c:v>
                </c:pt>
                <c:pt idx="28">
                  <c:v>100.99254738975155</c:v>
                </c:pt>
                <c:pt idx="29">
                  <c:v>100.99254738975155</c:v>
                </c:pt>
                <c:pt idx="30">
                  <c:v>100.99254738975155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B-4EC6-8015-A0686EE01F78}"/>
            </c:ext>
          </c:extLst>
        </c:ser>
        <c:ser>
          <c:idx val="3"/>
          <c:order val="3"/>
          <c:tx>
            <c:strRef>
              <c:f>'ZW Vrachten door de tijd'!$M$5</c:f>
              <c:strCache>
                <c:ptCount val="1"/>
                <c:pt idx="0">
                  <c:v>N-totaal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tijd'!$M$7:$M$37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3.5608955532608686</c:v>
                </c:pt>
                <c:pt idx="2">
                  <c:v>10.665960487028983</c:v>
                </c:pt>
                <c:pt idx="3">
                  <c:v>16.18841688195652</c:v>
                </c:pt>
                <c:pt idx="4">
                  <c:v>17.594091157318836</c:v>
                </c:pt>
                <c:pt idx="5">
                  <c:v>27.813503903115937</c:v>
                </c:pt>
                <c:pt idx="6">
                  <c:v>28.262858794420282</c:v>
                </c:pt>
                <c:pt idx="7">
                  <c:v>28.712213685724631</c:v>
                </c:pt>
                <c:pt idx="8">
                  <c:v>28.712213685724631</c:v>
                </c:pt>
                <c:pt idx="9">
                  <c:v>28.712213685724631</c:v>
                </c:pt>
                <c:pt idx="10">
                  <c:v>28.712213685724631</c:v>
                </c:pt>
                <c:pt idx="11">
                  <c:v>28.712213685724631</c:v>
                </c:pt>
                <c:pt idx="12">
                  <c:v>28.712213685724631</c:v>
                </c:pt>
                <c:pt idx="13">
                  <c:v>28.712213685724631</c:v>
                </c:pt>
                <c:pt idx="14">
                  <c:v>28.712213685724631</c:v>
                </c:pt>
                <c:pt idx="15">
                  <c:v>28.712213685724631</c:v>
                </c:pt>
                <c:pt idx="16">
                  <c:v>28.712213685724631</c:v>
                </c:pt>
                <c:pt idx="17">
                  <c:v>28.712213685724631</c:v>
                </c:pt>
                <c:pt idx="18">
                  <c:v>28.712213685724631</c:v>
                </c:pt>
                <c:pt idx="19">
                  <c:v>28.712213685724631</c:v>
                </c:pt>
                <c:pt idx="20">
                  <c:v>28.712213685724631</c:v>
                </c:pt>
                <c:pt idx="21">
                  <c:v>28.712213685724631</c:v>
                </c:pt>
                <c:pt idx="22">
                  <c:v>28.712213685724631</c:v>
                </c:pt>
                <c:pt idx="23">
                  <c:v>28.712213685724631</c:v>
                </c:pt>
                <c:pt idx="24">
                  <c:v>28.712213685724631</c:v>
                </c:pt>
                <c:pt idx="25">
                  <c:v>28.712213685724631</c:v>
                </c:pt>
                <c:pt idx="26">
                  <c:v>28.712213685724631</c:v>
                </c:pt>
                <c:pt idx="27">
                  <c:v>28.712213685724631</c:v>
                </c:pt>
                <c:pt idx="28">
                  <c:v>28.712213685724631</c:v>
                </c:pt>
                <c:pt idx="29">
                  <c:v>28.712213685724631</c:v>
                </c:pt>
                <c:pt idx="30">
                  <c:v>28.712213685724631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B-4EC6-8015-A0686EE01F78}"/>
            </c:ext>
          </c:extLst>
        </c:ser>
        <c:ser>
          <c:idx val="4"/>
          <c:order val="4"/>
          <c:tx>
            <c:strRef>
              <c:f>'ZW Vrachten door de tijd'!$N$5</c:f>
              <c:strCache>
                <c:ptCount val="1"/>
                <c:pt idx="0">
                  <c:v>P-totaal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tijd'!$N$7:$N$37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0.44558484316770186</c:v>
                </c:pt>
                <c:pt idx="2">
                  <c:v>1.3303937698757762</c:v>
                </c:pt>
                <c:pt idx="3">
                  <c:v>2.0193779701863352</c:v>
                </c:pt>
                <c:pt idx="4">
                  <c:v>2.1946989329192546</c:v>
                </c:pt>
                <c:pt idx="5">
                  <c:v>3.4639901652173908</c:v>
                </c:pt>
                <c:pt idx="6">
                  <c:v>3.5202192024844714</c:v>
                </c:pt>
                <c:pt idx="7">
                  <c:v>3.576448239751552</c:v>
                </c:pt>
                <c:pt idx="8">
                  <c:v>3.576448239751552</c:v>
                </c:pt>
                <c:pt idx="9">
                  <c:v>3.576448239751552</c:v>
                </c:pt>
                <c:pt idx="10">
                  <c:v>3.576448239751552</c:v>
                </c:pt>
                <c:pt idx="11">
                  <c:v>3.576448239751552</c:v>
                </c:pt>
                <c:pt idx="12">
                  <c:v>3.576448239751552</c:v>
                </c:pt>
                <c:pt idx="13">
                  <c:v>3.576448239751552</c:v>
                </c:pt>
                <c:pt idx="14">
                  <c:v>3.576448239751552</c:v>
                </c:pt>
                <c:pt idx="15">
                  <c:v>3.576448239751552</c:v>
                </c:pt>
                <c:pt idx="16">
                  <c:v>3.576448239751552</c:v>
                </c:pt>
                <c:pt idx="17">
                  <c:v>3.576448239751552</c:v>
                </c:pt>
                <c:pt idx="18">
                  <c:v>3.576448239751552</c:v>
                </c:pt>
                <c:pt idx="19">
                  <c:v>3.576448239751552</c:v>
                </c:pt>
                <c:pt idx="20">
                  <c:v>3.576448239751552</c:v>
                </c:pt>
                <c:pt idx="21">
                  <c:v>3.576448239751552</c:v>
                </c:pt>
                <c:pt idx="22">
                  <c:v>3.576448239751552</c:v>
                </c:pt>
                <c:pt idx="23">
                  <c:v>3.576448239751552</c:v>
                </c:pt>
                <c:pt idx="24">
                  <c:v>3.576448239751552</c:v>
                </c:pt>
                <c:pt idx="25">
                  <c:v>3.576448239751552</c:v>
                </c:pt>
                <c:pt idx="26">
                  <c:v>3.576448239751552</c:v>
                </c:pt>
                <c:pt idx="27">
                  <c:v>3.576448239751552</c:v>
                </c:pt>
                <c:pt idx="28">
                  <c:v>3.576448239751552</c:v>
                </c:pt>
                <c:pt idx="29">
                  <c:v>3.576448239751552</c:v>
                </c:pt>
                <c:pt idx="30">
                  <c:v>3.576448239751552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FB-4EC6-8015-A0686EE01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935752"/>
        <c:axId val="428934768"/>
      </c:lineChart>
      <c:lineChart>
        <c:grouping val="standard"/>
        <c:varyColors val="0"/>
        <c:ser>
          <c:idx val="0"/>
          <c:order val="0"/>
          <c:tx>
            <c:strRef>
              <c:f>'ZW Vrachten door de tijd'!$J$5</c:f>
              <c:strCache>
                <c:ptCount val="1"/>
                <c:pt idx="0">
                  <c:v>Debiet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'ZW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'ZW Vrachten door de tijd'!$J$7:$J$37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2.5324491830357143</c:v>
                </c:pt>
                <c:pt idx="2">
                  <c:v>7.7078008919642862</c:v>
                </c:pt>
                <c:pt idx="3">
                  <c:v>11.635279240178573</c:v>
                </c:pt>
                <c:pt idx="4">
                  <c:v>12.634971204464287</c:v>
                </c:pt>
                <c:pt idx="5">
                  <c:v>20.35930094375</c:v>
                </c:pt>
                <c:pt idx="6">
                  <c:v>20.678874604464287</c:v>
                </c:pt>
                <c:pt idx="7">
                  <c:v>20.998448265178574</c:v>
                </c:pt>
                <c:pt idx="8">
                  <c:v>20.998448265178574</c:v>
                </c:pt>
                <c:pt idx="9">
                  <c:v>20.998448265178574</c:v>
                </c:pt>
                <c:pt idx="10">
                  <c:v>20.998448265178574</c:v>
                </c:pt>
                <c:pt idx="11">
                  <c:v>20.998448265178574</c:v>
                </c:pt>
                <c:pt idx="12">
                  <c:v>20.998448265178574</c:v>
                </c:pt>
                <c:pt idx="13">
                  <c:v>20.998448265178574</c:v>
                </c:pt>
                <c:pt idx="14">
                  <c:v>20.998448265178574</c:v>
                </c:pt>
                <c:pt idx="15">
                  <c:v>20.998448265178574</c:v>
                </c:pt>
                <c:pt idx="16">
                  <c:v>20.998448265178574</c:v>
                </c:pt>
                <c:pt idx="17">
                  <c:v>20.998448265178574</c:v>
                </c:pt>
                <c:pt idx="18">
                  <c:v>20.998448265178574</c:v>
                </c:pt>
                <c:pt idx="19">
                  <c:v>20.998448265178574</c:v>
                </c:pt>
                <c:pt idx="20">
                  <c:v>20.998448265178574</c:v>
                </c:pt>
                <c:pt idx="21">
                  <c:v>20.998448265178574</c:v>
                </c:pt>
                <c:pt idx="22">
                  <c:v>20.998448265178574</c:v>
                </c:pt>
                <c:pt idx="23">
                  <c:v>20.998448265178574</c:v>
                </c:pt>
                <c:pt idx="24">
                  <c:v>20.998448265178574</c:v>
                </c:pt>
                <c:pt idx="25">
                  <c:v>20.998448265178574</c:v>
                </c:pt>
                <c:pt idx="26">
                  <c:v>20.998448265178574</c:v>
                </c:pt>
                <c:pt idx="27">
                  <c:v>20.998448265178574</c:v>
                </c:pt>
                <c:pt idx="28">
                  <c:v>20.998448265178574</c:v>
                </c:pt>
                <c:pt idx="29">
                  <c:v>20.998448265178574</c:v>
                </c:pt>
                <c:pt idx="30">
                  <c:v>20.998448265178574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FB-4EC6-8015-A0686EE01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671264"/>
        <c:axId val="1080669952"/>
      </c:lineChart>
      <c:dateAx>
        <c:axId val="42893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8934768"/>
        <c:crosses val="autoZero"/>
        <c:auto val="0"/>
        <c:lblOffset val="100"/>
        <c:baseTimeUnit val="days"/>
        <c:majorUnit val="5"/>
        <c:majorTimeUnit val="days"/>
      </c:dateAx>
      <c:valAx>
        <c:axId val="428934768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Vracht (kg/d)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8935752"/>
        <c:crosses val="autoZero"/>
        <c:crossBetween val="between"/>
      </c:valAx>
      <c:valAx>
        <c:axId val="1080669952"/>
        <c:scaling>
          <c:orientation val="minMax"/>
          <c:max val="3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Debiet (m3/d)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0671264"/>
        <c:crosses val="max"/>
        <c:crossBetween val="between"/>
      </c:valAx>
      <c:catAx>
        <c:axId val="1080671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0669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Grijswater vrachten gemiddeld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2"/>
          <c:order val="1"/>
          <c:tx>
            <c:strRef>
              <c:f>'GW vrachten door de tijd'!$K$5</c:f>
              <c:strCache>
                <c:ptCount val="1"/>
                <c:pt idx="0">
                  <c:v>CZV totaal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tijd'!$K$7:$K$37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0.95199669642857154</c:v>
                </c:pt>
                <c:pt idx="2">
                  <c:v>9.7863518035714279</c:v>
                </c:pt>
                <c:pt idx="3">
                  <c:v>11.262766982142857</c:v>
                </c:pt>
                <c:pt idx="4">
                  <c:v>11.638570553571428</c:v>
                </c:pt>
                <c:pt idx="5">
                  <c:v>40.242968625000003</c:v>
                </c:pt>
                <c:pt idx="6">
                  <c:v>40.363102553571437</c:v>
                </c:pt>
                <c:pt idx="7">
                  <c:v>40.483236482142864</c:v>
                </c:pt>
                <c:pt idx="8">
                  <c:v>40.483236482142864</c:v>
                </c:pt>
                <c:pt idx="9">
                  <c:v>40.483236482142864</c:v>
                </c:pt>
                <c:pt idx="10">
                  <c:v>40.483236482142864</c:v>
                </c:pt>
                <c:pt idx="11">
                  <c:v>40.483236482142864</c:v>
                </c:pt>
                <c:pt idx="12">
                  <c:v>40.483236482142864</c:v>
                </c:pt>
                <c:pt idx="13">
                  <c:v>40.483236482142864</c:v>
                </c:pt>
                <c:pt idx="14">
                  <c:v>40.483236482142864</c:v>
                </c:pt>
                <c:pt idx="15">
                  <c:v>40.483236482142864</c:v>
                </c:pt>
                <c:pt idx="16">
                  <c:v>40.483236482142864</c:v>
                </c:pt>
                <c:pt idx="17">
                  <c:v>40.483236482142864</c:v>
                </c:pt>
                <c:pt idx="18">
                  <c:v>40.483236482142864</c:v>
                </c:pt>
                <c:pt idx="19">
                  <c:v>40.483236482142864</c:v>
                </c:pt>
                <c:pt idx="20">
                  <c:v>40.483236482142864</c:v>
                </c:pt>
                <c:pt idx="21">
                  <c:v>40.483236482142864</c:v>
                </c:pt>
                <c:pt idx="22">
                  <c:v>40.483236482142864</c:v>
                </c:pt>
                <c:pt idx="23">
                  <c:v>40.483236482142864</c:v>
                </c:pt>
                <c:pt idx="24">
                  <c:v>40.483236482142864</c:v>
                </c:pt>
                <c:pt idx="25">
                  <c:v>40.483236482142864</c:v>
                </c:pt>
                <c:pt idx="26">
                  <c:v>40.483236482142864</c:v>
                </c:pt>
                <c:pt idx="27">
                  <c:v>40.483236482142864</c:v>
                </c:pt>
                <c:pt idx="28">
                  <c:v>40.483236482142864</c:v>
                </c:pt>
                <c:pt idx="29">
                  <c:v>40.483236482142864</c:v>
                </c:pt>
                <c:pt idx="30">
                  <c:v>40.483236482142864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A-4DCA-A2DB-AF20FC8AA7D4}"/>
            </c:ext>
          </c:extLst>
        </c:ser>
        <c:ser>
          <c:idx val="3"/>
          <c:order val="2"/>
          <c:tx>
            <c:strRef>
              <c:f>'GW vrachten door de tijd'!$L$5</c:f>
              <c:strCache>
                <c:ptCount val="1"/>
                <c:pt idx="0">
                  <c:v>Zwevende stof (ZS)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tijd'!$L$7:$L$37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0.57119801785714286</c:v>
                </c:pt>
                <c:pt idx="2">
                  <c:v>5.8718110821428571</c:v>
                </c:pt>
                <c:pt idx="3">
                  <c:v>6.7576601892857138</c:v>
                </c:pt>
                <c:pt idx="4">
                  <c:v>6.9831423321428572</c:v>
                </c:pt>
                <c:pt idx="5">
                  <c:v>24.145781175000007</c:v>
                </c:pt>
                <c:pt idx="6">
                  <c:v>24.217861532142862</c:v>
                </c:pt>
                <c:pt idx="7">
                  <c:v>24.289941889285718</c:v>
                </c:pt>
                <c:pt idx="8">
                  <c:v>24.289941889285718</c:v>
                </c:pt>
                <c:pt idx="9">
                  <c:v>24.289941889285718</c:v>
                </c:pt>
                <c:pt idx="10">
                  <c:v>24.289941889285718</c:v>
                </c:pt>
                <c:pt idx="11">
                  <c:v>24.289941889285718</c:v>
                </c:pt>
                <c:pt idx="12">
                  <c:v>24.289941889285718</c:v>
                </c:pt>
                <c:pt idx="13">
                  <c:v>24.289941889285718</c:v>
                </c:pt>
                <c:pt idx="14">
                  <c:v>24.289941889285718</c:v>
                </c:pt>
                <c:pt idx="15">
                  <c:v>24.289941889285718</c:v>
                </c:pt>
                <c:pt idx="16">
                  <c:v>24.289941889285718</c:v>
                </c:pt>
                <c:pt idx="17">
                  <c:v>24.289941889285718</c:v>
                </c:pt>
                <c:pt idx="18">
                  <c:v>24.289941889285718</c:v>
                </c:pt>
                <c:pt idx="19">
                  <c:v>24.289941889285718</c:v>
                </c:pt>
                <c:pt idx="20">
                  <c:v>24.289941889285718</c:v>
                </c:pt>
                <c:pt idx="21">
                  <c:v>24.289941889285718</c:v>
                </c:pt>
                <c:pt idx="22">
                  <c:v>24.289941889285718</c:v>
                </c:pt>
                <c:pt idx="23">
                  <c:v>24.289941889285718</c:v>
                </c:pt>
                <c:pt idx="24">
                  <c:v>24.289941889285718</c:v>
                </c:pt>
                <c:pt idx="25">
                  <c:v>24.289941889285718</c:v>
                </c:pt>
                <c:pt idx="26">
                  <c:v>24.289941889285718</c:v>
                </c:pt>
                <c:pt idx="27">
                  <c:v>24.289941889285718</c:v>
                </c:pt>
                <c:pt idx="28">
                  <c:v>24.289941889285718</c:v>
                </c:pt>
                <c:pt idx="29">
                  <c:v>24.289941889285718</c:v>
                </c:pt>
                <c:pt idx="30">
                  <c:v>24.289941889285718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A-4DCA-A2DB-AF20FC8AA7D4}"/>
            </c:ext>
          </c:extLst>
        </c:ser>
        <c:ser>
          <c:idx val="4"/>
          <c:order val="3"/>
          <c:tx>
            <c:strRef>
              <c:f>'GW vrachten door de tijd'!$M$5</c:f>
              <c:strCache>
                <c:ptCount val="1"/>
                <c:pt idx="0">
                  <c:v>N-totaal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tijd'!$M$7:$M$37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1.103764285714286E-2</c:v>
                </c:pt>
                <c:pt idx="2">
                  <c:v>7.6692357142857159E-2</c:v>
                </c:pt>
                <c:pt idx="3">
                  <c:v>9.3810214285714288E-2</c:v>
                </c:pt>
                <c:pt idx="4">
                  <c:v>9.8167357142857153E-2</c:v>
                </c:pt>
                <c:pt idx="5">
                  <c:v>0.29262250000000001</c:v>
                </c:pt>
                <c:pt idx="6">
                  <c:v>0.29401535714285715</c:v>
                </c:pt>
                <c:pt idx="7">
                  <c:v>0.29540821428571429</c:v>
                </c:pt>
                <c:pt idx="8">
                  <c:v>0.29540821428571429</c:v>
                </c:pt>
                <c:pt idx="9">
                  <c:v>0.29540821428571429</c:v>
                </c:pt>
                <c:pt idx="10">
                  <c:v>0.29540821428571429</c:v>
                </c:pt>
                <c:pt idx="11">
                  <c:v>0.29540821428571429</c:v>
                </c:pt>
                <c:pt idx="12">
                  <c:v>0.29540821428571429</c:v>
                </c:pt>
                <c:pt idx="13">
                  <c:v>0.29540821428571429</c:v>
                </c:pt>
                <c:pt idx="14">
                  <c:v>0.29540821428571429</c:v>
                </c:pt>
                <c:pt idx="15">
                  <c:v>0.29540821428571429</c:v>
                </c:pt>
                <c:pt idx="16">
                  <c:v>0.29540821428571429</c:v>
                </c:pt>
                <c:pt idx="17">
                  <c:v>0.29540821428571429</c:v>
                </c:pt>
                <c:pt idx="18">
                  <c:v>0.29540821428571429</c:v>
                </c:pt>
                <c:pt idx="19">
                  <c:v>0.29540821428571429</c:v>
                </c:pt>
                <c:pt idx="20">
                  <c:v>0.29540821428571429</c:v>
                </c:pt>
                <c:pt idx="21">
                  <c:v>0.29540821428571429</c:v>
                </c:pt>
                <c:pt idx="22">
                  <c:v>0.29540821428571429</c:v>
                </c:pt>
                <c:pt idx="23">
                  <c:v>0.29540821428571429</c:v>
                </c:pt>
                <c:pt idx="24">
                  <c:v>0.29540821428571429</c:v>
                </c:pt>
                <c:pt idx="25">
                  <c:v>0.29540821428571429</c:v>
                </c:pt>
                <c:pt idx="26">
                  <c:v>0.29540821428571429</c:v>
                </c:pt>
                <c:pt idx="27">
                  <c:v>0.29540821428571429</c:v>
                </c:pt>
                <c:pt idx="28">
                  <c:v>0.29540821428571429</c:v>
                </c:pt>
                <c:pt idx="29">
                  <c:v>0.29540821428571429</c:v>
                </c:pt>
                <c:pt idx="30">
                  <c:v>0.29540821428571429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A-4DCA-A2DB-AF20FC8AA7D4}"/>
            </c:ext>
          </c:extLst>
        </c:ser>
        <c:ser>
          <c:idx val="5"/>
          <c:order val="4"/>
          <c:tx>
            <c:strRef>
              <c:f>'GW vrachten door de tijd'!$N$5</c:f>
              <c:strCache>
                <c:ptCount val="1"/>
                <c:pt idx="0">
                  <c:v>P-totaal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tijd'!$N$7:$N$37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8.2782321428571427E-3</c:v>
                </c:pt>
                <c:pt idx="2">
                  <c:v>9.5427267857142839E-2</c:v>
                </c:pt>
                <c:pt idx="3">
                  <c:v>0.1082656607142857</c:v>
                </c:pt>
                <c:pt idx="4">
                  <c:v>0.11153351785714284</c:v>
                </c:pt>
                <c:pt idx="5">
                  <c:v>0.39880087500000005</c:v>
                </c:pt>
                <c:pt idx="6">
                  <c:v>0.3998455178571429</c:v>
                </c:pt>
                <c:pt idx="7">
                  <c:v>0.40089016071428579</c:v>
                </c:pt>
                <c:pt idx="8">
                  <c:v>0.40089016071428579</c:v>
                </c:pt>
                <c:pt idx="9">
                  <c:v>0.40089016071428579</c:v>
                </c:pt>
                <c:pt idx="10">
                  <c:v>0.40089016071428579</c:v>
                </c:pt>
                <c:pt idx="11">
                  <c:v>0.40089016071428579</c:v>
                </c:pt>
                <c:pt idx="12">
                  <c:v>0.40089016071428579</c:v>
                </c:pt>
                <c:pt idx="13">
                  <c:v>0.40089016071428579</c:v>
                </c:pt>
                <c:pt idx="14">
                  <c:v>0.40089016071428579</c:v>
                </c:pt>
                <c:pt idx="15">
                  <c:v>0.40089016071428579</c:v>
                </c:pt>
                <c:pt idx="16">
                  <c:v>0.40089016071428579</c:v>
                </c:pt>
                <c:pt idx="17">
                  <c:v>0.40089016071428579</c:v>
                </c:pt>
                <c:pt idx="18">
                  <c:v>0.40089016071428579</c:v>
                </c:pt>
                <c:pt idx="19">
                  <c:v>0.40089016071428579</c:v>
                </c:pt>
                <c:pt idx="20">
                  <c:v>0.40089016071428579</c:v>
                </c:pt>
                <c:pt idx="21">
                  <c:v>0.40089016071428579</c:v>
                </c:pt>
                <c:pt idx="22">
                  <c:v>0.40089016071428579</c:v>
                </c:pt>
                <c:pt idx="23">
                  <c:v>0.40089016071428579</c:v>
                </c:pt>
                <c:pt idx="24">
                  <c:v>0.40089016071428579</c:v>
                </c:pt>
                <c:pt idx="25">
                  <c:v>0.40089016071428579</c:v>
                </c:pt>
                <c:pt idx="26">
                  <c:v>0.40089016071428579</c:v>
                </c:pt>
                <c:pt idx="27">
                  <c:v>0.40089016071428579</c:v>
                </c:pt>
                <c:pt idx="28">
                  <c:v>0.40089016071428579</c:v>
                </c:pt>
                <c:pt idx="29">
                  <c:v>0.40089016071428579</c:v>
                </c:pt>
                <c:pt idx="30">
                  <c:v>0.40089016071428579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A-4DCA-A2DB-AF20FC8AA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935752"/>
        <c:axId val="428934768"/>
      </c:lineChart>
      <c:lineChart>
        <c:grouping val="standard"/>
        <c:varyColors val="0"/>
        <c:ser>
          <c:idx val="1"/>
          <c:order val="0"/>
          <c:tx>
            <c:strRef>
              <c:f>'GW vrachten door de tijd'!$J$5</c:f>
              <c:strCache>
                <c:ptCount val="1"/>
                <c:pt idx="0">
                  <c:v>Debiet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'GW vrachten door de tijd'!$A$7:$A$37</c:f>
              <c:numCache>
                <c:formatCode>General</c:formatCode>
                <c:ptCount val="3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</c:numCache>
            </c:numRef>
          </c:cat>
          <c:val>
            <c:numRef>
              <c:f>'GW vrachten door de tijd'!$J$7:$J$37</c:f>
              <c:numCache>
                <c:formatCode>_ * #,##0_ ;_ * \-#,##0_ ;_ * "-"??_ ;_ @_ </c:formatCode>
                <c:ptCount val="31"/>
                <c:pt idx="0">
                  <c:v>0</c:v>
                </c:pt>
                <c:pt idx="1">
                  <c:v>2.0281668750000001</c:v>
                </c:pt>
                <c:pt idx="2">
                  <c:v>55.348760624999997</c:v>
                </c:pt>
                <c:pt idx="3">
                  <c:v>58.494166875000005</c:v>
                </c:pt>
                <c:pt idx="4">
                  <c:v>59.294791875000001</c:v>
                </c:pt>
                <c:pt idx="5">
                  <c:v>248.944554375</c:v>
                </c:pt>
                <c:pt idx="6">
                  <c:v>249.20049187499998</c:v>
                </c:pt>
                <c:pt idx="7">
                  <c:v>249.456429375</c:v>
                </c:pt>
                <c:pt idx="8">
                  <c:v>249.456429375</c:v>
                </c:pt>
                <c:pt idx="9">
                  <c:v>249.456429375</c:v>
                </c:pt>
                <c:pt idx="10">
                  <c:v>249.456429375</c:v>
                </c:pt>
                <c:pt idx="11">
                  <c:v>249.456429375</c:v>
                </c:pt>
                <c:pt idx="12">
                  <c:v>249.456429375</c:v>
                </c:pt>
                <c:pt idx="13">
                  <c:v>249.456429375</c:v>
                </c:pt>
                <c:pt idx="14">
                  <c:v>249.456429375</c:v>
                </c:pt>
                <c:pt idx="15">
                  <c:v>249.456429375</c:v>
                </c:pt>
                <c:pt idx="16">
                  <c:v>249.456429375</c:v>
                </c:pt>
                <c:pt idx="17">
                  <c:v>249.456429375</c:v>
                </c:pt>
                <c:pt idx="18">
                  <c:v>249.456429375</c:v>
                </c:pt>
                <c:pt idx="19">
                  <c:v>249.456429375</c:v>
                </c:pt>
                <c:pt idx="20">
                  <c:v>249.456429375</c:v>
                </c:pt>
                <c:pt idx="21">
                  <c:v>249.456429375</c:v>
                </c:pt>
                <c:pt idx="22">
                  <c:v>249.456429375</c:v>
                </c:pt>
                <c:pt idx="23">
                  <c:v>249.456429375</c:v>
                </c:pt>
                <c:pt idx="24">
                  <c:v>249.456429375</c:v>
                </c:pt>
                <c:pt idx="25">
                  <c:v>249.456429375</c:v>
                </c:pt>
                <c:pt idx="26">
                  <c:v>249.456429375</c:v>
                </c:pt>
                <c:pt idx="27">
                  <c:v>249.456429375</c:v>
                </c:pt>
                <c:pt idx="28">
                  <c:v>249.456429375</c:v>
                </c:pt>
                <c:pt idx="29">
                  <c:v>249.456429375</c:v>
                </c:pt>
                <c:pt idx="30">
                  <c:v>249.456429375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DA-4DCA-A2DB-AF20FC8AA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671264"/>
        <c:axId val="1080669952"/>
      </c:lineChart>
      <c:dateAx>
        <c:axId val="42893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8934768"/>
        <c:crosses val="autoZero"/>
        <c:auto val="0"/>
        <c:lblOffset val="100"/>
        <c:baseTimeUnit val="days"/>
        <c:majorUnit val="5"/>
        <c:majorTimeUnit val="days"/>
      </c:dateAx>
      <c:valAx>
        <c:axId val="428934768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Vracht (kg/d)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8935752"/>
        <c:crosses val="autoZero"/>
        <c:crossBetween val="between"/>
      </c:valAx>
      <c:valAx>
        <c:axId val="1080669952"/>
        <c:scaling>
          <c:orientation val="minMax"/>
          <c:max val="3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Debiet (m3/d)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 * #,##0_ ;_ * \-#,##0_ ;_ * &quot;-&quot;??_ ;_ 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0671264"/>
        <c:crosses val="max"/>
        <c:crossBetween val="between"/>
      </c:valAx>
      <c:catAx>
        <c:axId val="1080671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0669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539261</xdr:colOff>
      <xdr:row>17</xdr:row>
      <xdr:rowOff>99646</xdr:rowOff>
    </xdr:from>
    <xdr:to>
      <xdr:col>14</xdr:col>
      <xdr:colOff>3016</xdr:colOff>
      <xdr:row>31</xdr:row>
      <xdr:rowOff>95024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BA144B-05E5-41DF-9A68-6015E059B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818" r="27851" b="1"/>
        <a:stretch/>
      </xdr:blipFill>
      <xdr:spPr>
        <a:xfrm>
          <a:off x="10240107" y="3188677"/>
          <a:ext cx="3851031" cy="2539285"/>
        </a:xfrm>
        <a:prstGeom prst="rect">
          <a:avLst/>
        </a:prstGeom>
      </xdr:spPr>
    </xdr:pic>
    <xdr:clientData/>
  </xdr:twoCellAnchor>
  <xdr:twoCellAnchor editAs="oneCell">
    <xdr:from>
      <xdr:col>9</xdr:col>
      <xdr:colOff>525780</xdr:colOff>
      <xdr:row>3</xdr:row>
      <xdr:rowOff>167640</xdr:rowOff>
    </xdr:from>
    <xdr:to>
      <xdr:col>21</xdr:col>
      <xdr:colOff>94281</xdr:colOff>
      <xdr:row>13</xdr:row>
      <xdr:rowOff>133121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E091E3-8B5A-4002-A540-56310562A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60480" y="716280"/>
          <a:ext cx="7066581" cy="1805711"/>
        </a:xfrm>
        <a:prstGeom prst="rect">
          <a:avLst/>
        </a:prstGeom>
      </xdr:spPr>
    </xdr:pic>
    <xdr:clientData/>
  </xdr:twoCellAnchor>
  <xdr:twoCellAnchor editAs="oneCell">
    <xdr:from>
      <xdr:col>21</xdr:col>
      <xdr:colOff>429107</xdr:colOff>
      <xdr:row>0</xdr:row>
      <xdr:rowOff>0</xdr:rowOff>
    </xdr:from>
    <xdr:to>
      <xdr:col>31</xdr:col>
      <xdr:colOff>283797</xdr:colOff>
      <xdr:row>21</xdr:row>
      <xdr:rowOff>3227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F7E064-C743-4774-959E-9DD22042A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910538" y="0"/>
          <a:ext cx="6134156" cy="3819089"/>
        </a:xfrm>
        <a:prstGeom prst="rect">
          <a:avLst/>
        </a:prstGeom>
      </xdr:spPr>
    </xdr:pic>
    <xdr:clientData/>
  </xdr:twoCellAnchor>
  <xdr:twoCellAnchor editAs="oneCell">
    <xdr:from>
      <xdr:col>13</xdr:col>
      <xdr:colOff>590636</xdr:colOff>
      <xdr:row>16</xdr:row>
      <xdr:rowOff>189465</xdr:rowOff>
    </xdr:from>
    <xdr:to>
      <xdr:col>20</xdr:col>
      <xdr:colOff>437152</xdr:colOff>
      <xdr:row>35</xdr:row>
      <xdr:rowOff>97225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DF80FA4-F902-402B-BED0-D778AD643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23077" y="3237465"/>
          <a:ext cx="4089960" cy="3536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396240</xdr:colOff>
      <xdr:row>24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79A0FD-111C-4E7C-A5DA-6109711E5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24</xdr:row>
      <xdr:rowOff>175260</xdr:rowOff>
    </xdr:from>
    <xdr:to>
      <xdr:col>11</xdr:col>
      <xdr:colOff>373380</xdr:colOff>
      <xdr:row>48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710C6AE-156A-4446-B0D3-07435133A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381000</xdr:colOff>
      <xdr:row>0</xdr:row>
      <xdr:rowOff>0</xdr:rowOff>
    </xdr:from>
    <xdr:to>
      <xdr:col>23</xdr:col>
      <xdr:colOff>289560</xdr:colOff>
      <xdr:row>24</xdr:row>
      <xdr:rowOff>175260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B999DAC-7DF0-4BEE-AF5E-915651B78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373380</xdr:colOff>
      <xdr:row>24</xdr:row>
      <xdr:rowOff>167640</xdr:rowOff>
    </xdr:from>
    <xdr:to>
      <xdr:col>23</xdr:col>
      <xdr:colOff>312420</xdr:colOff>
      <xdr:row>48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B2D0939-B024-4D55-9E1C-633B6005A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266108\Projectinput%20en%20werkdocumenten\MCA%20+%20investeringskosten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ne\AppData\Local\Microsoft\Windows\INetCache\Content.Outlook\O943TAIR\Strandeiland%20sheet\Strandeiland%20IJburg%20-%208.000%20woningen%20v4%20(incl%20VBT)%20jan%202019%20utiliteiten%20bijgewerk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A (2)"/>
      <sheetName val="Gegevens"/>
      <sheetName val="Samenvatting"/>
      <sheetName val="TCO"/>
      <sheetName val="Uitgangspunten kosten"/>
      <sheetName val="Huidig"/>
      <sheetName val="Scenario 0.a| borstels"/>
      <sheetName val="Scenario 0.b| borstels"/>
      <sheetName val="Scenario 1| Robuust"/>
    </sheetNames>
    <sheetDataSet>
      <sheetData sheetId="0"/>
      <sheetData sheetId="1"/>
      <sheetData sheetId="2"/>
      <sheetData sheetId="3"/>
      <sheetData sheetId="4">
        <row r="3">
          <cell r="E3">
            <v>40</v>
          </cell>
        </row>
        <row r="4">
          <cell r="E4">
            <v>15</v>
          </cell>
        </row>
        <row r="5">
          <cell r="E5">
            <v>10</v>
          </cell>
        </row>
        <row r="6">
          <cell r="E6">
            <v>2</v>
          </cell>
        </row>
        <row r="9">
          <cell r="E9">
            <v>3.65557477973475E-2</v>
          </cell>
        </row>
        <row r="10">
          <cell r="E10">
            <v>7.7825472250244179E-2</v>
          </cell>
        </row>
        <row r="11">
          <cell r="E11">
            <v>0.11132652786531647</v>
          </cell>
        </row>
        <row r="14">
          <cell r="E14">
            <v>0.5</v>
          </cell>
        </row>
        <row r="15">
          <cell r="E15">
            <v>3</v>
          </cell>
        </row>
        <row r="18">
          <cell r="E18">
            <v>0.12</v>
          </cell>
        </row>
        <row r="19">
          <cell r="E19">
            <v>450</v>
          </cell>
        </row>
        <row r="20">
          <cell r="E20">
            <v>5.5</v>
          </cell>
        </row>
        <row r="21">
          <cell r="E21">
            <v>0.41</v>
          </cell>
        </row>
        <row r="24">
          <cell r="E24">
            <v>1.85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uatieschets"/>
      <sheetName val="Technische uitgangspunten"/>
      <sheetName val="Afvalwater_max_bezetting"/>
      <sheetName val="Afvalwater_varierende_bezetting"/>
      <sheetName val="Afvalwaterbehandeling"/>
      <sheetName val="Blad1"/>
    </sheetNames>
    <sheetDataSet>
      <sheetData sheetId="0">
        <row r="12">
          <cell r="D12">
            <v>8000</v>
          </cell>
          <cell r="E12">
            <v>816550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ewin.nl/SiteCollectionDocuments/Publicaties/Cijfers/Watergebruik-Thuis-2016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76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O10" sqref="O10"/>
    </sheetView>
  </sheetViews>
  <sheetFormatPr defaultColWidth="9.109375" defaultRowHeight="14.4" x14ac:dyDescent="0.3"/>
  <cols>
    <col min="1" max="2" width="24.33203125" style="1" customWidth="1"/>
    <col min="3" max="3" width="11.33203125" style="1" bestFit="1" customWidth="1"/>
    <col min="4" max="11" width="10.109375" style="1" bestFit="1" customWidth="1"/>
    <col min="12" max="12" width="11.6640625" style="1" customWidth="1"/>
    <col min="13" max="13" width="10.5546875" style="1" customWidth="1"/>
    <col min="14" max="16" width="12.88671875" style="1" customWidth="1"/>
    <col min="17" max="18" width="11.33203125" style="1" bestFit="1" customWidth="1"/>
    <col min="19" max="19" width="10.109375" style="1" bestFit="1" customWidth="1"/>
    <col min="20" max="24" width="10.44140625" style="1" bestFit="1" customWidth="1"/>
    <col min="25" max="25" width="10.44140625" style="1" customWidth="1"/>
    <col min="26" max="31" width="10.109375" style="1" bestFit="1" customWidth="1"/>
    <col min="32" max="32" width="10.109375" style="1" customWidth="1"/>
    <col min="33" max="33" width="10.6640625" style="1" customWidth="1"/>
    <col min="34" max="35" width="9.109375" style="1"/>
    <col min="36" max="36" width="15" style="1" customWidth="1"/>
    <col min="37" max="37" width="12.6640625" style="1" customWidth="1"/>
    <col min="38" max="16384" width="9.109375" style="1"/>
  </cols>
  <sheetData>
    <row r="1" spans="1:37" ht="26.4" thickBot="1" x14ac:dyDescent="0.55000000000000004">
      <c r="A1" s="261" t="s">
        <v>116</v>
      </c>
    </row>
    <row r="2" spans="1:37" ht="18.600000000000001" thickBot="1" x14ac:dyDescent="0.4">
      <c r="A2" s="223"/>
      <c r="B2" s="276" t="s">
        <v>17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8"/>
      <c r="Q2" s="276" t="s">
        <v>29</v>
      </c>
      <c r="R2" s="277"/>
      <c r="S2" s="277"/>
      <c r="T2" s="277"/>
      <c r="U2" s="277"/>
      <c r="V2" s="277"/>
      <c r="W2" s="277"/>
      <c r="X2" s="277"/>
      <c r="Y2" s="224"/>
      <c r="Z2" s="279" t="s">
        <v>36</v>
      </c>
      <c r="AA2" s="280"/>
      <c r="AB2" s="280"/>
      <c r="AC2" s="280"/>
      <c r="AD2" s="280"/>
      <c r="AE2" s="280"/>
      <c r="AF2" s="281"/>
      <c r="AG2" s="272" t="s">
        <v>37</v>
      </c>
      <c r="AH2" s="273"/>
      <c r="AJ2" s="272" t="s">
        <v>144</v>
      </c>
      <c r="AK2" s="273"/>
    </row>
    <row r="3" spans="1:37" ht="32.4" thickTop="1" thickBot="1" x14ac:dyDescent="0.35">
      <c r="A3" s="5" t="s">
        <v>18</v>
      </c>
      <c r="B3" s="6" t="s">
        <v>0</v>
      </c>
      <c r="C3" s="6" t="s">
        <v>2</v>
      </c>
      <c r="D3" s="7" t="s">
        <v>4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15</v>
      </c>
      <c r="N3" s="8" t="s">
        <v>16</v>
      </c>
      <c r="O3" s="274" t="s">
        <v>79</v>
      </c>
      <c r="P3" s="275"/>
      <c r="Q3" s="9" t="s">
        <v>21</v>
      </c>
      <c r="R3" s="10" t="s">
        <v>22</v>
      </c>
      <c r="S3" s="11" t="s">
        <v>23</v>
      </c>
      <c r="T3" s="11" t="s">
        <v>24</v>
      </c>
      <c r="U3" s="11" t="s">
        <v>25</v>
      </c>
      <c r="V3" s="11" t="s">
        <v>26</v>
      </c>
      <c r="W3" s="11" t="s">
        <v>27</v>
      </c>
      <c r="X3" s="24" t="s">
        <v>28</v>
      </c>
      <c r="Y3" s="69" t="s">
        <v>37</v>
      </c>
      <c r="Z3" s="51" t="s">
        <v>30</v>
      </c>
      <c r="AA3" s="12" t="s">
        <v>31</v>
      </c>
      <c r="AB3" s="12" t="s">
        <v>32</v>
      </c>
      <c r="AC3" s="12" t="s">
        <v>33</v>
      </c>
      <c r="AD3" s="12" t="s">
        <v>34</v>
      </c>
      <c r="AE3" s="12" t="s">
        <v>35</v>
      </c>
      <c r="AF3" s="76" t="s">
        <v>37</v>
      </c>
      <c r="AG3" s="51"/>
      <c r="AH3" s="12"/>
      <c r="AJ3" s="51" t="s">
        <v>145</v>
      </c>
      <c r="AK3" s="12" t="s">
        <v>143</v>
      </c>
    </row>
    <row r="4" spans="1:37" ht="47.4" thickTop="1" x14ac:dyDescent="0.3">
      <c r="A4" s="26" t="s">
        <v>20</v>
      </c>
      <c r="B4" s="60" t="s">
        <v>52</v>
      </c>
      <c r="C4" s="45" t="s">
        <v>3</v>
      </c>
      <c r="D4" s="46" t="s">
        <v>5</v>
      </c>
      <c r="E4" s="46" t="s">
        <v>1</v>
      </c>
      <c r="F4" s="46" t="s">
        <v>3</v>
      </c>
      <c r="G4" s="46" t="s">
        <v>1</v>
      </c>
      <c r="H4" s="46" t="s">
        <v>3</v>
      </c>
      <c r="I4" s="46" t="s">
        <v>3</v>
      </c>
      <c r="J4" s="46" t="s">
        <v>3</v>
      </c>
      <c r="K4" s="46" t="s">
        <v>3</v>
      </c>
      <c r="L4" s="46" t="s">
        <v>14</v>
      </c>
      <c r="M4" s="46" t="s">
        <v>14</v>
      </c>
      <c r="N4" s="47" t="s">
        <v>14</v>
      </c>
      <c r="O4" s="68" t="s">
        <v>38</v>
      </c>
      <c r="P4" s="68" t="s">
        <v>3</v>
      </c>
      <c r="Q4" s="48" t="s">
        <v>3</v>
      </c>
      <c r="R4" s="46" t="s">
        <v>3</v>
      </c>
      <c r="S4" s="46" t="s">
        <v>3</v>
      </c>
      <c r="T4" s="46" t="s">
        <v>3</v>
      </c>
      <c r="U4" s="46" t="s">
        <v>3</v>
      </c>
      <c r="V4" s="46" t="s">
        <v>3</v>
      </c>
      <c r="W4" s="46" t="s">
        <v>3</v>
      </c>
      <c r="X4" s="47" t="s">
        <v>3</v>
      </c>
      <c r="Y4" s="50" t="s">
        <v>3</v>
      </c>
      <c r="Z4" s="48" t="s">
        <v>3</v>
      </c>
      <c r="AA4" s="46" t="s">
        <v>3</v>
      </c>
      <c r="AB4" s="46" t="s">
        <v>3</v>
      </c>
      <c r="AC4" s="49" t="s">
        <v>3</v>
      </c>
      <c r="AD4" s="46" t="s">
        <v>3</v>
      </c>
      <c r="AE4" s="47" t="s">
        <v>3</v>
      </c>
      <c r="AF4" s="47" t="s">
        <v>3</v>
      </c>
      <c r="AG4" s="48" t="s">
        <v>3</v>
      </c>
      <c r="AH4" s="49" t="s">
        <v>1</v>
      </c>
      <c r="AJ4" s="48"/>
      <c r="AK4" s="49"/>
    </row>
    <row r="5" spans="1:37" ht="16.2" thickBot="1" x14ac:dyDescent="0.35">
      <c r="A5" s="41">
        <v>2021</v>
      </c>
      <c r="B5" s="149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67">
        <f>SUM(B5,E5,G5)</f>
        <v>0</v>
      </c>
      <c r="P5" s="67">
        <f>SUM(C5:D5,F5,H5,I5,J5,K5)</f>
        <v>0</v>
      </c>
      <c r="Q5" s="20"/>
      <c r="R5" s="21"/>
      <c r="S5" s="21"/>
      <c r="T5" s="21"/>
      <c r="U5" s="21"/>
      <c r="V5" s="21"/>
      <c r="W5" s="21"/>
      <c r="X5" s="22"/>
      <c r="Y5" s="21">
        <f>SUM(Q5:X5)</f>
        <v>0</v>
      </c>
      <c r="Z5" s="13"/>
      <c r="AA5" s="14"/>
      <c r="AB5" s="14"/>
      <c r="AC5" s="14"/>
      <c r="AD5" s="14"/>
      <c r="AE5" s="15"/>
      <c r="AF5" s="14">
        <f>SUM(Z5:AE5)</f>
        <v>0</v>
      </c>
      <c r="AG5" s="52">
        <f>SUM(C5:D5,F5,H5:K5,Q5:X5,Z5:AE5)</f>
        <v>0</v>
      </c>
      <c r="AH5" s="53">
        <f>SUM(B5,E5,G5)</f>
        <v>0</v>
      </c>
      <c r="AJ5" s="52"/>
      <c r="AK5" s="53"/>
    </row>
    <row r="6" spans="1:37" ht="16.8" thickTop="1" thickBot="1" x14ac:dyDescent="0.35">
      <c r="A6" s="2">
        <v>2022</v>
      </c>
      <c r="B6" s="149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25"/>
      <c r="O6" s="67">
        <f>O5+SUM(B6,E6,G6)</f>
        <v>0</v>
      </c>
      <c r="P6" s="67">
        <f>SUM(C6:D6,F6,H6,I6,J6,K6)+P5</f>
        <v>0</v>
      </c>
      <c r="Q6" s="20">
        <v>103018</v>
      </c>
      <c r="R6" s="21"/>
      <c r="S6" s="21"/>
      <c r="T6" s="21"/>
      <c r="U6" s="21"/>
      <c r="V6" s="21"/>
      <c r="W6" s="21"/>
      <c r="X6" s="22"/>
      <c r="Y6" s="21">
        <f>SUM(Q6:X6)+Y5</f>
        <v>103018</v>
      </c>
      <c r="Z6" s="13"/>
      <c r="AA6" s="14"/>
      <c r="AB6" s="14"/>
      <c r="AC6" s="14"/>
      <c r="AD6" s="14"/>
      <c r="AE6" s="15"/>
      <c r="AF6" s="14">
        <f>SUM(Z6:AE6)+AF5</f>
        <v>0</v>
      </c>
      <c r="AG6" s="52">
        <f>SUM(C6:D6,F6,H6:K6,Q6:X6,Z6:AE6)+AG5</f>
        <v>103018</v>
      </c>
      <c r="AH6" s="53">
        <f t="shared" ref="AH6:AH36" si="0">SUM(E6,G6)+AH5</f>
        <v>0</v>
      </c>
      <c r="AJ6" s="52"/>
      <c r="AK6" s="53"/>
    </row>
    <row r="7" spans="1:37" ht="16.8" thickTop="1" thickBot="1" x14ac:dyDescent="0.35">
      <c r="A7" s="2">
        <v>2023</v>
      </c>
      <c r="B7" s="149">
        <v>5950</v>
      </c>
      <c r="C7" s="18"/>
      <c r="D7" s="19">
        <v>3820</v>
      </c>
      <c r="E7" s="19"/>
      <c r="F7" s="19"/>
      <c r="G7" s="19"/>
      <c r="H7" s="19"/>
      <c r="I7" s="19">
        <v>2350</v>
      </c>
      <c r="J7" s="19">
        <v>6500</v>
      </c>
      <c r="K7" s="19">
        <v>2350</v>
      </c>
      <c r="L7" s="19"/>
      <c r="M7" s="19"/>
      <c r="N7" s="25"/>
      <c r="O7" s="67">
        <f t="shared" ref="O7:O36" si="1">O6+SUM(B7,E7,G7)</f>
        <v>5950</v>
      </c>
      <c r="P7" s="67">
        <f t="shared" ref="P7:P36" si="2">SUM(C7:D7,F7,H7,I7,J7,K7)+P6</f>
        <v>15020</v>
      </c>
      <c r="Q7" s="20"/>
      <c r="R7" s="21">
        <v>113680</v>
      </c>
      <c r="S7" s="21">
        <v>12300</v>
      </c>
      <c r="T7" s="21"/>
      <c r="U7" s="21"/>
      <c r="V7" s="21"/>
      <c r="W7" s="21"/>
      <c r="X7" s="22"/>
      <c r="Y7" s="21">
        <f t="shared" ref="Y7:Y36" si="3">SUM(Q7:X7)+Y6</f>
        <v>228998</v>
      </c>
      <c r="Z7" s="13"/>
      <c r="AA7" s="14"/>
      <c r="AB7" s="14"/>
      <c r="AC7" s="14"/>
      <c r="AD7" s="14"/>
      <c r="AE7" s="15"/>
      <c r="AF7" s="14">
        <f t="shared" ref="AF7:AF36" si="4">SUM(Z7:AE7)+AF6</f>
        <v>0</v>
      </c>
      <c r="AG7" s="52">
        <f t="shared" ref="AG7:AG36" si="5">SUM(C7:D7,F7,H7:K7,Q7:X7,Z7:AE7)+AG6</f>
        <v>244018</v>
      </c>
      <c r="AH7" s="53">
        <f t="shared" si="0"/>
        <v>0</v>
      </c>
      <c r="AJ7" s="52"/>
      <c r="AK7" s="53"/>
    </row>
    <row r="8" spans="1:37" ht="16.8" thickTop="1" thickBot="1" x14ac:dyDescent="0.35">
      <c r="A8" s="41">
        <v>2024</v>
      </c>
      <c r="B8" s="149"/>
      <c r="C8" s="18">
        <v>16450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25"/>
      <c r="O8" s="67">
        <f t="shared" si="1"/>
        <v>5950</v>
      </c>
      <c r="P8" s="67">
        <f t="shared" si="2"/>
        <v>31470</v>
      </c>
      <c r="Q8" s="20"/>
      <c r="R8" s="21"/>
      <c r="S8" s="21"/>
      <c r="T8" s="21">
        <v>12300</v>
      </c>
      <c r="U8" s="21"/>
      <c r="V8" s="21"/>
      <c r="W8" s="21"/>
      <c r="X8" s="22"/>
      <c r="Y8" s="21">
        <f t="shared" si="3"/>
        <v>241298</v>
      </c>
      <c r="Z8" s="13">
        <v>123500</v>
      </c>
      <c r="AA8" s="14">
        <v>13000</v>
      </c>
      <c r="AB8" s="14"/>
      <c r="AC8" s="14"/>
      <c r="AD8" s="14"/>
      <c r="AE8" s="15"/>
      <c r="AF8" s="14">
        <f t="shared" si="4"/>
        <v>136500</v>
      </c>
      <c r="AG8" s="52">
        <f t="shared" si="5"/>
        <v>409268</v>
      </c>
      <c r="AH8" s="53">
        <f t="shared" si="0"/>
        <v>0</v>
      </c>
      <c r="AJ8" s="52"/>
      <c r="AK8" s="53"/>
    </row>
    <row r="9" spans="1:37" ht="16.8" thickTop="1" thickBot="1" x14ac:dyDescent="0.35">
      <c r="A9" s="2">
        <v>2025</v>
      </c>
      <c r="B9" s="149"/>
      <c r="C9" s="18"/>
      <c r="D9" s="19"/>
      <c r="E9" s="19"/>
      <c r="F9" s="19">
        <v>4600</v>
      </c>
      <c r="G9" s="19"/>
      <c r="H9" s="19"/>
      <c r="I9" s="19"/>
      <c r="J9" s="19"/>
      <c r="K9" s="19"/>
      <c r="L9" s="19"/>
      <c r="M9" s="19"/>
      <c r="N9" s="25"/>
      <c r="O9" s="67">
        <f t="shared" si="1"/>
        <v>5950</v>
      </c>
      <c r="P9" s="67">
        <f t="shared" si="2"/>
        <v>36070</v>
      </c>
      <c r="Q9" s="20"/>
      <c r="R9" s="21"/>
      <c r="S9" s="21"/>
      <c r="T9" s="21"/>
      <c r="U9" s="21">
        <v>12300</v>
      </c>
      <c r="V9" s="21">
        <v>12300</v>
      </c>
      <c r="W9" s="21"/>
      <c r="X9" s="22"/>
      <c r="Y9" s="21">
        <f t="shared" si="3"/>
        <v>265898</v>
      </c>
      <c r="Z9" s="13"/>
      <c r="AA9" s="14"/>
      <c r="AB9" s="14">
        <v>13000</v>
      </c>
      <c r="AC9" s="14"/>
      <c r="AD9" s="14"/>
      <c r="AE9" s="15"/>
      <c r="AF9" s="14">
        <f t="shared" si="4"/>
        <v>149500</v>
      </c>
      <c r="AG9" s="52">
        <f t="shared" si="5"/>
        <v>451468</v>
      </c>
      <c r="AH9" s="53">
        <f t="shared" si="0"/>
        <v>0</v>
      </c>
      <c r="AJ9" s="52"/>
      <c r="AK9" s="53"/>
    </row>
    <row r="10" spans="1:37" ht="16.8" thickTop="1" thickBot="1" x14ac:dyDescent="0.35">
      <c r="A10" s="2">
        <v>2026</v>
      </c>
      <c r="B10" s="149"/>
      <c r="C10" s="18"/>
      <c r="D10" s="19"/>
      <c r="E10" s="19">
        <v>4340</v>
      </c>
      <c r="F10" s="19"/>
      <c r="G10" s="19">
        <v>4340</v>
      </c>
      <c r="H10" s="19">
        <v>4600</v>
      </c>
      <c r="I10" s="19"/>
      <c r="J10" s="19"/>
      <c r="K10" s="19"/>
      <c r="L10" s="19"/>
      <c r="M10" s="19"/>
      <c r="N10" s="25"/>
      <c r="O10" s="67">
        <f t="shared" si="1"/>
        <v>14630</v>
      </c>
      <c r="P10" s="67">
        <f t="shared" si="2"/>
        <v>40670</v>
      </c>
      <c r="Q10" s="20"/>
      <c r="R10" s="21"/>
      <c r="S10" s="21"/>
      <c r="T10" s="21"/>
      <c r="U10" s="21"/>
      <c r="V10" s="21"/>
      <c r="W10" s="23">
        <v>12300</v>
      </c>
      <c r="X10" s="22">
        <v>12300</v>
      </c>
      <c r="Y10" s="21">
        <f t="shared" si="3"/>
        <v>290498</v>
      </c>
      <c r="Z10" s="13"/>
      <c r="AA10" s="14"/>
      <c r="AB10" s="14"/>
      <c r="AC10" s="14">
        <v>13000</v>
      </c>
      <c r="AD10" s="14"/>
      <c r="AE10" s="15"/>
      <c r="AF10" s="14">
        <f t="shared" si="4"/>
        <v>162500</v>
      </c>
      <c r="AG10" s="52">
        <f t="shared" si="5"/>
        <v>493668</v>
      </c>
      <c r="AH10" s="53">
        <f t="shared" si="0"/>
        <v>8680</v>
      </c>
      <c r="AJ10" s="52"/>
      <c r="AK10" s="53"/>
    </row>
    <row r="11" spans="1:37" ht="16.8" thickTop="1" thickBot="1" x14ac:dyDescent="0.35">
      <c r="A11" s="41">
        <v>2027</v>
      </c>
      <c r="B11" s="149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5"/>
      <c r="O11" s="67">
        <f t="shared" si="1"/>
        <v>14630</v>
      </c>
      <c r="P11" s="67">
        <f t="shared" si="2"/>
        <v>40670</v>
      </c>
      <c r="Q11" s="20"/>
      <c r="R11" s="21"/>
      <c r="S11" s="21"/>
      <c r="T11" s="21"/>
      <c r="U11" s="21"/>
      <c r="V11" s="21"/>
      <c r="W11" s="21"/>
      <c r="X11" s="22"/>
      <c r="Y11" s="21">
        <f t="shared" si="3"/>
        <v>290498</v>
      </c>
      <c r="Z11" s="13"/>
      <c r="AA11" s="14"/>
      <c r="AB11" s="14"/>
      <c r="AC11" s="14"/>
      <c r="AD11" s="14">
        <v>13000</v>
      </c>
      <c r="AE11" s="15"/>
      <c r="AF11" s="14">
        <f t="shared" si="4"/>
        <v>175500</v>
      </c>
      <c r="AG11" s="52">
        <f t="shared" si="5"/>
        <v>506668</v>
      </c>
      <c r="AH11" s="53">
        <f t="shared" si="0"/>
        <v>8680</v>
      </c>
      <c r="AJ11" s="52"/>
      <c r="AK11" s="53"/>
    </row>
    <row r="12" spans="1:37" ht="16.8" thickTop="1" thickBot="1" x14ac:dyDescent="0.35">
      <c r="A12" s="2">
        <v>2028</v>
      </c>
      <c r="B12" s="30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5"/>
      <c r="O12" s="67">
        <f t="shared" si="1"/>
        <v>14630</v>
      </c>
      <c r="P12" s="67">
        <f t="shared" si="2"/>
        <v>40670</v>
      </c>
      <c r="Q12" s="20"/>
      <c r="R12" s="21"/>
      <c r="S12" s="21"/>
      <c r="T12" s="21"/>
      <c r="U12" s="21"/>
      <c r="V12" s="21"/>
      <c r="W12" s="21"/>
      <c r="X12" s="22"/>
      <c r="Y12" s="21">
        <f t="shared" si="3"/>
        <v>290498</v>
      </c>
      <c r="Z12" s="13"/>
      <c r="AA12" s="14"/>
      <c r="AB12" s="14"/>
      <c r="AC12" s="14"/>
      <c r="AD12" s="14"/>
      <c r="AE12" s="15">
        <v>13000</v>
      </c>
      <c r="AF12" s="14">
        <f t="shared" si="4"/>
        <v>188500</v>
      </c>
      <c r="AG12" s="52">
        <f t="shared" si="5"/>
        <v>519668</v>
      </c>
      <c r="AH12" s="53">
        <f t="shared" si="0"/>
        <v>8680</v>
      </c>
      <c r="AJ12" s="52"/>
      <c r="AK12" s="53"/>
    </row>
    <row r="13" spans="1:37" ht="16.8" thickTop="1" thickBot="1" x14ac:dyDescent="0.35">
      <c r="A13" s="2">
        <v>2029</v>
      </c>
      <c r="B13" s="30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5"/>
      <c r="O13" s="67">
        <f t="shared" si="1"/>
        <v>14630</v>
      </c>
      <c r="P13" s="67">
        <f t="shared" si="2"/>
        <v>40670</v>
      </c>
      <c r="Q13" s="20"/>
      <c r="R13" s="21"/>
      <c r="S13" s="21"/>
      <c r="T13" s="21"/>
      <c r="U13" s="21"/>
      <c r="V13" s="21"/>
      <c r="W13" s="21"/>
      <c r="X13" s="22"/>
      <c r="Y13" s="21">
        <f t="shared" si="3"/>
        <v>290498</v>
      </c>
      <c r="Z13" s="13"/>
      <c r="AA13" s="14"/>
      <c r="AB13" s="14"/>
      <c r="AC13" s="14"/>
      <c r="AD13" s="14"/>
      <c r="AE13" s="15"/>
      <c r="AF13" s="14">
        <f t="shared" si="4"/>
        <v>188500</v>
      </c>
      <c r="AG13" s="52">
        <f t="shared" si="5"/>
        <v>519668</v>
      </c>
      <c r="AH13" s="53">
        <f t="shared" si="0"/>
        <v>8680</v>
      </c>
      <c r="AJ13" s="52"/>
      <c r="AK13" s="53"/>
    </row>
    <row r="14" spans="1:37" ht="16.8" thickTop="1" thickBot="1" x14ac:dyDescent="0.35">
      <c r="A14" s="41">
        <v>2030</v>
      </c>
      <c r="B14" s="30"/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5"/>
      <c r="O14" s="67">
        <f t="shared" si="1"/>
        <v>14630</v>
      </c>
      <c r="P14" s="67">
        <f t="shared" si="2"/>
        <v>40670</v>
      </c>
      <c r="Q14" s="20"/>
      <c r="R14" s="21"/>
      <c r="S14" s="21"/>
      <c r="T14" s="21"/>
      <c r="U14" s="21"/>
      <c r="V14" s="21"/>
      <c r="W14" s="21"/>
      <c r="X14" s="22"/>
      <c r="Y14" s="21">
        <f t="shared" si="3"/>
        <v>290498</v>
      </c>
      <c r="Z14" s="13"/>
      <c r="AA14" s="14"/>
      <c r="AB14" s="14"/>
      <c r="AC14" s="14"/>
      <c r="AD14" s="14"/>
      <c r="AE14" s="15"/>
      <c r="AF14" s="14">
        <f t="shared" si="4"/>
        <v>188500</v>
      </c>
      <c r="AG14" s="52">
        <f t="shared" si="5"/>
        <v>519668</v>
      </c>
      <c r="AH14" s="53">
        <f t="shared" si="0"/>
        <v>8680</v>
      </c>
      <c r="AJ14" s="52"/>
      <c r="AK14" s="53"/>
    </row>
    <row r="15" spans="1:37" ht="16.8" thickTop="1" thickBot="1" x14ac:dyDescent="0.35">
      <c r="A15" s="2">
        <v>2031</v>
      </c>
      <c r="B15" s="30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5"/>
      <c r="O15" s="67">
        <f t="shared" si="1"/>
        <v>14630</v>
      </c>
      <c r="P15" s="67">
        <f t="shared" si="2"/>
        <v>40670</v>
      </c>
      <c r="Q15" s="20"/>
      <c r="R15" s="21"/>
      <c r="S15" s="21"/>
      <c r="T15" s="21"/>
      <c r="U15" s="21"/>
      <c r="V15" s="21"/>
      <c r="W15" s="21"/>
      <c r="X15" s="22"/>
      <c r="Y15" s="21">
        <f t="shared" si="3"/>
        <v>290498</v>
      </c>
      <c r="Z15" s="13"/>
      <c r="AA15" s="14"/>
      <c r="AB15" s="14"/>
      <c r="AC15" s="14"/>
      <c r="AD15" s="14"/>
      <c r="AE15" s="15"/>
      <c r="AF15" s="14">
        <f t="shared" si="4"/>
        <v>188500</v>
      </c>
      <c r="AG15" s="52">
        <f t="shared" si="5"/>
        <v>519668</v>
      </c>
      <c r="AH15" s="53">
        <f t="shared" si="0"/>
        <v>8680</v>
      </c>
      <c r="AJ15" s="52"/>
      <c r="AK15" s="53"/>
    </row>
    <row r="16" spans="1:37" ht="16.8" thickTop="1" thickBot="1" x14ac:dyDescent="0.35">
      <c r="A16" s="2">
        <v>2032</v>
      </c>
      <c r="B16" s="30"/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5"/>
      <c r="O16" s="67">
        <f t="shared" si="1"/>
        <v>14630</v>
      </c>
      <c r="P16" s="67">
        <f t="shared" si="2"/>
        <v>40670</v>
      </c>
      <c r="Q16" s="20"/>
      <c r="R16" s="21"/>
      <c r="S16" s="21"/>
      <c r="T16" s="21"/>
      <c r="U16" s="21"/>
      <c r="V16" s="21"/>
      <c r="W16" s="21"/>
      <c r="X16" s="22"/>
      <c r="Y16" s="21">
        <f t="shared" si="3"/>
        <v>290498</v>
      </c>
      <c r="Z16" s="13"/>
      <c r="AA16" s="14"/>
      <c r="AB16" s="14"/>
      <c r="AC16" s="14"/>
      <c r="AD16" s="14"/>
      <c r="AE16" s="15"/>
      <c r="AF16" s="14">
        <f t="shared" si="4"/>
        <v>188500</v>
      </c>
      <c r="AG16" s="52">
        <f t="shared" si="5"/>
        <v>519668</v>
      </c>
      <c r="AH16" s="53">
        <f t="shared" si="0"/>
        <v>8680</v>
      </c>
      <c r="AJ16" s="52"/>
      <c r="AK16" s="53"/>
    </row>
    <row r="17" spans="1:37" ht="16.8" thickTop="1" thickBot="1" x14ac:dyDescent="0.35">
      <c r="A17" s="41">
        <v>2033</v>
      </c>
      <c r="B17" s="30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5"/>
      <c r="O17" s="67">
        <f t="shared" si="1"/>
        <v>14630</v>
      </c>
      <c r="P17" s="67">
        <f t="shared" si="2"/>
        <v>40670</v>
      </c>
      <c r="Q17" s="20"/>
      <c r="R17" s="21"/>
      <c r="S17" s="21"/>
      <c r="T17" s="21"/>
      <c r="U17" s="21"/>
      <c r="V17" s="21"/>
      <c r="W17" s="21"/>
      <c r="X17" s="22"/>
      <c r="Y17" s="21">
        <f t="shared" si="3"/>
        <v>290498</v>
      </c>
      <c r="Z17" s="13"/>
      <c r="AA17" s="14"/>
      <c r="AB17" s="14"/>
      <c r="AC17" s="14"/>
      <c r="AD17" s="14"/>
      <c r="AE17" s="15"/>
      <c r="AF17" s="14">
        <f t="shared" si="4"/>
        <v>188500</v>
      </c>
      <c r="AG17" s="52">
        <f t="shared" si="5"/>
        <v>519668</v>
      </c>
      <c r="AH17" s="53">
        <f t="shared" si="0"/>
        <v>8680</v>
      </c>
      <c r="AJ17" s="52"/>
      <c r="AK17" s="53"/>
    </row>
    <row r="18" spans="1:37" ht="16.8" thickTop="1" thickBot="1" x14ac:dyDescent="0.35">
      <c r="A18" s="2">
        <v>2034</v>
      </c>
      <c r="B18" s="30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5"/>
      <c r="O18" s="67">
        <f t="shared" si="1"/>
        <v>14630</v>
      </c>
      <c r="P18" s="67">
        <f t="shared" si="2"/>
        <v>40670</v>
      </c>
      <c r="Q18" s="20"/>
      <c r="R18" s="21"/>
      <c r="S18" s="21"/>
      <c r="T18" s="21"/>
      <c r="U18" s="21"/>
      <c r="V18" s="21"/>
      <c r="W18" s="21"/>
      <c r="X18" s="22"/>
      <c r="Y18" s="21">
        <f t="shared" si="3"/>
        <v>290498</v>
      </c>
      <c r="Z18" s="13"/>
      <c r="AA18" s="14"/>
      <c r="AB18" s="14"/>
      <c r="AC18" s="14"/>
      <c r="AD18" s="14"/>
      <c r="AE18" s="15"/>
      <c r="AF18" s="14">
        <f t="shared" si="4"/>
        <v>188500</v>
      </c>
      <c r="AG18" s="52">
        <f t="shared" si="5"/>
        <v>519668</v>
      </c>
      <c r="AH18" s="53">
        <f t="shared" si="0"/>
        <v>8680</v>
      </c>
      <c r="AJ18" s="52"/>
      <c r="AK18" s="53"/>
    </row>
    <row r="19" spans="1:37" ht="16.8" thickTop="1" thickBot="1" x14ac:dyDescent="0.35">
      <c r="A19" s="2">
        <v>2035</v>
      </c>
      <c r="B19" s="30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5"/>
      <c r="O19" s="67">
        <f t="shared" si="1"/>
        <v>14630</v>
      </c>
      <c r="P19" s="67">
        <f t="shared" si="2"/>
        <v>40670</v>
      </c>
      <c r="Q19" s="20"/>
      <c r="R19" s="21"/>
      <c r="S19" s="21"/>
      <c r="T19" s="21"/>
      <c r="U19" s="21"/>
      <c r="V19" s="21"/>
      <c r="W19" s="21"/>
      <c r="X19" s="22"/>
      <c r="Y19" s="21">
        <f t="shared" si="3"/>
        <v>290498</v>
      </c>
      <c r="Z19" s="13"/>
      <c r="AA19" s="14"/>
      <c r="AB19" s="14"/>
      <c r="AC19" s="14"/>
      <c r="AD19" s="14"/>
      <c r="AE19" s="15"/>
      <c r="AF19" s="14">
        <f t="shared" si="4"/>
        <v>188500</v>
      </c>
      <c r="AG19" s="52">
        <f t="shared" si="5"/>
        <v>519668</v>
      </c>
      <c r="AH19" s="53">
        <f t="shared" si="0"/>
        <v>8680</v>
      </c>
      <c r="AJ19" s="52"/>
      <c r="AK19" s="53"/>
    </row>
    <row r="20" spans="1:37" ht="16.8" thickTop="1" thickBot="1" x14ac:dyDescent="0.35">
      <c r="A20" s="41">
        <v>2036</v>
      </c>
      <c r="B20" s="30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5"/>
      <c r="O20" s="67">
        <f t="shared" si="1"/>
        <v>14630</v>
      </c>
      <c r="P20" s="67">
        <f t="shared" si="2"/>
        <v>40670</v>
      </c>
      <c r="Q20" s="20"/>
      <c r="R20" s="21"/>
      <c r="S20" s="21"/>
      <c r="T20" s="21"/>
      <c r="U20" s="21"/>
      <c r="V20" s="21"/>
      <c r="W20" s="21"/>
      <c r="X20" s="22"/>
      <c r="Y20" s="21">
        <f t="shared" si="3"/>
        <v>290498</v>
      </c>
      <c r="Z20" s="13"/>
      <c r="AA20" s="14"/>
      <c r="AB20" s="14"/>
      <c r="AC20" s="14"/>
      <c r="AD20" s="14"/>
      <c r="AE20" s="15"/>
      <c r="AF20" s="14">
        <f t="shared" si="4"/>
        <v>188500</v>
      </c>
      <c r="AG20" s="52">
        <f t="shared" si="5"/>
        <v>519668</v>
      </c>
      <c r="AH20" s="53">
        <f t="shared" si="0"/>
        <v>8680</v>
      </c>
      <c r="AJ20" s="52"/>
      <c r="AK20" s="53"/>
    </row>
    <row r="21" spans="1:37" ht="16.8" thickTop="1" thickBot="1" x14ac:dyDescent="0.35">
      <c r="A21" s="2">
        <v>2037</v>
      </c>
      <c r="B21" s="30"/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5"/>
      <c r="O21" s="67">
        <f t="shared" si="1"/>
        <v>14630</v>
      </c>
      <c r="P21" s="67">
        <f t="shared" si="2"/>
        <v>40670</v>
      </c>
      <c r="Q21" s="20"/>
      <c r="R21" s="21"/>
      <c r="S21" s="21"/>
      <c r="T21" s="21"/>
      <c r="U21" s="21"/>
      <c r="V21" s="21"/>
      <c r="W21" s="21"/>
      <c r="X21" s="22"/>
      <c r="Y21" s="21">
        <f t="shared" si="3"/>
        <v>290498</v>
      </c>
      <c r="Z21" s="13"/>
      <c r="AA21" s="14"/>
      <c r="AB21" s="14"/>
      <c r="AC21" s="14"/>
      <c r="AD21" s="14"/>
      <c r="AE21" s="15"/>
      <c r="AF21" s="14">
        <f t="shared" si="4"/>
        <v>188500</v>
      </c>
      <c r="AG21" s="52">
        <f t="shared" si="5"/>
        <v>519668</v>
      </c>
      <c r="AH21" s="53">
        <f t="shared" si="0"/>
        <v>8680</v>
      </c>
      <c r="AJ21" s="52"/>
      <c r="AK21" s="53"/>
    </row>
    <row r="22" spans="1:37" ht="16.8" thickTop="1" thickBot="1" x14ac:dyDescent="0.35">
      <c r="A22" s="2">
        <v>2038</v>
      </c>
      <c r="B22" s="30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5"/>
      <c r="O22" s="67">
        <f t="shared" si="1"/>
        <v>14630</v>
      </c>
      <c r="P22" s="67">
        <f t="shared" si="2"/>
        <v>40670</v>
      </c>
      <c r="Q22" s="20"/>
      <c r="R22" s="21"/>
      <c r="S22" s="21"/>
      <c r="T22" s="21"/>
      <c r="U22" s="21"/>
      <c r="V22" s="21"/>
      <c r="W22" s="21"/>
      <c r="X22" s="22"/>
      <c r="Y22" s="21">
        <f t="shared" si="3"/>
        <v>290498</v>
      </c>
      <c r="Z22" s="13"/>
      <c r="AA22" s="14"/>
      <c r="AB22" s="14"/>
      <c r="AC22" s="14"/>
      <c r="AD22" s="14"/>
      <c r="AE22" s="15"/>
      <c r="AF22" s="14">
        <f t="shared" si="4"/>
        <v>188500</v>
      </c>
      <c r="AG22" s="52">
        <f t="shared" si="5"/>
        <v>519668</v>
      </c>
      <c r="AH22" s="53">
        <f t="shared" si="0"/>
        <v>8680</v>
      </c>
      <c r="AJ22" s="52"/>
      <c r="AK22" s="53"/>
    </row>
    <row r="23" spans="1:37" ht="16.8" thickTop="1" thickBot="1" x14ac:dyDescent="0.35">
      <c r="A23" s="41">
        <v>2039</v>
      </c>
      <c r="B23" s="30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5"/>
      <c r="O23" s="67">
        <f t="shared" si="1"/>
        <v>14630</v>
      </c>
      <c r="P23" s="67">
        <f t="shared" si="2"/>
        <v>40670</v>
      </c>
      <c r="Q23" s="20"/>
      <c r="R23" s="21"/>
      <c r="S23" s="21"/>
      <c r="T23" s="21"/>
      <c r="U23" s="21"/>
      <c r="V23" s="21"/>
      <c r="W23" s="21"/>
      <c r="X23" s="22"/>
      <c r="Y23" s="21">
        <f t="shared" si="3"/>
        <v>290498</v>
      </c>
      <c r="Z23" s="13"/>
      <c r="AA23" s="14"/>
      <c r="AB23" s="14"/>
      <c r="AC23" s="14"/>
      <c r="AD23" s="14"/>
      <c r="AE23" s="15"/>
      <c r="AF23" s="14">
        <f t="shared" si="4"/>
        <v>188500</v>
      </c>
      <c r="AG23" s="52">
        <f t="shared" si="5"/>
        <v>519668</v>
      </c>
      <c r="AH23" s="53">
        <f t="shared" si="0"/>
        <v>8680</v>
      </c>
      <c r="AJ23" s="52"/>
      <c r="AK23" s="53"/>
    </row>
    <row r="24" spans="1:37" ht="16.8" thickTop="1" thickBot="1" x14ac:dyDescent="0.35">
      <c r="A24" s="2">
        <v>2040</v>
      </c>
      <c r="B24" s="30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5"/>
      <c r="O24" s="67">
        <f t="shared" si="1"/>
        <v>14630</v>
      </c>
      <c r="P24" s="67">
        <f t="shared" si="2"/>
        <v>40670</v>
      </c>
      <c r="Q24" s="20"/>
      <c r="R24" s="21"/>
      <c r="S24" s="21"/>
      <c r="T24" s="21"/>
      <c r="U24" s="21"/>
      <c r="V24" s="21"/>
      <c r="W24" s="21"/>
      <c r="X24" s="22"/>
      <c r="Y24" s="21">
        <f t="shared" si="3"/>
        <v>290498</v>
      </c>
      <c r="Z24" s="13"/>
      <c r="AA24" s="14"/>
      <c r="AB24" s="14"/>
      <c r="AC24" s="14"/>
      <c r="AD24" s="14"/>
      <c r="AE24" s="15"/>
      <c r="AF24" s="14">
        <f t="shared" si="4"/>
        <v>188500</v>
      </c>
      <c r="AG24" s="52">
        <f t="shared" si="5"/>
        <v>519668</v>
      </c>
      <c r="AH24" s="53">
        <f t="shared" si="0"/>
        <v>8680</v>
      </c>
      <c r="AJ24" s="52"/>
      <c r="AK24" s="53"/>
    </row>
    <row r="25" spans="1:37" ht="16.8" thickTop="1" thickBot="1" x14ac:dyDescent="0.35">
      <c r="A25" s="2">
        <v>2041</v>
      </c>
      <c r="B25" s="30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5"/>
      <c r="O25" s="67">
        <f t="shared" si="1"/>
        <v>14630</v>
      </c>
      <c r="P25" s="67">
        <f t="shared" si="2"/>
        <v>40670</v>
      </c>
      <c r="Q25" s="20"/>
      <c r="R25" s="21"/>
      <c r="S25" s="21"/>
      <c r="T25" s="21"/>
      <c r="U25" s="21"/>
      <c r="V25" s="21"/>
      <c r="W25" s="21"/>
      <c r="X25" s="22"/>
      <c r="Y25" s="21">
        <f t="shared" si="3"/>
        <v>290498</v>
      </c>
      <c r="Z25" s="13"/>
      <c r="AA25" s="14"/>
      <c r="AB25" s="14"/>
      <c r="AC25" s="14"/>
      <c r="AD25" s="14"/>
      <c r="AE25" s="15"/>
      <c r="AF25" s="14">
        <f t="shared" si="4"/>
        <v>188500</v>
      </c>
      <c r="AG25" s="52">
        <f t="shared" si="5"/>
        <v>519668</v>
      </c>
      <c r="AH25" s="53">
        <f t="shared" si="0"/>
        <v>8680</v>
      </c>
      <c r="AJ25" s="52"/>
      <c r="AK25" s="53"/>
    </row>
    <row r="26" spans="1:37" ht="16.8" thickTop="1" thickBot="1" x14ac:dyDescent="0.35">
      <c r="A26" s="41">
        <v>2042</v>
      </c>
      <c r="B26" s="30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5"/>
      <c r="O26" s="67">
        <f t="shared" si="1"/>
        <v>14630</v>
      </c>
      <c r="P26" s="67">
        <f t="shared" si="2"/>
        <v>40670</v>
      </c>
      <c r="Q26" s="20"/>
      <c r="R26" s="21"/>
      <c r="S26" s="21"/>
      <c r="T26" s="21"/>
      <c r="U26" s="21"/>
      <c r="V26" s="21"/>
      <c r="W26" s="21"/>
      <c r="X26" s="22"/>
      <c r="Y26" s="21">
        <f t="shared" si="3"/>
        <v>290498</v>
      </c>
      <c r="Z26" s="13"/>
      <c r="AA26" s="14"/>
      <c r="AB26" s="14"/>
      <c r="AC26" s="14"/>
      <c r="AD26" s="14"/>
      <c r="AE26" s="15"/>
      <c r="AF26" s="14">
        <f t="shared" si="4"/>
        <v>188500</v>
      </c>
      <c r="AG26" s="52">
        <f t="shared" si="5"/>
        <v>519668</v>
      </c>
      <c r="AH26" s="53">
        <f t="shared" si="0"/>
        <v>8680</v>
      </c>
      <c r="AJ26" s="52"/>
      <c r="AK26" s="53"/>
    </row>
    <row r="27" spans="1:37" ht="16.8" thickTop="1" thickBot="1" x14ac:dyDescent="0.35">
      <c r="A27" s="2">
        <v>2043</v>
      </c>
      <c r="B27" s="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5"/>
      <c r="O27" s="67">
        <f t="shared" si="1"/>
        <v>14630</v>
      </c>
      <c r="P27" s="67">
        <f t="shared" si="2"/>
        <v>40670</v>
      </c>
      <c r="Q27" s="20"/>
      <c r="R27" s="21"/>
      <c r="S27" s="21"/>
      <c r="T27" s="21"/>
      <c r="U27" s="21"/>
      <c r="V27" s="21"/>
      <c r="W27" s="21"/>
      <c r="X27" s="22"/>
      <c r="Y27" s="21">
        <f t="shared" si="3"/>
        <v>290498</v>
      </c>
      <c r="Z27" s="13"/>
      <c r="AA27" s="14"/>
      <c r="AB27" s="14"/>
      <c r="AC27" s="14"/>
      <c r="AD27" s="14"/>
      <c r="AE27" s="15"/>
      <c r="AF27" s="14">
        <f t="shared" si="4"/>
        <v>188500</v>
      </c>
      <c r="AG27" s="52">
        <f t="shared" si="5"/>
        <v>519668</v>
      </c>
      <c r="AH27" s="53">
        <f t="shared" si="0"/>
        <v>8680</v>
      </c>
      <c r="AJ27" s="52"/>
      <c r="AK27" s="53"/>
    </row>
    <row r="28" spans="1:37" ht="16.8" thickTop="1" thickBot="1" x14ac:dyDescent="0.35">
      <c r="A28" s="2">
        <v>2044</v>
      </c>
      <c r="B28" s="30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5"/>
      <c r="O28" s="67">
        <f t="shared" si="1"/>
        <v>14630</v>
      </c>
      <c r="P28" s="67">
        <f t="shared" si="2"/>
        <v>40670</v>
      </c>
      <c r="Q28" s="20"/>
      <c r="R28" s="21"/>
      <c r="S28" s="21"/>
      <c r="T28" s="21"/>
      <c r="U28" s="21"/>
      <c r="V28" s="21"/>
      <c r="W28" s="21"/>
      <c r="X28" s="22"/>
      <c r="Y28" s="21">
        <f t="shared" si="3"/>
        <v>290498</v>
      </c>
      <c r="Z28" s="13"/>
      <c r="AA28" s="14"/>
      <c r="AB28" s="14"/>
      <c r="AC28" s="14"/>
      <c r="AD28" s="14"/>
      <c r="AE28" s="15"/>
      <c r="AF28" s="14">
        <f t="shared" si="4"/>
        <v>188500</v>
      </c>
      <c r="AG28" s="52">
        <f t="shared" si="5"/>
        <v>519668</v>
      </c>
      <c r="AH28" s="53">
        <f t="shared" si="0"/>
        <v>8680</v>
      </c>
      <c r="AJ28" s="52"/>
      <c r="AK28" s="53"/>
    </row>
    <row r="29" spans="1:37" ht="16.8" thickTop="1" thickBot="1" x14ac:dyDescent="0.35">
      <c r="A29" s="41">
        <v>2045</v>
      </c>
      <c r="B29" s="30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5"/>
      <c r="O29" s="67">
        <f t="shared" si="1"/>
        <v>14630</v>
      </c>
      <c r="P29" s="67">
        <f t="shared" si="2"/>
        <v>40670</v>
      </c>
      <c r="Q29" s="20"/>
      <c r="R29" s="21"/>
      <c r="S29" s="21"/>
      <c r="T29" s="21"/>
      <c r="U29" s="21"/>
      <c r="V29" s="21"/>
      <c r="W29" s="21"/>
      <c r="X29" s="22"/>
      <c r="Y29" s="21">
        <f t="shared" si="3"/>
        <v>290498</v>
      </c>
      <c r="Z29" s="13"/>
      <c r="AA29" s="14"/>
      <c r="AB29" s="14"/>
      <c r="AC29" s="14"/>
      <c r="AD29" s="14"/>
      <c r="AE29" s="15"/>
      <c r="AF29" s="14">
        <f t="shared" si="4"/>
        <v>188500</v>
      </c>
      <c r="AG29" s="52">
        <f t="shared" si="5"/>
        <v>519668</v>
      </c>
      <c r="AH29" s="53">
        <f t="shared" si="0"/>
        <v>8680</v>
      </c>
      <c r="AJ29" s="52"/>
      <c r="AK29" s="53"/>
    </row>
    <row r="30" spans="1:37" ht="16.8" thickTop="1" thickBot="1" x14ac:dyDescent="0.35">
      <c r="A30" s="2">
        <v>2046</v>
      </c>
      <c r="B30" s="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5"/>
      <c r="O30" s="67">
        <f t="shared" si="1"/>
        <v>14630</v>
      </c>
      <c r="P30" s="67">
        <f t="shared" si="2"/>
        <v>40670</v>
      </c>
      <c r="Q30" s="20"/>
      <c r="R30" s="21"/>
      <c r="S30" s="21"/>
      <c r="T30" s="21"/>
      <c r="U30" s="21"/>
      <c r="V30" s="21"/>
      <c r="W30" s="21"/>
      <c r="X30" s="22"/>
      <c r="Y30" s="21">
        <f t="shared" si="3"/>
        <v>290498</v>
      </c>
      <c r="Z30" s="13"/>
      <c r="AA30" s="14"/>
      <c r="AB30" s="14"/>
      <c r="AC30" s="14"/>
      <c r="AD30" s="14"/>
      <c r="AE30" s="15"/>
      <c r="AF30" s="14">
        <f t="shared" si="4"/>
        <v>188500</v>
      </c>
      <c r="AG30" s="52">
        <f t="shared" si="5"/>
        <v>519668</v>
      </c>
      <c r="AH30" s="53">
        <f t="shared" si="0"/>
        <v>8680</v>
      </c>
      <c r="AJ30" s="52"/>
      <c r="AK30" s="53"/>
    </row>
    <row r="31" spans="1:37" ht="16.8" thickTop="1" thickBot="1" x14ac:dyDescent="0.35">
      <c r="A31" s="2">
        <v>2047</v>
      </c>
      <c r="B31" s="30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5"/>
      <c r="O31" s="67">
        <f t="shared" si="1"/>
        <v>14630</v>
      </c>
      <c r="P31" s="67">
        <f t="shared" si="2"/>
        <v>40670</v>
      </c>
      <c r="Q31" s="20"/>
      <c r="R31" s="21"/>
      <c r="S31" s="21"/>
      <c r="T31" s="21"/>
      <c r="U31" s="21"/>
      <c r="V31" s="21"/>
      <c r="W31" s="21"/>
      <c r="X31" s="22"/>
      <c r="Y31" s="21">
        <f t="shared" si="3"/>
        <v>290498</v>
      </c>
      <c r="Z31" s="13"/>
      <c r="AA31" s="14"/>
      <c r="AB31" s="14"/>
      <c r="AC31" s="14"/>
      <c r="AD31" s="14"/>
      <c r="AE31" s="15"/>
      <c r="AF31" s="14">
        <f t="shared" si="4"/>
        <v>188500</v>
      </c>
      <c r="AG31" s="52">
        <f t="shared" si="5"/>
        <v>519668</v>
      </c>
      <c r="AH31" s="53">
        <f t="shared" si="0"/>
        <v>8680</v>
      </c>
      <c r="AJ31" s="52"/>
      <c r="AK31" s="53"/>
    </row>
    <row r="32" spans="1:37" ht="16.8" thickTop="1" thickBot="1" x14ac:dyDescent="0.35">
      <c r="A32" s="41">
        <v>2048</v>
      </c>
      <c r="B32" s="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5"/>
      <c r="O32" s="67">
        <f t="shared" si="1"/>
        <v>14630</v>
      </c>
      <c r="P32" s="67">
        <f t="shared" si="2"/>
        <v>40670</v>
      </c>
      <c r="Q32" s="20"/>
      <c r="R32" s="21"/>
      <c r="S32" s="21"/>
      <c r="T32" s="21"/>
      <c r="U32" s="21"/>
      <c r="V32" s="21"/>
      <c r="W32" s="21"/>
      <c r="X32" s="22"/>
      <c r="Y32" s="21">
        <f t="shared" si="3"/>
        <v>290498</v>
      </c>
      <c r="Z32" s="13"/>
      <c r="AA32" s="14"/>
      <c r="AB32" s="14"/>
      <c r="AC32" s="14"/>
      <c r="AD32" s="14"/>
      <c r="AE32" s="15"/>
      <c r="AF32" s="14">
        <f t="shared" si="4"/>
        <v>188500</v>
      </c>
      <c r="AG32" s="52">
        <f t="shared" si="5"/>
        <v>519668</v>
      </c>
      <c r="AH32" s="53">
        <f t="shared" si="0"/>
        <v>8680</v>
      </c>
      <c r="AJ32" s="52"/>
      <c r="AK32" s="53"/>
    </row>
    <row r="33" spans="1:49" ht="16.8" thickTop="1" thickBot="1" x14ac:dyDescent="0.35">
      <c r="A33" s="2">
        <v>2049</v>
      </c>
      <c r="B33" s="30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5"/>
      <c r="O33" s="67">
        <f t="shared" si="1"/>
        <v>14630</v>
      </c>
      <c r="P33" s="67">
        <f t="shared" si="2"/>
        <v>40670</v>
      </c>
      <c r="Q33" s="20"/>
      <c r="R33" s="21"/>
      <c r="S33" s="21"/>
      <c r="T33" s="21"/>
      <c r="U33" s="21"/>
      <c r="V33" s="21"/>
      <c r="W33" s="21"/>
      <c r="X33" s="22"/>
      <c r="Y33" s="21">
        <f t="shared" si="3"/>
        <v>290498</v>
      </c>
      <c r="Z33" s="13"/>
      <c r="AA33" s="14"/>
      <c r="AB33" s="14"/>
      <c r="AC33" s="14"/>
      <c r="AD33" s="14"/>
      <c r="AE33" s="15"/>
      <c r="AF33" s="14">
        <f t="shared" si="4"/>
        <v>188500</v>
      </c>
      <c r="AG33" s="52">
        <f t="shared" si="5"/>
        <v>519668</v>
      </c>
      <c r="AH33" s="53">
        <f t="shared" si="0"/>
        <v>8680</v>
      </c>
      <c r="AJ33" s="52"/>
      <c r="AK33" s="53"/>
    </row>
    <row r="34" spans="1:49" ht="16.8" thickTop="1" thickBot="1" x14ac:dyDescent="0.35">
      <c r="A34" s="2">
        <v>2050</v>
      </c>
      <c r="B34" s="3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5"/>
      <c r="O34" s="67">
        <f t="shared" si="1"/>
        <v>14630</v>
      </c>
      <c r="P34" s="67">
        <f t="shared" si="2"/>
        <v>40670</v>
      </c>
      <c r="Q34" s="20"/>
      <c r="R34" s="21"/>
      <c r="S34" s="21"/>
      <c r="T34" s="21"/>
      <c r="U34" s="21"/>
      <c r="V34" s="21"/>
      <c r="W34" s="21"/>
      <c r="X34" s="22"/>
      <c r="Y34" s="21">
        <f t="shared" si="3"/>
        <v>290498</v>
      </c>
      <c r="Z34" s="13"/>
      <c r="AA34" s="14"/>
      <c r="AB34" s="14"/>
      <c r="AC34" s="14"/>
      <c r="AD34" s="14"/>
      <c r="AE34" s="15"/>
      <c r="AF34" s="14">
        <f t="shared" si="4"/>
        <v>188500</v>
      </c>
      <c r="AG34" s="52">
        <f t="shared" si="5"/>
        <v>519668</v>
      </c>
      <c r="AH34" s="53">
        <f t="shared" si="0"/>
        <v>8680</v>
      </c>
      <c r="AJ34" s="52"/>
      <c r="AK34" s="53"/>
    </row>
    <row r="35" spans="1:49" ht="16.8" thickTop="1" thickBot="1" x14ac:dyDescent="0.35">
      <c r="A35" s="41">
        <v>2051</v>
      </c>
      <c r="B35" s="30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5"/>
      <c r="O35" s="67">
        <f t="shared" si="1"/>
        <v>14630</v>
      </c>
      <c r="P35" s="67">
        <f t="shared" si="2"/>
        <v>40670</v>
      </c>
      <c r="Q35" s="20"/>
      <c r="R35" s="21"/>
      <c r="S35" s="21"/>
      <c r="T35" s="21"/>
      <c r="U35" s="21"/>
      <c r="V35" s="21"/>
      <c r="W35" s="21"/>
      <c r="X35" s="22"/>
      <c r="Y35" s="21">
        <f t="shared" si="3"/>
        <v>290498</v>
      </c>
      <c r="Z35" s="13"/>
      <c r="AA35" s="14"/>
      <c r="AB35" s="14"/>
      <c r="AC35" s="14"/>
      <c r="AD35" s="14"/>
      <c r="AE35" s="15"/>
      <c r="AF35" s="14">
        <f t="shared" si="4"/>
        <v>188500</v>
      </c>
      <c r="AG35" s="52">
        <f t="shared" si="5"/>
        <v>519668</v>
      </c>
      <c r="AH35" s="53">
        <f t="shared" si="0"/>
        <v>8680</v>
      </c>
      <c r="AJ35" s="52"/>
      <c r="AK35" s="53"/>
    </row>
    <row r="36" spans="1:49" ht="16.2" thickTop="1" x14ac:dyDescent="0.3">
      <c r="A36" s="26"/>
      <c r="B36" s="59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8"/>
      <c r="O36" s="67">
        <f t="shared" si="1"/>
        <v>14630</v>
      </c>
      <c r="P36" s="67">
        <f t="shared" si="2"/>
        <v>40670</v>
      </c>
      <c r="Q36" s="13"/>
      <c r="R36" s="14"/>
      <c r="S36" s="14"/>
      <c r="T36" s="14"/>
      <c r="U36" s="14"/>
      <c r="V36" s="14"/>
      <c r="W36" s="14"/>
      <c r="X36" s="15"/>
      <c r="Y36" s="21">
        <f t="shared" si="3"/>
        <v>290498</v>
      </c>
      <c r="Z36" s="13"/>
      <c r="AA36" s="14"/>
      <c r="AB36" s="39"/>
      <c r="AC36" s="39"/>
      <c r="AD36" s="39"/>
      <c r="AE36" s="40"/>
      <c r="AF36" s="14">
        <f t="shared" si="4"/>
        <v>188500</v>
      </c>
      <c r="AG36" s="52">
        <f t="shared" si="5"/>
        <v>519668</v>
      </c>
      <c r="AH36" s="53">
        <f t="shared" si="0"/>
        <v>8680</v>
      </c>
      <c r="AJ36" s="52"/>
      <c r="AK36" s="53"/>
    </row>
    <row r="37" spans="1:49" ht="15.6" x14ac:dyDescent="0.3">
      <c r="A37" s="33" t="s">
        <v>19</v>
      </c>
      <c r="B37" s="148">
        <f>SUM(B5:B36)</f>
        <v>5950</v>
      </c>
      <c r="C37" s="148">
        <f t="shared" ref="C37:K37" si="6">SUM(C5:C36)</f>
        <v>16450</v>
      </c>
      <c r="D37" s="148">
        <f t="shared" si="6"/>
        <v>3820</v>
      </c>
      <c r="E37" s="148">
        <f t="shared" si="6"/>
        <v>4340</v>
      </c>
      <c r="F37" s="148">
        <f t="shared" si="6"/>
        <v>4600</v>
      </c>
      <c r="G37" s="148">
        <f t="shared" si="6"/>
        <v>4340</v>
      </c>
      <c r="H37" s="148">
        <f t="shared" si="6"/>
        <v>4600</v>
      </c>
      <c r="I37" s="148">
        <f t="shared" si="6"/>
        <v>2350</v>
      </c>
      <c r="J37" s="148">
        <f t="shared" si="6"/>
        <v>6500</v>
      </c>
      <c r="K37" s="148">
        <f t="shared" si="6"/>
        <v>2350</v>
      </c>
      <c r="L37" s="34">
        <v>14950</v>
      </c>
      <c r="M37" s="34">
        <v>12500</v>
      </c>
      <c r="N37" s="35">
        <v>12500</v>
      </c>
      <c r="O37" s="70">
        <f>O36</f>
        <v>14630</v>
      </c>
      <c r="P37" s="71">
        <f>P36</f>
        <v>40670</v>
      </c>
      <c r="Q37" s="72">
        <f>SUM(Q5:Q35)</f>
        <v>103018</v>
      </c>
      <c r="R37" s="72">
        <f t="shared" ref="R37:AE37" si="7">SUM(R5:R35)</f>
        <v>113680</v>
      </c>
      <c r="S37" s="72">
        <f t="shared" si="7"/>
        <v>12300</v>
      </c>
      <c r="T37" s="72">
        <f t="shared" si="7"/>
        <v>12300</v>
      </c>
      <c r="U37" s="72">
        <f t="shared" si="7"/>
        <v>12300</v>
      </c>
      <c r="V37" s="72">
        <f t="shared" si="7"/>
        <v>12300</v>
      </c>
      <c r="W37" s="72">
        <f t="shared" si="7"/>
        <v>12300</v>
      </c>
      <c r="X37" s="73">
        <f t="shared" si="7"/>
        <v>12300</v>
      </c>
      <c r="Y37" s="74">
        <f>Y36</f>
        <v>290498</v>
      </c>
      <c r="Z37" s="75">
        <f t="shared" si="7"/>
        <v>123500</v>
      </c>
      <c r="AA37" s="72">
        <f t="shared" si="7"/>
        <v>13000</v>
      </c>
      <c r="AB37" s="27">
        <f t="shared" si="7"/>
        <v>13000</v>
      </c>
      <c r="AC37" s="27">
        <f t="shared" si="7"/>
        <v>13000</v>
      </c>
      <c r="AD37" s="27">
        <f t="shared" si="7"/>
        <v>13000</v>
      </c>
      <c r="AE37" s="28">
        <f t="shared" si="7"/>
        <v>13000</v>
      </c>
      <c r="AF37" s="77">
        <f>SUM(AF36)</f>
        <v>188500</v>
      </c>
      <c r="AG37" s="55">
        <f>AG36</f>
        <v>519668</v>
      </c>
      <c r="AH37" s="56">
        <f>AH36</f>
        <v>8680</v>
      </c>
      <c r="AJ37" s="55"/>
      <c r="AK37" s="56"/>
    </row>
    <row r="38" spans="1:49" ht="15.6" x14ac:dyDescent="0.3">
      <c r="A38" s="29" t="s">
        <v>1</v>
      </c>
      <c r="B38" s="29"/>
      <c r="C38" s="17" t="s">
        <v>44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67"/>
      <c r="Q38" s="17"/>
      <c r="R38" s="17"/>
      <c r="S38" s="17"/>
      <c r="T38" s="17"/>
      <c r="U38" s="17"/>
      <c r="V38" s="17"/>
      <c r="W38" s="17"/>
      <c r="X38" s="17"/>
      <c r="Y38" s="21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</row>
    <row r="39" spans="1:49" ht="15.6" x14ac:dyDescent="0.3">
      <c r="A39" s="30"/>
      <c r="B39" s="30"/>
      <c r="C39" s="57"/>
      <c r="D39" s="31"/>
      <c r="E39" s="31"/>
      <c r="F39" s="31"/>
      <c r="G39" s="31"/>
      <c r="H39" s="31"/>
      <c r="I39" s="31"/>
      <c r="J39" s="31"/>
      <c r="K39" s="31"/>
      <c r="L39" s="32"/>
      <c r="M39" s="32"/>
      <c r="N39" s="32"/>
      <c r="O39" s="32"/>
      <c r="P39" s="67"/>
      <c r="Q39" s="17"/>
      <c r="R39" s="17"/>
      <c r="S39" s="17"/>
      <c r="T39" s="17"/>
      <c r="U39" s="17"/>
      <c r="V39" s="17"/>
      <c r="W39" s="17"/>
      <c r="X39" s="17"/>
      <c r="Y39" s="21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49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</row>
    <row r="42" spans="1:49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</row>
    <row r="46" spans="1:49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</row>
    <row r="51" spans="1:49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</row>
    <row r="52" spans="1:49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</row>
    <row r="53" spans="1:49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</row>
    <row r="54" spans="1:49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</row>
    <row r="61" spans="1:49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</row>
    <row r="97" spans="1:49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</row>
    <row r="98" spans="1:49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</row>
    <row r="100" spans="1:49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</row>
    <row r="101" spans="1:49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</row>
    <row r="102" spans="1:49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</row>
    <row r="103" spans="1:49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</row>
    <row r="104" spans="1:49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</row>
    <row r="105" spans="1:49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</row>
    <row r="106" spans="1:49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</row>
    <row r="108" spans="1:49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</row>
    <row r="112" spans="1:49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</row>
    <row r="113" spans="1:49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</row>
    <row r="114" spans="1:49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</row>
    <row r="115" spans="1:49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49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</row>
    <row r="125" spans="1:49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49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49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:49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49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:49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49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</row>
    <row r="141" spans="1:49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49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49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49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1:49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:49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:49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:49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49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</row>
    <row r="150" spans="1:49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49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:49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</row>
    <row r="157" spans="1:49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49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:49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</row>
    <row r="160" spans="1:49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1:49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1:49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</row>
    <row r="163" spans="1:49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1:49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</row>
    <row r="165" spans="1:49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</row>
    <row r="166" spans="1:49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</row>
    <row r="167" spans="1:49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</row>
    <row r="168" spans="1:49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49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1:49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</row>
    <row r="171" spans="1:49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spans="1:49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spans="1:49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spans="1:49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</row>
    <row r="175" spans="1:49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1:49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</row>
  </sheetData>
  <mergeCells count="6">
    <mergeCell ref="AJ2:AK2"/>
    <mergeCell ref="O3:P3"/>
    <mergeCell ref="B2:P2"/>
    <mergeCell ref="Z2:AF2"/>
    <mergeCell ref="Q2:X2"/>
    <mergeCell ref="AG2:AH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955F-AB7C-4F9B-B54E-E19008D2B142}">
  <dimension ref="B1:U71"/>
  <sheetViews>
    <sheetView topLeftCell="A49" zoomScale="85" zoomScaleNormal="85" workbookViewId="0">
      <selection activeCell="F68" sqref="F68"/>
    </sheetView>
  </sheetViews>
  <sheetFormatPr defaultColWidth="9.109375" defaultRowHeight="14.4" x14ac:dyDescent="0.3"/>
  <cols>
    <col min="1" max="1" width="9.109375" style="3"/>
    <col min="2" max="2" width="42.44140625" style="3" customWidth="1"/>
    <col min="3" max="3" width="16.88671875" style="104" customWidth="1"/>
    <col min="4" max="4" width="21.6640625" style="94" customWidth="1"/>
    <col min="5" max="6" width="21" style="94" bestFit="1" customWidth="1"/>
    <col min="7" max="16384" width="9.109375" style="3"/>
  </cols>
  <sheetData>
    <row r="1" spans="2:11" x14ac:dyDescent="0.3">
      <c r="B1" s="230" t="s">
        <v>85</v>
      </c>
      <c r="C1" s="243"/>
      <c r="D1" s="244"/>
      <c r="E1" s="244"/>
      <c r="F1" s="245"/>
      <c r="G1" s="109"/>
    </row>
    <row r="2" spans="2:11" x14ac:dyDescent="0.3">
      <c r="B2" s="86" t="s">
        <v>90</v>
      </c>
      <c r="C2" s="103" t="s">
        <v>40</v>
      </c>
      <c r="D2" s="92" t="s">
        <v>83</v>
      </c>
      <c r="E2" s="92" t="s">
        <v>84</v>
      </c>
      <c r="F2" s="93"/>
    </row>
    <row r="3" spans="2:11" x14ac:dyDescent="0.3">
      <c r="B3" s="4" t="s">
        <v>86</v>
      </c>
      <c r="C3" s="104" t="s">
        <v>87</v>
      </c>
      <c r="D3" s="110">
        <v>5</v>
      </c>
      <c r="E3" s="110">
        <v>8</v>
      </c>
      <c r="F3" s="111"/>
      <c r="K3" s="160" t="s">
        <v>128</v>
      </c>
    </row>
    <row r="4" spans="2:11" x14ac:dyDescent="0.3">
      <c r="B4" s="4" t="s">
        <v>88</v>
      </c>
      <c r="C4" s="104" t="s">
        <v>87</v>
      </c>
      <c r="D4" s="110">
        <v>1</v>
      </c>
      <c r="E4" s="110">
        <v>1</v>
      </c>
      <c r="F4" s="111"/>
      <c r="K4" s="109" t="s">
        <v>129</v>
      </c>
    </row>
    <row r="5" spans="2:11" x14ac:dyDescent="0.3">
      <c r="B5" s="4" t="s">
        <v>99</v>
      </c>
      <c r="C5" s="104" t="s">
        <v>87</v>
      </c>
      <c r="D5" s="110">
        <v>1</v>
      </c>
      <c r="E5" s="110" t="s">
        <v>100</v>
      </c>
      <c r="F5" s="111"/>
    </row>
    <row r="6" spans="2:11" x14ac:dyDescent="0.3">
      <c r="B6" s="54" t="s">
        <v>89</v>
      </c>
      <c r="C6" s="105" t="s">
        <v>87</v>
      </c>
      <c r="D6" s="112">
        <v>0.3</v>
      </c>
      <c r="E6" s="112">
        <v>0.125</v>
      </c>
      <c r="F6" s="113"/>
    </row>
    <row r="8" spans="2:11" x14ac:dyDescent="0.3">
      <c r="B8" s="230" t="s">
        <v>80</v>
      </c>
      <c r="C8" s="229" t="s">
        <v>148</v>
      </c>
      <c r="D8" s="246"/>
      <c r="E8" s="246"/>
      <c r="F8" s="242"/>
    </row>
    <row r="9" spans="2:11" x14ac:dyDescent="0.3">
      <c r="B9" s="84" t="s">
        <v>41</v>
      </c>
      <c r="C9" s="106" t="s">
        <v>81</v>
      </c>
      <c r="D9" s="97" t="s">
        <v>82</v>
      </c>
      <c r="E9" s="97" t="s">
        <v>3</v>
      </c>
      <c r="F9" s="98" t="s">
        <v>38</v>
      </c>
    </row>
    <row r="10" spans="2:11" x14ac:dyDescent="0.3">
      <c r="B10" s="4" t="s">
        <v>83</v>
      </c>
      <c r="C10" s="158">
        <v>6</v>
      </c>
      <c r="D10" s="117">
        <v>0.8</v>
      </c>
      <c r="E10" s="117">
        <v>0.5</v>
      </c>
      <c r="F10" s="114">
        <v>0.6</v>
      </c>
      <c r="G10" s="157"/>
    </row>
    <row r="11" spans="2:11" x14ac:dyDescent="0.3">
      <c r="B11" s="4" t="s">
        <v>84</v>
      </c>
      <c r="C11" s="159">
        <v>1</v>
      </c>
      <c r="D11" s="117">
        <v>0.95</v>
      </c>
      <c r="E11" s="117">
        <v>0.35</v>
      </c>
      <c r="F11" s="114">
        <v>0.8</v>
      </c>
      <c r="G11" s="157"/>
    </row>
    <row r="12" spans="2:11" x14ac:dyDescent="0.3">
      <c r="B12" s="54" t="s">
        <v>37</v>
      </c>
      <c r="C12" s="108">
        <f>SUM(C10:C11)</f>
        <v>7</v>
      </c>
      <c r="D12" s="99">
        <f>D10*C10+D11*C11</f>
        <v>5.7500000000000009</v>
      </c>
      <c r="E12" s="99">
        <f>E10*C10+E11*C11</f>
        <v>3.35</v>
      </c>
      <c r="F12" s="100">
        <f>F10*C10+F11*C11</f>
        <v>4.3999999999999995</v>
      </c>
      <c r="G12" s="150"/>
    </row>
    <row r="13" spans="2:11" x14ac:dyDescent="0.3">
      <c r="C13" s="107"/>
      <c r="D13" s="101"/>
      <c r="E13" s="101"/>
      <c r="F13" s="101"/>
    </row>
    <row r="14" spans="2:11" x14ac:dyDescent="0.3">
      <c r="B14" s="230" t="s">
        <v>109</v>
      </c>
      <c r="C14" s="229"/>
      <c r="D14" s="246"/>
      <c r="E14" s="246"/>
      <c r="F14" s="242"/>
    </row>
    <row r="15" spans="2:11" x14ac:dyDescent="0.3">
      <c r="B15" s="84" t="s">
        <v>41</v>
      </c>
      <c r="C15" s="106" t="s">
        <v>40</v>
      </c>
      <c r="D15" s="97" t="s">
        <v>38</v>
      </c>
      <c r="E15" s="97" t="s">
        <v>3</v>
      </c>
      <c r="F15" s="98"/>
    </row>
    <row r="16" spans="2:11" x14ac:dyDescent="0.3">
      <c r="B16" s="4" t="s">
        <v>66</v>
      </c>
      <c r="C16" s="104" t="s">
        <v>51</v>
      </c>
      <c r="D16" s="118">
        <v>0.5</v>
      </c>
      <c r="E16" s="117">
        <v>0.35</v>
      </c>
      <c r="F16" s="114"/>
      <c r="G16" s="3" t="s">
        <v>130</v>
      </c>
    </row>
    <row r="17" spans="2:15" x14ac:dyDescent="0.3">
      <c r="B17" s="4" t="s">
        <v>67</v>
      </c>
      <c r="C17" s="104" t="s">
        <v>51</v>
      </c>
      <c r="D17" s="118">
        <v>0.5</v>
      </c>
      <c r="E17" s="117">
        <v>0.65</v>
      </c>
      <c r="F17" s="114"/>
      <c r="G17" s="3" t="s">
        <v>130</v>
      </c>
      <c r="K17" s="109" t="s">
        <v>131</v>
      </c>
      <c r="L17" s="109"/>
      <c r="M17" s="109"/>
      <c r="N17" s="109"/>
      <c r="O17" s="109" t="s">
        <v>132</v>
      </c>
    </row>
    <row r="18" spans="2:15" x14ac:dyDescent="0.3">
      <c r="B18" s="4" t="s">
        <v>110</v>
      </c>
      <c r="C18" s="104" t="s">
        <v>51</v>
      </c>
      <c r="D18" s="94" t="s">
        <v>117</v>
      </c>
      <c r="E18" s="118">
        <v>0.9</v>
      </c>
      <c r="F18" s="115"/>
      <c r="G18" s="3" t="s">
        <v>160</v>
      </c>
    </row>
    <row r="19" spans="2:15" x14ac:dyDescent="0.3">
      <c r="B19" s="54" t="s">
        <v>115</v>
      </c>
      <c r="C19" s="105" t="s">
        <v>51</v>
      </c>
      <c r="D19" s="128">
        <v>1</v>
      </c>
      <c r="E19" s="119">
        <v>0.1</v>
      </c>
      <c r="F19" s="116"/>
      <c r="G19" s="3" t="s">
        <v>160</v>
      </c>
    </row>
    <row r="21" spans="2:15" x14ac:dyDescent="0.3">
      <c r="B21" s="230" t="s">
        <v>39</v>
      </c>
      <c r="C21" s="229"/>
      <c r="D21" s="246"/>
      <c r="E21" s="246"/>
      <c r="F21" s="242"/>
    </row>
    <row r="22" spans="2:15" x14ac:dyDescent="0.3">
      <c r="B22" s="84" t="s">
        <v>41</v>
      </c>
      <c r="C22" s="106" t="s">
        <v>91</v>
      </c>
      <c r="D22" s="97" t="s">
        <v>82</v>
      </c>
      <c r="E22" s="97" t="s">
        <v>3</v>
      </c>
      <c r="F22" s="98" t="s">
        <v>38</v>
      </c>
    </row>
    <row r="23" spans="2:15" x14ac:dyDescent="0.3">
      <c r="B23" s="4" t="s">
        <v>42</v>
      </c>
      <c r="C23" s="104" t="s">
        <v>43</v>
      </c>
      <c r="D23" s="101">
        <f>+$C$10*($D$4+$D$6)*D$10+$C$11*($E$4+$E$6)*D$11</f>
        <v>7.3087500000000007</v>
      </c>
      <c r="E23" s="101">
        <f>+$C$10*($D$4+$D$6)*E$10+$C$11*($E$4+$E$6)*E$11</f>
        <v>4.2937500000000002</v>
      </c>
      <c r="F23" s="102">
        <f>+$C$10*($D$4+$D$6)*F$10+$C$11*($E$4+$E$6)*F$11</f>
        <v>5.580000000000001</v>
      </c>
    </row>
    <row r="24" spans="2:15" x14ac:dyDescent="0.3">
      <c r="B24" s="4" t="s">
        <v>98</v>
      </c>
      <c r="C24" s="107" t="s">
        <v>43</v>
      </c>
      <c r="D24" s="101">
        <f>+$C$10*($D$3+$D$6)*D$10+$C$11*($E$3+$E$6)*D$11</f>
        <v>33.158749999999998</v>
      </c>
      <c r="E24" s="101">
        <f>+$C$10*($D$3+$D$6)*E$10+$C$11*($E$3+$E$6)*E$11</f>
        <v>18.743749999999999</v>
      </c>
      <c r="F24" s="102">
        <f>+$C$10*($D$3+$D$6)*F$10+$C$11*($E$3+$E$6)*F$11</f>
        <v>25.58</v>
      </c>
    </row>
    <row r="25" spans="2:15" x14ac:dyDescent="0.3">
      <c r="B25" s="4" t="s">
        <v>111</v>
      </c>
      <c r="C25" s="107" t="s">
        <v>43</v>
      </c>
      <c r="D25" s="101" t="s">
        <v>100</v>
      </c>
      <c r="E25" s="101">
        <f>+($C$10*($D$4+$D$6)*E$10*E18*E17)+$C$10*($D$3+$D$6)*E$10*(E16+E17*(E19))+$C$11*($E$3+$E$6)*E$11</f>
        <v>11.723749999999999</v>
      </c>
      <c r="F25" s="102" t="s">
        <v>100</v>
      </c>
    </row>
    <row r="26" spans="2:15" x14ac:dyDescent="0.3">
      <c r="B26" s="4" t="s">
        <v>92</v>
      </c>
      <c r="C26" s="107" t="s">
        <v>43</v>
      </c>
      <c r="D26" s="124">
        <v>90</v>
      </c>
      <c r="E26" s="122">
        <f>0.5*(E10*C10+E11*C11)+2</f>
        <v>3.6749999999999998</v>
      </c>
      <c r="F26" s="125">
        <v>200</v>
      </c>
    </row>
    <row r="27" spans="2:15" x14ac:dyDescent="0.3">
      <c r="B27" s="4" t="s">
        <v>93</v>
      </c>
      <c r="C27" s="104" t="s">
        <v>43</v>
      </c>
      <c r="D27" s="124">
        <v>0.18</v>
      </c>
      <c r="E27" s="186">
        <f>D27*E46</f>
        <v>4.4999999999999998E-2</v>
      </c>
      <c r="F27" s="125">
        <f>D27*F46</f>
        <v>0.09</v>
      </c>
    </row>
    <row r="28" spans="2:15" x14ac:dyDescent="0.3">
      <c r="B28" s="54" t="s">
        <v>94</v>
      </c>
      <c r="C28" s="108" t="s">
        <v>43</v>
      </c>
      <c r="D28" s="126">
        <v>1</v>
      </c>
      <c r="E28" s="185">
        <v>0.25</v>
      </c>
      <c r="F28" s="127">
        <v>0.5</v>
      </c>
    </row>
    <row r="29" spans="2:15" x14ac:dyDescent="0.3">
      <c r="C29" s="107"/>
      <c r="D29" s="101"/>
      <c r="E29" s="101"/>
      <c r="F29" s="101"/>
    </row>
    <row r="30" spans="2:15" x14ac:dyDescent="0.3">
      <c r="B30" s="230" t="s">
        <v>50</v>
      </c>
      <c r="C30" s="229"/>
      <c r="D30" s="246"/>
      <c r="E30" s="246"/>
      <c r="F30" s="242"/>
    </row>
    <row r="31" spans="2:15" x14ac:dyDescent="0.3">
      <c r="B31" s="84" t="s">
        <v>41</v>
      </c>
      <c r="C31" s="106" t="s">
        <v>91</v>
      </c>
      <c r="D31" s="97" t="s">
        <v>82</v>
      </c>
      <c r="E31" s="97" t="s">
        <v>3</v>
      </c>
      <c r="F31" s="98" t="s">
        <v>38</v>
      </c>
    </row>
    <row r="32" spans="2:15" x14ac:dyDescent="0.3">
      <c r="B32" s="4" t="s">
        <v>45</v>
      </c>
      <c r="C32" s="104" t="s">
        <v>46</v>
      </c>
      <c r="D32" s="122">
        <v>49.5</v>
      </c>
      <c r="E32" s="101">
        <f>$D$32/$D$12*$E$12</f>
        <v>28.839130434782607</v>
      </c>
      <c r="F32" s="102">
        <f>$D$32/$D$12*$F$12</f>
        <v>37.87826086956521</v>
      </c>
    </row>
    <row r="33" spans="2:21" x14ac:dyDescent="0.3">
      <c r="B33" s="4" t="s">
        <v>95</v>
      </c>
      <c r="C33" s="107" t="s">
        <v>46</v>
      </c>
      <c r="D33" s="122">
        <f>+D32/2.7</f>
        <v>18.333333333333332</v>
      </c>
      <c r="E33" s="101">
        <f>$D$33/$D$12*$E$12</f>
        <v>10.681159420289854</v>
      </c>
      <c r="F33" s="102">
        <f>$D$33/$D$12*$F$12</f>
        <v>14.028985507246373</v>
      </c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</row>
    <row r="34" spans="2:21" x14ac:dyDescent="0.3">
      <c r="B34" s="4" t="s">
        <v>47</v>
      </c>
      <c r="C34" s="107" t="s">
        <v>46</v>
      </c>
      <c r="D34" s="122">
        <f>+D33*1.2</f>
        <v>21.999999999999996</v>
      </c>
      <c r="E34" s="101">
        <f>$D$34/$D$12*$E$12</f>
        <v>12.817391304347822</v>
      </c>
      <c r="F34" s="102">
        <f>$D$34/$D$12*$F$12</f>
        <v>16.834782608695644</v>
      </c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</row>
    <row r="35" spans="2:21" x14ac:dyDescent="0.3">
      <c r="B35" s="4" t="s">
        <v>48</v>
      </c>
      <c r="C35" s="104" t="s">
        <v>46</v>
      </c>
      <c r="D35" s="122">
        <v>10.199999999999999</v>
      </c>
      <c r="E35" s="101">
        <f>$D$35/$D$12*$E$12</f>
        <v>5.9426086956521722</v>
      </c>
      <c r="F35" s="102">
        <f>$D$35/$D$12*$F$12</f>
        <v>7.8052173913043452</v>
      </c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</row>
    <row r="36" spans="2:21" x14ac:dyDescent="0.3">
      <c r="B36" s="54" t="s">
        <v>49</v>
      </c>
      <c r="C36" s="108" t="s">
        <v>46</v>
      </c>
      <c r="D36" s="123">
        <v>1.3</v>
      </c>
      <c r="E36" s="99">
        <f>$D$36/$D$12*$E$12</f>
        <v>0.75739130434782598</v>
      </c>
      <c r="F36" s="100">
        <f>$D$36/$D$12*$F$12</f>
        <v>0.99478260869565194</v>
      </c>
    </row>
    <row r="37" spans="2:21" ht="15" thickBot="1" x14ac:dyDescent="0.35">
      <c r="L37" s="109" t="s">
        <v>134</v>
      </c>
    </row>
    <row r="38" spans="2:21" x14ac:dyDescent="0.3">
      <c r="B38" s="230" t="s">
        <v>96</v>
      </c>
      <c r="C38" s="249"/>
      <c r="D38" s="250"/>
      <c r="E38" s="250"/>
      <c r="F38" s="251"/>
      <c r="L38" s="132"/>
      <c r="M38" s="282" t="s">
        <v>125</v>
      </c>
      <c r="N38" s="283"/>
      <c r="O38" s="283"/>
      <c r="P38" s="283"/>
      <c r="Q38" s="283"/>
      <c r="R38" s="283"/>
      <c r="S38" s="284" t="s">
        <v>126</v>
      </c>
      <c r="T38" s="285"/>
      <c r="U38" s="285"/>
    </row>
    <row r="39" spans="2:21" x14ac:dyDescent="0.3">
      <c r="B39" s="84" t="s">
        <v>41</v>
      </c>
      <c r="C39" s="106" t="s">
        <v>91</v>
      </c>
      <c r="D39" s="97" t="s">
        <v>82</v>
      </c>
      <c r="E39" s="97" t="s">
        <v>3</v>
      </c>
      <c r="F39" s="98" t="s">
        <v>38</v>
      </c>
      <c r="L39" s="133"/>
      <c r="M39" s="286" t="s">
        <v>127</v>
      </c>
      <c r="N39" s="287"/>
      <c r="O39" s="287"/>
      <c r="P39" s="287"/>
      <c r="Q39" s="287"/>
      <c r="R39" s="288"/>
      <c r="S39" s="134"/>
      <c r="T39" s="135"/>
      <c r="U39" s="135"/>
    </row>
    <row r="40" spans="2:21" ht="14.4" customHeight="1" x14ac:dyDescent="0.3">
      <c r="B40" s="4" t="s">
        <v>45</v>
      </c>
      <c r="C40" s="107" t="s">
        <v>46</v>
      </c>
      <c r="D40" s="122">
        <v>50.8</v>
      </c>
      <c r="E40" s="101">
        <f>S47</f>
        <v>1.7250000000000001</v>
      </c>
      <c r="F40" s="129">
        <f>D40-M45</f>
        <v>29.799999999999997</v>
      </c>
      <c r="L40" s="133"/>
      <c r="M40" s="136" t="s">
        <v>45</v>
      </c>
      <c r="N40" s="137" t="s">
        <v>48</v>
      </c>
      <c r="O40" s="137" t="s">
        <v>49</v>
      </c>
      <c r="P40" s="137"/>
      <c r="Q40" s="137"/>
      <c r="R40" s="138"/>
      <c r="S40" s="136" t="s">
        <v>45</v>
      </c>
      <c r="T40" s="137" t="s">
        <v>48</v>
      </c>
      <c r="U40" s="138" t="s">
        <v>49</v>
      </c>
    </row>
    <row r="41" spans="2:21" x14ac:dyDescent="0.3">
      <c r="B41" s="4" t="s">
        <v>95</v>
      </c>
      <c r="C41" s="107" t="s">
        <v>46</v>
      </c>
      <c r="D41" s="122">
        <f>+D40/2</f>
        <v>25.4</v>
      </c>
      <c r="E41" s="101">
        <f>+E40/2</f>
        <v>0.86250000000000004</v>
      </c>
      <c r="F41" s="129">
        <f>F40/2</f>
        <v>14.899999999999999</v>
      </c>
      <c r="L41" s="133"/>
      <c r="M41" s="136" t="s">
        <v>46</v>
      </c>
      <c r="N41" s="137" t="s">
        <v>46</v>
      </c>
      <c r="O41" s="137" t="s">
        <v>46</v>
      </c>
      <c r="P41" s="137"/>
      <c r="Q41" s="137"/>
      <c r="R41" s="138"/>
      <c r="S41" s="136" t="s">
        <v>46</v>
      </c>
      <c r="T41" s="137" t="s">
        <v>46</v>
      </c>
      <c r="U41" s="138" t="s">
        <v>46</v>
      </c>
    </row>
    <row r="42" spans="2:21" x14ac:dyDescent="0.3">
      <c r="B42" s="4" t="s">
        <v>47</v>
      </c>
      <c r="C42" s="107" t="s">
        <v>46</v>
      </c>
      <c r="D42" s="122">
        <f>+D41*1.2</f>
        <v>30.479999999999997</v>
      </c>
      <c r="E42" s="101">
        <f>+E41*1.2</f>
        <v>1.0349999999999999</v>
      </c>
      <c r="F42" s="129">
        <f>F41*1.2</f>
        <v>17.88</v>
      </c>
      <c r="L42" s="133"/>
      <c r="M42" s="139"/>
      <c r="N42" s="140"/>
      <c r="O42" s="140"/>
      <c r="P42" s="140"/>
      <c r="Q42" s="140"/>
      <c r="R42" s="141"/>
      <c r="S42" s="136"/>
      <c r="T42" s="137"/>
      <c r="U42" s="138"/>
    </row>
    <row r="43" spans="2:21" x14ac:dyDescent="0.3">
      <c r="B43" s="4" t="s">
        <v>48</v>
      </c>
      <c r="C43" s="107" t="s">
        <v>46</v>
      </c>
      <c r="D43" s="122">
        <v>0.4</v>
      </c>
      <c r="E43" s="120">
        <f>T47</f>
        <v>2.0000000000000004E-2</v>
      </c>
      <c r="F43" s="161">
        <f>D43-N45</f>
        <v>0.2</v>
      </c>
      <c r="L43" s="133" t="s">
        <v>118</v>
      </c>
      <c r="M43" s="156">
        <v>3.5</v>
      </c>
      <c r="N43" s="137">
        <v>0.1</v>
      </c>
      <c r="O43" s="137">
        <v>0</v>
      </c>
      <c r="P43" s="187"/>
      <c r="Q43" s="187"/>
      <c r="R43" s="188"/>
      <c r="S43" s="142">
        <f t="shared" ref="S43:U44" si="0">5%*M43</f>
        <v>0.17500000000000002</v>
      </c>
      <c r="T43" s="143">
        <f t="shared" si="0"/>
        <v>5.000000000000001E-3</v>
      </c>
      <c r="U43" s="144"/>
    </row>
    <row r="44" spans="2:21" x14ac:dyDescent="0.3">
      <c r="B44" s="54" t="s">
        <v>49</v>
      </c>
      <c r="C44" s="108" t="s">
        <v>46</v>
      </c>
      <c r="D44" s="123">
        <f>O47</f>
        <v>0.3</v>
      </c>
      <c r="E44" s="121">
        <f>U47</f>
        <v>1.4999999999999999E-2</v>
      </c>
      <c r="F44" s="162">
        <f>D44-O45</f>
        <v>0.3</v>
      </c>
      <c r="L44" s="133" t="s">
        <v>119</v>
      </c>
      <c r="M44" s="136">
        <v>23</v>
      </c>
      <c r="N44" s="137">
        <v>0.1</v>
      </c>
      <c r="O44" s="137">
        <v>0</v>
      </c>
      <c r="P44" s="187"/>
      <c r="Q44" s="187"/>
      <c r="R44" s="188"/>
      <c r="S44" s="142">
        <f t="shared" si="0"/>
        <v>1.1500000000000001</v>
      </c>
      <c r="T44" s="143">
        <f t="shared" si="0"/>
        <v>5.000000000000001E-3</v>
      </c>
      <c r="U44" s="144">
        <f t="shared" si="0"/>
        <v>0</v>
      </c>
    </row>
    <row r="45" spans="2:21" x14ac:dyDescent="0.3">
      <c r="C45" s="107"/>
      <c r="D45" s="101"/>
      <c r="E45" s="189"/>
      <c r="F45" s="101"/>
      <c r="L45" s="133" t="s">
        <v>120</v>
      </c>
      <c r="M45" s="136">
        <v>21</v>
      </c>
      <c r="N45" s="137">
        <v>0.2</v>
      </c>
      <c r="O45" s="137">
        <v>0</v>
      </c>
      <c r="P45" s="187"/>
      <c r="Q45" s="187"/>
      <c r="R45" s="188"/>
      <c r="S45" s="142"/>
      <c r="T45" s="143"/>
      <c r="U45" s="144"/>
    </row>
    <row r="46" spans="2:21" x14ac:dyDescent="0.3">
      <c r="B46" s="230" t="s">
        <v>97</v>
      </c>
      <c r="C46" s="229"/>
      <c r="D46" s="246"/>
      <c r="E46" s="247">
        <v>0.25</v>
      </c>
      <c r="F46" s="248">
        <v>0.5</v>
      </c>
      <c r="L46" s="133" t="s">
        <v>121</v>
      </c>
      <c r="M46" s="136">
        <v>5.3</v>
      </c>
      <c r="N46" s="137">
        <v>0</v>
      </c>
      <c r="O46" s="137">
        <v>0</v>
      </c>
      <c r="P46" s="187"/>
      <c r="Q46" s="187"/>
      <c r="R46" s="188"/>
      <c r="S46" s="142">
        <v>0.4</v>
      </c>
      <c r="T46" s="143">
        <f>+N46*$S$50/$Q$50</f>
        <v>0</v>
      </c>
      <c r="U46" s="144">
        <f>+O46*$S$50/$Q$50</f>
        <v>0</v>
      </c>
    </row>
    <row r="47" spans="2:21" x14ac:dyDescent="0.3">
      <c r="B47" s="84" t="s">
        <v>41</v>
      </c>
      <c r="C47" s="106" t="s">
        <v>91</v>
      </c>
      <c r="D47" s="97" t="s">
        <v>82</v>
      </c>
      <c r="E47" s="97" t="s">
        <v>3</v>
      </c>
      <c r="F47" s="98" t="s">
        <v>38</v>
      </c>
      <c r="L47" s="133" t="s">
        <v>37</v>
      </c>
      <c r="M47" s="136">
        <f>+SUM(M42:M46)</f>
        <v>52.8</v>
      </c>
      <c r="N47" s="137">
        <f>+SUM(N42:N46)</f>
        <v>0.4</v>
      </c>
      <c r="O47" s="137">
        <v>0.3</v>
      </c>
      <c r="P47" s="187"/>
      <c r="Q47" s="187"/>
      <c r="R47" s="188"/>
      <c r="S47" s="142">
        <f>+SUM(S42:S46)</f>
        <v>1.7250000000000001</v>
      </c>
      <c r="T47" s="143">
        <f>0.05*N47</f>
        <v>2.0000000000000004E-2</v>
      </c>
      <c r="U47" s="144">
        <f>0.05*O47</f>
        <v>1.4999999999999999E-2</v>
      </c>
    </row>
    <row r="48" spans="2:21" ht="15" thickBot="1" x14ac:dyDescent="0.35">
      <c r="B48" s="4" t="s">
        <v>45</v>
      </c>
      <c r="C48" s="107" t="s">
        <v>46</v>
      </c>
      <c r="D48" s="122">
        <v>59.20000000000001</v>
      </c>
      <c r="E48" s="124">
        <f>$E$46*D48</f>
        <v>14.800000000000002</v>
      </c>
      <c r="F48" s="129">
        <f>$F$46*D48</f>
        <v>29.600000000000005</v>
      </c>
      <c r="L48" s="145"/>
      <c r="M48" s="145"/>
      <c r="N48" s="146"/>
      <c r="O48" s="146"/>
      <c r="P48" s="146"/>
      <c r="Q48" s="146"/>
      <c r="R48" s="146"/>
      <c r="S48" s="147"/>
      <c r="T48" s="146"/>
      <c r="U48" s="146"/>
    </row>
    <row r="49" spans="2:19" x14ac:dyDescent="0.3">
      <c r="B49" s="4" t="s">
        <v>95</v>
      </c>
      <c r="C49" s="107" t="s">
        <v>46</v>
      </c>
      <c r="D49" s="122">
        <v>42.07907239819005</v>
      </c>
      <c r="E49" s="124">
        <f>$E$46*D49</f>
        <v>10.519768099547512</v>
      </c>
      <c r="F49" s="129">
        <f t="shared" ref="F49:F52" si="1">$F$46*D49</f>
        <v>21.039536199095025</v>
      </c>
      <c r="O49" s="135" t="s">
        <v>122</v>
      </c>
      <c r="P49" s="135" t="s">
        <v>123</v>
      </c>
      <c r="Q49" s="135">
        <f>(365/7*0.7)</f>
        <v>36.5</v>
      </c>
      <c r="R49" s="135"/>
      <c r="S49" s="135">
        <f>52*5</f>
        <v>260</v>
      </c>
    </row>
    <row r="50" spans="2:19" x14ac:dyDescent="0.3">
      <c r="B50" s="4" t="s">
        <v>47</v>
      </c>
      <c r="C50" s="107" t="s">
        <v>46</v>
      </c>
      <c r="D50" s="122">
        <v>35.4</v>
      </c>
      <c r="E50" s="124">
        <f>$E$46*D50</f>
        <v>8.85</v>
      </c>
      <c r="F50" s="129">
        <f t="shared" si="1"/>
        <v>17.7</v>
      </c>
      <c r="O50" s="135"/>
      <c r="P50" s="135" t="s">
        <v>124</v>
      </c>
      <c r="Q50" s="190">
        <f>+Q49/(hh_tot_opp/hh_aantal)</f>
        <v>0.35760210642336665</v>
      </c>
      <c r="R50" s="135"/>
      <c r="S50" s="135">
        <f>+S49/SUM('Prognose Deelgebieden '!C37:K37)</f>
        <v>5.2684903748733535E-3</v>
      </c>
    </row>
    <row r="51" spans="2:19" x14ac:dyDescent="0.3">
      <c r="B51" s="4" t="s">
        <v>48</v>
      </c>
      <c r="C51" s="107" t="s">
        <v>46</v>
      </c>
      <c r="D51" s="122">
        <v>2.0386666666666664</v>
      </c>
      <c r="E51" s="124">
        <f>$E$46*D51</f>
        <v>0.5096666666666666</v>
      </c>
      <c r="F51" s="129">
        <f t="shared" si="1"/>
        <v>1.0193333333333332</v>
      </c>
    </row>
    <row r="52" spans="2:19" x14ac:dyDescent="0.3">
      <c r="B52" s="54" t="s">
        <v>49</v>
      </c>
      <c r="C52" s="108" t="s">
        <v>46</v>
      </c>
      <c r="D52" s="123">
        <v>0.2</v>
      </c>
      <c r="E52" s="126">
        <f>$E$46*D52</f>
        <v>0.05</v>
      </c>
      <c r="F52" s="129">
        <f t="shared" si="1"/>
        <v>0.1</v>
      </c>
    </row>
    <row r="53" spans="2:19" x14ac:dyDescent="0.3">
      <c r="E53" s="130"/>
      <c r="F53" s="130"/>
    </row>
    <row r="54" spans="2:19" x14ac:dyDescent="0.3">
      <c r="B54" s="230" t="s">
        <v>68</v>
      </c>
      <c r="C54" s="243"/>
      <c r="D54" s="244"/>
      <c r="E54" s="244"/>
      <c r="F54" s="245"/>
    </row>
    <row r="55" spans="2:19" x14ac:dyDescent="0.3">
      <c r="B55" s="84" t="s">
        <v>41</v>
      </c>
      <c r="C55" s="106" t="s">
        <v>40</v>
      </c>
      <c r="D55" s="131"/>
      <c r="E55" s="131" t="s">
        <v>3</v>
      </c>
      <c r="F55" s="98"/>
    </row>
    <row r="56" spans="2:19" x14ac:dyDescent="0.3">
      <c r="B56" s="4" t="s">
        <v>69</v>
      </c>
      <c r="C56" s="104" t="s">
        <v>72</v>
      </c>
      <c r="D56" s="152"/>
      <c r="E56" s="252">
        <f>100/2/10000</f>
        <v>5.0000000000000001E-3</v>
      </c>
      <c r="F56" s="95"/>
      <c r="J56" s="150"/>
    </row>
    <row r="57" spans="2:19" x14ac:dyDescent="0.3">
      <c r="B57" s="4" t="s">
        <v>70</v>
      </c>
      <c r="C57" s="104" t="s">
        <v>72</v>
      </c>
      <c r="D57" s="153"/>
      <c r="E57" s="253">
        <f>75/10000</f>
        <v>7.4999999999999997E-3</v>
      </c>
      <c r="F57" s="95"/>
      <c r="J57" s="150"/>
    </row>
    <row r="58" spans="2:19" x14ac:dyDescent="0.3">
      <c r="B58" s="54" t="s">
        <v>71</v>
      </c>
      <c r="C58" s="105" t="s">
        <v>72</v>
      </c>
      <c r="D58" s="151"/>
      <c r="E58" s="254">
        <f>75/10000</f>
        <v>7.4999999999999997E-3</v>
      </c>
      <c r="F58" s="96"/>
      <c r="J58" s="150"/>
    </row>
    <row r="60" spans="2:19" x14ac:dyDescent="0.3">
      <c r="B60" s="230" t="s">
        <v>53</v>
      </c>
      <c r="C60" s="229"/>
      <c r="D60" s="229"/>
      <c r="E60" s="229"/>
      <c r="F60" s="242"/>
    </row>
    <row r="61" spans="2:19" x14ac:dyDescent="0.3">
      <c r="B61" s="84" t="s">
        <v>41</v>
      </c>
      <c r="C61" s="106"/>
      <c r="D61" s="106"/>
      <c r="E61" s="106"/>
      <c r="F61" s="98" t="s">
        <v>38</v>
      </c>
    </row>
    <row r="62" spans="2:19" x14ac:dyDescent="0.3">
      <c r="B62" s="4" t="s">
        <v>59</v>
      </c>
      <c r="C62" s="104" t="s">
        <v>62</v>
      </c>
      <c r="D62" s="104"/>
      <c r="E62" s="104"/>
      <c r="F62" s="111">
        <v>156</v>
      </c>
    </row>
    <row r="63" spans="2:19" x14ac:dyDescent="0.3">
      <c r="B63" s="4" t="s">
        <v>60</v>
      </c>
      <c r="C63" s="104" t="s">
        <v>62</v>
      </c>
      <c r="D63" s="104"/>
      <c r="E63" s="104"/>
      <c r="F63" s="111">
        <v>332</v>
      </c>
    </row>
    <row r="64" spans="2:19" x14ac:dyDescent="0.3">
      <c r="B64" s="4" t="s">
        <v>61</v>
      </c>
      <c r="C64" s="104" t="s">
        <v>62</v>
      </c>
      <c r="D64" s="104"/>
      <c r="E64" s="104"/>
      <c r="F64" s="111">
        <v>250</v>
      </c>
    </row>
    <row r="65" spans="2:6" x14ac:dyDescent="0.3">
      <c r="B65" s="4" t="s">
        <v>54</v>
      </c>
      <c r="C65" s="104" t="s">
        <v>55</v>
      </c>
      <c r="D65" s="104"/>
      <c r="E65" s="104"/>
      <c r="F65" s="111">
        <v>1.8</v>
      </c>
    </row>
    <row r="66" spans="2:6" x14ac:dyDescent="0.3">
      <c r="B66" s="4" t="s">
        <v>63</v>
      </c>
      <c r="C66" s="104" t="s">
        <v>62</v>
      </c>
      <c r="D66" s="104"/>
      <c r="E66" s="104"/>
      <c r="F66" s="154">
        <f>F62*$F$65</f>
        <v>280.8</v>
      </c>
    </row>
    <row r="67" spans="2:6" x14ac:dyDescent="0.3">
      <c r="B67" s="4" t="s">
        <v>64</v>
      </c>
      <c r="C67" s="104" t="s">
        <v>62</v>
      </c>
      <c r="D67" s="104"/>
      <c r="E67" s="104"/>
      <c r="F67" s="154">
        <f>F63*$F$65</f>
        <v>597.6</v>
      </c>
    </row>
    <row r="68" spans="2:6" x14ac:dyDescent="0.3">
      <c r="B68" s="4" t="s">
        <v>65</v>
      </c>
      <c r="C68" s="104" t="s">
        <v>62</v>
      </c>
      <c r="D68" s="104"/>
      <c r="E68" s="104"/>
      <c r="F68" s="155">
        <f>F64*$F$65</f>
        <v>450</v>
      </c>
    </row>
    <row r="69" spans="2:6" x14ac:dyDescent="0.3">
      <c r="B69" s="4" t="s">
        <v>56</v>
      </c>
      <c r="C69" s="104" t="s">
        <v>62</v>
      </c>
      <c r="D69" s="104"/>
      <c r="E69" s="104"/>
      <c r="F69" s="111">
        <v>30</v>
      </c>
    </row>
    <row r="70" spans="2:6" x14ac:dyDescent="0.3">
      <c r="B70" s="4" t="s">
        <v>57</v>
      </c>
      <c r="C70" s="104" t="s">
        <v>62</v>
      </c>
      <c r="D70" s="104"/>
      <c r="E70" s="104"/>
      <c r="F70" s="111">
        <v>45</v>
      </c>
    </row>
    <row r="71" spans="2:6" x14ac:dyDescent="0.3">
      <c r="B71" s="54" t="s">
        <v>58</v>
      </c>
      <c r="C71" s="105" t="s">
        <v>62</v>
      </c>
      <c r="D71" s="105"/>
      <c r="E71" s="105"/>
      <c r="F71" s="113">
        <v>40</v>
      </c>
    </row>
  </sheetData>
  <mergeCells count="4">
    <mergeCell ref="M38:R38"/>
    <mergeCell ref="S38:U38"/>
    <mergeCell ref="M39:O39"/>
    <mergeCell ref="P39:R39"/>
  </mergeCells>
  <hyperlinks>
    <hyperlink ref="K3" r:id="rId1" xr:uid="{9622956F-584E-4335-9256-1F6D4C6D3348}"/>
  </hyperlinks>
  <pageMargins left="0.7" right="0.7" top="0.75" bottom="0.75" header="0.3" footer="0.3"/>
  <pageSetup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0C35-FFBA-49C0-9A8B-B4E1C7CCB0C5}">
  <dimension ref="A1:AE145"/>
  <sheetViews>
    <sheetView topLeftCell="A28" zoomScale="85" zoomScaleNormal="85" workbookViewId="0">
      <selection activeCell="B8" sqref="B8"/>
    </sheetView>
  </sheetViews>
  <sheetFormatPr defaultColWidth="9.109375" defaultRowHeight="14.4" x14ac:dyDescent="0.3"/>
  <cols>
    <col min="1" max="1" width="14.33203125" style="1" customWidth="1"/>
    <col min="2" max="2" width="25.88671875" style="1" customWidth="1"/>
    <col min="3" max="3" width="27.109375" style="1" bestFit="1" customWidth="1"/>
    <col min="4" max="4" width="21.6640625" style="1" bestFit="1" customWidth="1"/>
    <col min="5" max="5" width="30.109375" style="1" bestFit="1" customWidth="1"/>
    <col min="6" max="6" width="28.33203125" style="1" bestFit="1" customWidth="1"/>
    <col min="7" max="7" width="21.6640625" style="1" bestFit="1" customWidth="1"/>
    <col min="8" max="8" width="12.6640625" style="1" bestFit="1" customWidth="1"/>
    <col min="9" max="9" width="15.5546875" style="1" customWidth="1"/>
    <col min="10" max="10" width="15.6640625" style="1" customWidth="1"/>
    <col min="11" max="11" width="12.44140625" style="1" customWidth="1"/>
    <col min="12" max="12" width="19.44140625" style="1" customWidth="1"/>
    <col min="13" max="13" width="10.6640625" style="1" customWidth="1"/>
    <col min="14" max="14" width="12.33203125" style="1" customWidth="1"/>
    <col min="15" max="15" width="9.109375" style="1"/>
    <col min="16" max="16" width="20.6640625" style="1" bestFit="1" customWidth="1"/>
    <col min="17" max="17" width="13.5546875" style="1" bestFit="1" customWidth="1"/>
    <col min="18" max="18" width="9.109375" style="1"/>
    <col min="19" max="19" width="20.33203125" style="1" customWidth="1"/>
    <col min="20" max="20" width="18.109375" style="1" bestFit="1" customWidth="1"/>
    <col min="21" max="21" width="10.33203125" style="1" bestFit="1" customWidth="1"/>
    <col min="22" max="22" width="14" style="1" bestFit="1" customWidth="1"/>
    <col min="23" max="23" width="15.5546875" style="1" bestFit="1" customWidth="1"/>
    <col min="24" max="24" width="14" style="1" bestFit="1" customWidth="1"/>
    <col min="25" max="26" width="9.109375" style="1"/>
    <col min="27" max="27" width="11.44140625" style="1" bestFit="1" customWidth="1"/>
    <col min="28" max="28" width="8.88671875" style="1" bestFit="1" customWidth="1"/>
    <col min="29" max="29" width="11.44140625" style="1" bestFit="1" customWidth="1"/>
    <col min="30" max="30" width="3.5546875" style="1" customWidth="1"/>
    <col min="31" max="31" width="15" style="1" bestFit="1" customWidth="1"/>
    <col min="32" max="16384" width="9.109375" style="1"/>
  </cols>
  <sheetData>
    <row r="1" spans="1:31" x14ac:dyDescent="0.3">
      <c r="C1" s="89" t="s">
        <v>112</v>
      </c>
      <c r="D1" s="85"/>
      <c r="E1" s="85" t="s">
        <v>114</v>
      </c>
      <c r="F1" s="90" t="s">
        <v>42</v>
      </c>
      <c r="G1" s="80"/>
      <c r="I1" s="179" t="s">
        <v>38</v>
      </c>
      <c r="J1" s="173"/>
      <c r="K1" s="173" t="s">
        <v>135</v>
      </c>
      <c r="L1" s="173"/>
      <c r="M1" s="175">
        <v>0.9</v>
      </c>
    </row>
    <row r="2" spans="1:31" ht="15" thickBot="1" x14ac:dyDescent="0.35">
      <c r="C2" s="87"/>
      <c r="D2" s="62"/>
      <c r="E2" s="62" t="s">
        <v>113</v>
      </c>
      <c r="F2" s="88" t="s">
        <v>42</v>
      </c>
      <c r="G2" s="80"/>
      <c r="I2" s="180" t="s">
        <v>138</v>
      </c>
      <c r="J2" s="174"/>
      <c r="K2" s="174" t="s">
        <v>136</v>
      </c>
      <c r="L2" s="174"/>
      <c r="M2" s="176">
        <f>5/7</f>
        <v>0.7142857142857143</v>
      </c>
    </row>
    <row r="3" spans="1:31" x14ac:dyDescent="0.3">
      <c r="P3" s="172"/>
      <c r="T3" s="172"/>
      <c r="U3" s="172"/>
      <c r="W3" s="172"/>
      <c r="X3" s="172"/>
    </row>
    <row r="4" spans="1:31" ht="15" thickBot="1" x14ac:dyDescent="0.35">
      <c r="A4" s="1" t="s">
        <v>105</v>
      </c>
      <c r="E4" s="172" t="s">
        <v>140</v>
      </c>
      <c r="K4" s="172" t="s">
        <v>141</v>
      </c>
      <c r="P4" s="172"/>
      <c r="R4" s="201"/>
      <c r="S4" s="172"/>
      <c r="T4" s="172"/>
      <c r="U4" s="172"/>
      <c r="V4" s="172"/>
      <c r="W4" s="172"/>
      <c r="X4" s="172"/>
    </row>
    <row r="5" spans="1:31" ht="18" x14ac:dyDescent="0.35">
      <c r="A5" s="227" t="s">
        <v>133</v>
      </c>
      <c r="B5" s="227" t="s">
        <v>146</v>
      </c>
      <c r="C5" s="227" t="s">
        <v>75</v>
      </c>
      <c r="D5" s="227" t="s">
        <v>45</v>
      </c>
      <c r="E5" s="227" t="s">
        <v>47</v>
      </c>
      <c r="F5" s="227" t="s">
        <v>48</v>
      </c>
      <c r="G5" s="228" t="s">
        <v>49</v>
      </c>
      <c r="I5" s="233" t="s">
        <v>133</v>
      </c>
      <c r="J5" s="227" t="s">
        <v>75</v>
      </c>
      <c r="K5" s="227" t="s">
        <v>45</v>
      </c>
      <c r="L5" s="227" t="s">
        <v>47</v>
      </c>
      <c r="M5" s="227" t="s">
        <v>48</v>
      </c>
      <c r="N5" s="228" t="s">
        <v>49</v>
      </c>
      <c r="P5" s="172"/>
      <c r="Q5" s="200"/>
      <c r="R5" s="172"/>
      <c r="S5" s="200"/>
      <c r="T5" s="172"/>
      <c r="U5" s="172"/>
      <c r="V5" s="172"/>
      <c r="W5" s="172"/>
      <c r="X5" s="172"/>
      <c r="AA5" s="218" t="s">
        <v>153</v>
      </c>
      <c r="AB5" s="205"/>
      <c r="AC5" s="206"/>
      <c r="AE5" s="220" t="s">
        <v>159</v>
      </c>
    </row>
    <row r="6" spans="1:31" x14ac:dyDescent="0.3">
      <c r="A6" s="164"/>
      <c r="B6" s="164" t="s">
        <v>147</v>
      </c>
      <c r="C6" s="164" t="s">
        <v>74</v>
      </c>
      <c r="D6" s="164" t="s">
        <v>73</v>
      </c>
      <c r="E6" s="164" t="s">
        <v>73</v>
      </c>
      <c r="F6" s="164" t="s">
        <v>73</v>
      </c>
      <c r="G6" s="165" t="s">
        <v>73</v>
      </c>
      <c r="I6" s="199"/>
      <c r="J6" s="164" t="s">
        <v>74</v>
      </c>
      <c r="K6" s="164" t="s">
        <v>73</v>
      </c>
      <c r="L6" s="164" t="s">
        <v>73</v>
      </c>
      <c r="M6" s="164" t="s">
        <v>73</v>
      </c>
      <c r="N6" s="165" t="s">
        <v>73</v>
      </c>
      <c r="AA6" s="207"/>
      <c r="AB6" s="63" t="s">
        <v>142</v>
      </c>
      <c r="AC6" s="208" t="s">
        <v>137</v>
      </c>
      <c r="AE6" s="221"/>
    </row>
    <row r="7" spans="1:31" x14ac:dyDescent="0.3">
      <c r="A7" s="171">
        <v>2021</v>
      </c>
      <c r="B7" s="193">
        <f>C79+D79+E79+F79+G79</f>
        <v>0</v>
      </c>
      <c r="C7" s="166">
        <f>C43+H43+M43+R43</f>
        <v>0</v>
      </c>
      <c r="D7" s="166">
        <f>D43+I43+N43+S43</f>
        <v>0</v>
      </c>
      <c r="E7" s="166">
        <f>E43+J43+O43+T43</f>
        <v>0</v>
      </c>
      <c r="F7" s="166">
        <f>F43+K43+P43+U43</f>
        <v>0</v>
      </c>
      <c r="G7" s="167">
        <f>G43+L43+Q43+V43</f>
        <v>0</v>
      </c>
      <c r="H7" s="198">
        <f>((4.57*F7)+D7)/0.15</f>
        <v>0</v>
      </c>
      <c r="I7" s="171">
        <v>2021</v>
      </c>
      <c r="J7" s="177">
        <f t="shared" ref="J7:N8" si="0">C43*$M$1+H43*$M$2+M43*$M$2+R43*$M$2</f>
        <v>0</v>
      </c>
      <c r="K7" s="177">
        <f t="shared" si="0"/>
        <v>0</v>
      </c>
      <c r="L7" s="177">
        <f t="shared" si="0"/>
        <v>0</v>
      </c>
      <c r="M7" s="177">
        <f t="shared" si="0"/>
        <v>0</v>
      </c>
      <c r="N7" s="178">
        <f t="shared" si="0"/>
        <v>0</v>
      </c>
      <c r="P7" s="198"/>
      <c r="Q7" s="198"/>
      <c r="R7" s="202"/>
      <c r="AA7" s="212"/>
      <c r="AB7" s="64" t="s">
        <v>158</v>
      </c>
      <c r="AC7" s="213" t="s">
        <v>158</v>
      </c>
      <c r="AE7" s="222" t="s">
        <v>158</v>
      </c>
    </row>
    <row r="8" spans="1:31" x14ac:dyDescent="0.3">
      <c r="A8" s="171">
        <v>2022</v>
      </c>
      <c r="B8" s="193">
        <f t="shared" ref="B8:B37" si="1">C80+D80+E80+F80+G80</f>
        <v>772.63499999999999</v>
      </c>
      <c r="C8" s="166">
        <f t="shared" ref="C8:C37" si="2">C44+H44+M44+R44</f>
        <v>3.54542885625</v>
      </c>
      <c r="D8" s="166">
        <f t="shared" ref="D8:G8" si="3">D44+I44+N44+S44</f>
        <v>22.282121543478262</v>
      </c>
      <c r="E8" s="166">
        <f t="shared" si="3"/>
        <v>16.740984880434777</v>
      </c>
      <c r="F8" s="166">
        <f t="shared" si="3"/>
        <v>4.9852537745652157</v>
      </c>
      <c r="G8" s="167">
        <f t="shared" si="3"/>
        <v>0.62381878043478256</v>
      </c>
      <c r="H8" s="198">
        <f t="shared" ref="H8:H37" si="4">((4.57*F8)+D8)/0.15</f>
        <v>300.43154195494196</v>
      </c>
      <c r="I8" s="171">
        <v>2022</v>
      </c>
      <c r="J8" s="166">
        <f t="shared" si="0"/>
        <v>2.5324491830357143</v>
      </c>
      <c r="K8" s="166">
        <f t="shared" si="0"/>
        <v>15.915801102484473</v>
      </c>
      <c r="L8" s="166">
        <f t="shared" si="0"/>
        <v>11.957846343167699</v>
      </c>
      <c r="M8" s="166">
        <f t="shared" si="0"/>
        <v>3.5608955532608686</v>
      </c>
      <c r="N8" s="167">
        <f t="shared" si="0"/>
        <v>0.44558484316770186</v>
      </c>
      <c r="P8" s="198"/>
      <c r="Q8" s="198"/>
      <c r="AA8" s="207" t="s">
        <v>154</v>
      </c>
      <c r="AB8" s="210">
        <f>C73+H73</f>
        <v>10.440812562500001</v>
      </c>
      <c r="AC8" s="209">
        <f>C73*M1+H73*M2</f>
        <v>9.2234371625000016</v>
      </c>
      <c r="AE8" s="221">
        <v>11.95</v>
      </c>
    </row>
    <row r="9" spans="1:31" x14ac:dyDescent="0.3">
      <c r="A9" s="171">
        <v>2023</v>
      </c>
      <c r="B9" s="193">
        <f t="shared" si="1"/>
        <v>2103.3849999999998</v>
      </c>
      <c r="C9" s="166">
        <f t="shared" si="2"/>
        <v>10.261594918749999</v>
      </c>
      <c r="D9" s="166">
        <f t="shared" ref="D9:G9" si="5">D45+I45+N45+S45</f>
        <v>73.065142195652172</v>
      </c>
      <c r="E9" s="166">
        <f t="shared" si="5"/>
        <v>48.523394336956507</v>
      </c>
      <c r="F9" s="166">
        <f t="shared" si="5"/>
        <v>14.237754134710139</v>
      </c>
      <c r="G9" s="167">
        <f t="shared" si="5"/>
        <v>1.7763257369565215</v>
      </c>
      <c r="H9" s="198">
        <f t="shared" si="4"/>
        <v>920.87785727518337</v>
      </c>
      <c r="I9" s="171">
        <v>2023</v>
      </c>
      <c r="J9" s="166">
        <f t="shared" ref="J9:J37" si="6">C45*$M$1+H45*$M$2+M45*$M$2+R45*$M$2</f>
        <v>7.7078008919642862</v>
      </c>
      <c r="K9" s="166">
        <f t="shared" ref="K9:K37" si="7">D45*$M$1+I45*$M$2+N45*$M$2+S45*$M$2</f>
        <v>55.951414487577637</v>
      </c>
      <c r="L9" s="166">
        <f t="shared" ref="L9:L37" si="8">E45*$M$1+J45*$M$2+O45*$M$2+T45*$M$2</f>
        <v>36.581225284161476</v>
      </c>
      <c r="M9" s="166">
        <f t="shared" ref="M9:M37" si="9">F45*$M$1+K45*$M$2+P45*$M$2+U45*$M$2</f>
        <v>10.665960487028983</v>
      </c>
      <c r="N9" s="167">
        <f t="shared" ref="N9:N37" si="10">G45*$M$1+L45*$M$2+Q45*$M$2+V45*$M$2</f>
        <v>1.3303937698757762</v>
      </c>
      <c r="P9" s="198"/>
      <c r="Q9" s="198"/>
      <c r="AA9" s="207" t="s">
        <v>155</v>
      </c>
      <c r="AB9" s="211">
        <f>M73</f>
        <v>9.9976702312499999</v>
      </c>
      <c r="AC9" s="209">
        <f>M73*M2</f>
        <v>7.1411930223214286</v>
      </c>
      <c r="AE9" s="221">
        <v>10.01</v>
      </c>
    </row>
    <row r="10" spans="1:31" x14ac:dyDescent="0.3">
      <c r="A10" s="171">
        <v>2024</v>
      </c>
      <c r="B10" s="193">
        <f t="shared" si="1"/>
        <v>3301.6349999999998</v>
      </c>
      <c r="C10" s="166">
        <f t="shared" si="2"/>
        <v>15.760064606249999</v>
      </c>
      <c r="D10" s="166">
        <f t="shared" ref="D10:G10" si="11">D46+I46+N46+S46</f>
        <v>123.99043023913043</v>
      </c>
      <c r="E10" s="166">
        <f t="shared" si="11"/>
        <v>73.758433467391285</v>
      </c>
      <c r="F10" s="166">
        <f t="shared" si="11"/>
        <v>21.969193087608691</v>
      </c>
      <c r="G10" s="167">
        <f t="shared" si="11"/>
        <v>2.7409036173913042</v>
      </c>
      <c r="H10" s="198">
        <f t="shared" si="4"/>
        <v>1495.9309509966811</v>
      </c>
      <c r="I10" s="171">
        <v>2024</v>
      </c>
      <c r="J10" s="166">
        <f t="shared" si="6"/>
        <v>11.635279240178573</v>
      </c>
      <c r="K10" s="166">
        <f t="shared" si="7"/>
        <v>92.326620232919254</v>
      </c>
      <c r="L10" s="166">
        <f t="shared" si="8"/>
        <v>54.606253234472035</v>
      </c>
      <c r="M10" s="166">
        <f t="shared" si="9"/>
        <v>16.18841688195652</v>
      </c>
      <c r="N10" s="167">
        <f t="shared" si="10"/>
        <v>2.0193779701863352</v>
      </c>
      <c r="P10" s="198"/>
      <c r="Q10" s="198"/>
      <c r="AA10" s="212" t="s">
        <v>156</v>
      </c>
      <c r="AB10" s="214">
        <f>R73</f>
        <v>6.4873453124999996</v>
      </c>
      <c r="AC10" s="215">
        <f>R73*M2</f>
        <v>4.6338180803571429</v>
      </c>
      <c r="AE10" s="221">
        <v>6.8</v>
      </c>
    </row>
    <row r="11" spans="1:31" ht="15" thickBot="1" x14ac:dyDescent="0.35">
      <c r="A11" s="171">
        <v>2025</v>
      </c>
      <c r="B11" s="193">
        <f t="shared" si="1"/>
        <v>3606.6349999999998</v>
      </c>
      <c r="C11" s="166">
        <f t="shared" si="2"/>
        <v>17.159633356250001</v>
      </c>
      <c r="D11" s="166">
        <f t="shared" ref="D11:G11" si="12">D47+I47+N47+S47</f>
        <v>134.5697650217391</v>
      </c>
      <c r="E11" s="166">
        <f t="shared" si="12"/>
        <v>80.163437815217378</v>
      </c>
      <c r="F11" s="166">
        <f t="shared" si="12"/>
        <v>23.937137073115935</v>
      </c>
      <c r="G11" s="167">
        <f t="shared" si="12"/>
        <v>2.986352965217391</v>
      </c>
      <c r="H11" s="198">
        <f t="shared" si="4"/>
        <v>1626.4165429725265</v>
      </c>
      <c r="I11" s="171">
        <v>2025</v>
      </c>
      <c r="J11" s="166">
        <f t="shared" si="6"/>
        <v>12.634971204464287</v>
      </c>
      <c r="K11" s="166">
        <f t="shared" si="7"/>
        <v>99.883287934782601</v>
      </c>
      <c r="L11" s="166">
        <f t="shared" si="8"/>
        <v>59.181256340062099</v>
      </c>
      <c r="M11" s="166">
        <f t="shared" si="9"/>
        <v>17.594091157318836</v>
      </c>
      <c r="N11" s="167">
        <f t="shared" si="10"/>
        <v>2.1946989329192546</v>
      </c>
      <c r="P11" s="198"/>
      <c r="Q11" s="198"/>
      <c r="AA11" s="239" t="s">
        <v>157</v>
      </c>
      <c r="AB11" s="240">
        <f>SUM(AB8:AB10)</f>
        <v>26.925828106250002</v>
      </c>
      <c r="AC11" s="241">
        <f>SUM(AC8:AC10)</f>
        <v>20.998448265178574</v>
      </c>
      <c r="AE11" s="238">
        <f>SUM(AE8:AE10)</f>
        <v>28.76</v>
      </c>
    </row>
    <row r="12" spans="1:31" x14ac:dyDescent="0.3">
      <c r="A12" s="171">
        <v>2026</v>
      </c>
      <c r="B12" s="193">
        <f t="shared" si="1"/>
        <v>5044.2350000000006</v>
      </c>
      <c r="C12" s="166">
        <f t="shared" si="2"/>
        <v>26.03102185625</v>
      </c>
      <c r="D12" s="166">
        <f t="shared" ref="D12:G12" si="13">D48+I48+N48+S48</f>
        <v>219.54865197826086</v>
      </c>
      <c r="E12" s="166">
        <f t="shared" si="13"/>
        <v>124.58880868478259</v>
      </c>
      <c r="F12" s="166">
        <f t="shared" si="13"/>
        <v>35.698123803550715</v>
      </c>
      <c r="G12" s="167">
        <f t="shared" si="13"/>
        <v>4.4473248347826084</v>
      </c>
      <c r="H12" s="198">
        <f t="shared" si="4"/>
        <v>2551.2605184032509</v>
      </c>
      <c r="I12" s="171">
        <v>2026</v>
      </c>
      <c r="J12" s="166">
        <f t="shared" si="6"/>
        <v>20.35930094375</v>
      </c>
      <c r="K12" s="166">
        <f t="shared" si="7"/>
        <v>174.39955259316773</v>
      </c>
      <c r="L12" s="166">
        <f t="shared" si="8"/>
        <v>97.974589315217386</v>
      </c>
      <c r="M12" s="166">
        <f t="shared" si="9"/>
        <v>27.813503903115937</v>
      </c>
      <c r="N12" s="167">
        <f t="shared" si="10"/>
        <v>3.4639901652173908</v>
      </c>
      <c r="P12" s="198"/>
      <c r="Q12" s="198"/>
    </row>
    <row r="13" spans="1:31" x14ac:dyDescent="0.3">
      <c r="A13" s="171">
        <v>2027</v>
      </c>
      <c r="B13" s="193">
        <f t="shared" si="1"/>
        <v>5141.7350000000006</v>
      </c>
      <c r="C13" s="166">
        <f t="shared" si="2"/>
        <v>26.478424981250001</v>
      </c>
      <c r="D13" s="166">
        <f t="shared" ref="D13:G13" si="14">D49+I49+N49+S49</f>
        <v>223.80346719565216</v>
      </c>
      <c r="E13" s="166">
        <f t="shared" si="14"/>
        <v>126.70137933695651</v>
      </c>
      <c r="F13" s="166">
        <f t="shared" si="14"/>
        <v>36.327220651376805</v>
      </c>
      <c r="G13" s="167">
        <f t="shared" si="14"/>
        <v>4.5260454869565212</v>
      </c>
      <c r="H13" s="198">
        <f t="shared" si="4"/>
        <v>2598.7924371496279</v>
      </c>
      <c r="I13" s="171">
        <v>2027</v>
      </c>
      <c r="J13" s="166">
        <f t="shared" si="6"/>
        <v>20.678874604464287</v>
      </c>
      <c r="K13" s="166">
        <f t="shared" si="7"/>
        <v>177.43870631987579</v>
      </c>
      <c r="L13" s="166">
        <f t="shared" si="8"/>
        <v>99.483568352484468</v>
      </c>
      <c r="M13" s="166">
        <f t="shared" si="9"/>
        <v>28.262858794420282</v>
      </c>
      <c r="N13" s="167">
        <f t="shared" si="10"/>
        <v>3.5202192024844714</v>
      </c>
      <c r="P13" s="198"/>
      <c r="Q13" s="198"/>
    </row>
    <row r="14" spans="1:31" x14ac:dyDescent="0.3">
      <c r="A14" s="171">
        <v>2028</v>
      </c>
      <c r="B14" s="193">
        <f t="shared" si="1"/>
        <v>5239.2350000000006</v>
      </c>
      <c r="C14" s="166">
        <f t="shared" si="2"/>
        <v>26.925828106250002</v>
      </c>
      <c r="D14" s="166">
        <f t="shared" ref="D14:G14" si="15">D50+I50+N50+S50</f>
        <v>228.05828241304349</v>
      </c>
      <c r="E14" s="166">
        <f t="shared" si="15"/>
        <v>128.81394998913041</v>
      </c>
      <c r="F14" s="166">
        <f t="shared" si="15"/>
        <v>36.956317499202889</v>
      </c>
      <c r="G14" s="167">
        <f t="shared" si="15"/>
        <v>4.604766139130434</v>
      </c>
      <c r="H14" s="198">
        <f t="shared" si="4"/>
        <v>2646.3243558960048</v>
      </c>
      <c r="I14" s="171">
        <v>2028</v>
      </c>
      <c r="J14" s="166">
        <f t="shared" si="6"/>
        <v>20.998448265178574</v>
      </c>
      <c r="K14" s="166">
        <f t="shared" si="7"/>
        <v>180.47786004658388</v>
      </c>
      <c r="L14" s="166">
        <f t="shared" si="8"/>
        <v>100.99254738975155</v>
      </c>
      <c r="M14" s="166">
        <f t="shared" si="9"/>
        <v>28.712213685724631</v>
      </c>
      <c r="N14" s="167">
        <f t="shared" si="10"/>
        <v>3.576448239751552</v>
      </c>
      <c r="P14" s="198"/>
      <c r="Q14" s="198"/>
    </row>
    <row r="15" spans="1:31" x14ac:dyDescent="0.3">
      <c r="A15" s="171">
        <v>2029</v>
      </c>
      <c r="B15" s="193">
        <f t="shared" si="1"/>
        <v>5239.2350000000006</v>
      </c>
      <c r="C15" s="166">
        <f t="shared" si="2"/>
        <v>26.925828106250002</v>
      </c>
      <c r="D15" s="166">
        <f t="shared" ref="D15:G15" si="16">D51+I51+N51+S51</f>
        <v>228.05828241304349</v>
      </c>
      <c r="E15" s="166">
        <f t="shared" si="16"/>
        <v>128.81394998913041</v>
      </c>
      <c r="F15" s="166">
        <f t="shared" si="16"/>
        <v>36.956317499202889</v>
      </c>
      <c r="G15" s="167">
        <f t="shared" si="16"/>
        <v>4.604766139130434</v>
      </c>
      <c r="H15" s="198">
        <f t="shared" si="4"/>
        <v>2646.3243558960048</v>
      </c>
      <c r="I15" s="171">
        <v>2029</v>
      </c>
      <c r="J15" s="166">
        <f t="shared" si="6"/>
        <v>20.998448265178574</v>
      </c>
      <c r="K15" s="166">
        <f t="shared" si="7"/>
        <v>180.47786004658388</v>
      </c>
      <c r="L15" s="166">
        <f t="shared" si="8"/>
        <v>100.99254738975155</v>
      </c>
      <c r="M15" s="166">
        <f t="shared" si="9"/>
        <v>28.712213685724631</v>
      </c>
      <c r="N15" s="167">
        <f t="shared" si="10"/>
        <v>3.576448239751552</v>
      </c>
      <c r="P15" s="198"/>
      <c r="Q15" s="198"/>
    </row>
    <row r="16" spans="1:31" x14ac:dyDescent="0.3">
      <c r="A16" s="171">
        <v>2030</v>
      </c>
      <c r="B16" s="193">
        <f t="shared" si="1"/>
        <v>5239.2350000000006</v>
      </c>
      <c r="C16" s="166">
        <f t="shared" si="2"/>
        <v>26.925828106250002</v>
      </c>
      <c r="D16" s="166">
        <f t="shared" ref="D16:G16" si="17">D52+I52+N52+S52</f>
        <v>228.05828241304349</v>
      </c>
      <c r="E16" s="166">
        <f t="shared" si="17"/>
        <v>128.81394998913041</v>
      </c>
      <c r="F16" s="166">
        <f t="shared" si="17"/>
        <v>36.956317499202889</v>
      </c>
      <c r="G16" s="167">
        <f t="shared" si="17"/>
        <v>4.604766139130434</v>
      </c>
      <c r="H16" s="198">
        <f t="shared" si="4"/>
        <v>2646.3243558960048</v>
      </c>
      <c r="I16" s="171">
        <v>2030</v>
      </c>
      <c r="J16" s="166">
        <f t="shared" si="6"/>
        <v>20.998448265178574</v>
      </c>
      <c r="K16" s="166">
        <f t="shared" si="7"/>
        <v>180.47786004658388</v>
      </c>
      <c r="L16" s="166">
        <f t="shared" si="8"/>
        <v>100.99254738975155</v>
      </c>
      <c r="M16" s="166">
        <f t="shared" si="9"/>
        <v>28.712213685724631</v>
      </c>
      <c r="N16" s="167">
        <f t="shared" si="10"/>
        <v>3.576448239751552</v>
      </c>
      <c r="P16" s="198"/>
      <c r="Q16" s="198"/>
    </row>
    <row r="17" spans="1:17" x14ac:dyDescent="0.3">
      <c r="A17" s="171">
        <v>2031</v>
      </c>
      <c r="B17" s="193">
        <f t="shared" si="1"/>
        <v>5239.2350000000006</v>
      </c>
      <c r="C17" s="166">
        <f t="shared" si="2"/>
        <v>26.925828106250002</v>
      </c>
      <c r="D17" s="166">
        <f t="shared" ref="D17:G17" si="18">D53+I53+N53+S53</f>
        <v>228.05828241304349</v>
      </c>
      <c r="E17" s="166">
        <f t="shared" si="18"/>
        <v>128.81394998913041</v>
      </c>
      <c r="F17" s="166">
        <f t="shared" si="18"/>
        <v>36.956317499202889</v>
      </c>
      <c r="G17" s="167">
        <f t="shared" si="18"/>
        <v>4.604766139130434</v>
      </c>
      <c r="H17" s="198">
        <f t="shared" si="4"/>
        <v>2646.3243558960048</v>
      </c>
      <c r="I17" s="171">
        <v>2031</v>
      </c>
      <c r="J17" s="166">
        <f t="shared" si="6"/>
        <v>20.998448265178574</v>
      </c>
      <c r="K17" s="166">
        <f t="shared" si="7"/>
        <v>180.47786004658388</v>
      </c>
      <c r="L17" s="166">
        <f t="shared" si="8"/>
        <v>100.99254738975155</v>
      </c>
      <c r="M17" s="166">
        <f t="shared" si="9"/>
        <v>28.712213685724631</v>
      </c>
      <c r="N17" s="167">
        <f t="shared" si="10"/>
        <v>3.576448239751552</v>
      </c>
      <c r="P17" s="198"/>
      <c r="Q17" s="198"/>
    </row>
    <row r="18" spans="1:17" x14ac:dyDescent="0.3">
      <c r="A18" s="171">
        <v>2032</v>
      </c>
      <c r="B18" s="193">
        <f t="shared" si="1"/>
        <v>5239.2350000000006</v>
      </c>
      <c r="C18" s="166">
        <f t="shared" si="2"/>
        <v>26.925828106250002</v>
      </c>
      <c r="D18" s="166">
        <f t="shared" ref="D18:G18" si="19">D54+I54+N54+S54</f>
        <v>228.05828241304349</v>
      </c>
      <c r="E18" s="166">
        <f t="shared" si="19"/>
        <v>128.81394998913041</v>
      </c>
      <c r="F18" s="166">
        <f t="shared" si="19"/>
        <v>36.956317499202889</v>
      </c>
      <c r="G18" s="167">
        <f t="shared" si="19"/>
        <v>4.604766139130434</v>
      </c>
      <c r="H18" s="198">
        <f t="shared" si="4"/>
        <v>2646.3243558960048</v>
      </c>
      <c r="I18" s="171">
        <v>2032</v>
      </c>
      <c r="J18" s="166">
        <f t="shared" si="6"/>
        <v>20.998448265178574</v>
      </c>
      <c r="K18" s="166">
        <f t="shared" si="7"/>
        <v>180.47786004658388</v>
      </c>
      <c r="L18" s="166">
        <f t="shared" si="8"/>
        <v>100.99254738975155</v>
      </c>
      <c r="M18" s="166">
        <f t="shared" si="9"/>
        <v>28.712213685724631</v>
      </c>
      <c r="N18" s="167">
        <f t="shared" si="10"/>
        <v>3.576448239751552</v>
      </c>
      <c r="P18" s="198"/>
      <c r="Q18" s="198"/>
    </row>
    <row r="19" spans="1:17" x14ac:dyDescent="0.3">
      <c r="A19" s="171">
        <v>2033</v>
      </c>
      <c r="B19" s="193">
        <f t="shared" si="1"/>
        <v>5239.2350000000006</v>
      </c>
      <c r="C19" s="166">
        <f t="shared" si="2"/>
        <v>26.925828106250002</v>
      </c>
      <c r="D19" s="166">
        <f t="shared" ref="D19:G19" si="20">D55+I55+N55+S55</f>
        <v>228.05828241304349</v>
      </c>
      <c r="E19" s="166">
        <f t="shared" si="20"/>
        <v>128.81394998913041</v>
      </c>
      <c r="F19" s="166">
        <f t="shared" si="20"/>
        <v>36.956317499202889</v>
      </c>
      <c r="G19" s="167">
        <f t="shared" si="20"/>
        <v>4.604766139130434</v>
      </c>
      <c r="H19" s="198">
        <f t="shared" si="4"/>
        <v>2646.3243558960048</v>
      </c>
      <c r="I19" s="171">
        <v>2033</v>
      </c>
      <c r="J19" s="166">
        <f t="shared" si="6"/>
        <v>20.998448265178574</v>
      </c>
      <c r="K19" s="166">
        <f t="shared" si="7"/>
        <v>180.47786004658388</v>
      </c>
      <c r="L19" s="166">
        <f t="shared" si="8"/>
        <v>100.99254738975155</v>
      </c>
      <c r="M19" s="166">
        <f t="shared" si="9"/>
        <v>28.712213685724631</v>
      </c>
      <c r="N19" s="167">
        <f t="shared" si="10"/>
        <v>3.576448239751552</v>
      </c>
      <c r="P19" s="198"/>
      <c r="Q19" s="198"/>
    </row>
    <row r="20" spans="1:17" x14ac:dyDescent="0.3">
      <c r="A20" s="171">
        <v>2034</v>
      </c>
      <c r="B20" s="193">
        <f t="shared" si="1"/>
        <v>5239.2350000000006</v>
      </c>
      <c r="C20" s="166">
        <f t="shared" si="2"/>
        <v>26.925828106250002</v>
      </c>
      <c r="D20" s="166">
        <f t="shared" ref="D20:G20" si="21">D56+I56+N56+S56</f>
        <v>228.05828241304349</v>
      </c>
      <c r="E20" s="166">
        <f t="shared" si="21"/>
        <v>128.81394998913041</v>
      </c>
      <c r="F20" s="166">
        <f t="shared" si="21"/>
        <v>36.956317499202889</v>
      </c>
      <c r="G20" s="167">
        <f t="shared" si="21"/>
        <v>4.604766139130434</v>
      </c>
      <c r="H20" s="198">
        <f t="shared" si="4"/>
        <v>2646.3243558960048</v>
      </c>
      <c r="I20" s="171">
        <v>2034</v>
      </c>
      <c r="J20" s="166">
        <f t="shared" si="6"/>
        <v>20.998448265178574</v>
      </c>
      <c r="K20" s="166">
        <f t="shared" si="7"/>
        <v>180.47786004658388</v>
      </c>
      <c r="L20" s="166">
        <f t="shared" si="8"/>
        <v>100.99254738975155</v>
      </c>
      <c r="M20" s="166">
        <f t="shared" si="9"/>
        <v>28.712213685724631</v>
      </c>
      <c r="N20" s="167">
        <f t="shared" si="10"/>
        <v>3.576448239751552</v>
      </c>
      <c r="P20" s="198"/>
      <c r="Q20" s="198"/>
    </row>
    <row r="21" spans="1:17" x14ac:dyDescent="0.3">
      <c r="A21" s="171">
        <v>2035</v>
      </c>
      <c r="B21" s="193">
        <f t="shared" si="1"/>
        <v>5239.2350000000006</v>
      </c>
      <c r="C21" s="166">
        <f t="shared" si="2"/>
        <v>26.925828106250002</v>
      </c>
      <c r="D21" s="166">
        <f t="shared" ref="D21:G21" si="22">D57+I57+N57+S57</f>
        <v>228.05828241304349</v>
      </c>
      <c r="E21" s="166">
        <f t="shared" si="22"/>
        <v>128.81394998913041</v>
      </c>
      <c r="F21" s="166">
        <f t="shared" si="22"/>
        <v>36.956317499202889</v>
      </c>
      <c r="G21" s="167">
        <f t="shared" si="22"/>
        <v>4.604766139130434</v>
      </c>
      <c r="H21" s="198">
        <f t="shared" si="4"/>
        <v>2646.3243558960048</v>
      </c>
      <c r="I21" s="171">
        <v>2035</v>
      </c>
      <c r="J21" s="166">
        <f t="shared" si="6"/>
        <v>20.998448265178574</v>
      </c>
      <c r="K21" s="166">
        <f t="shared" si="7"/>
        <v>180.47786004658388</v>
      </c>
      <c r="L21" s="166">
        <f t="shared" si="8"/>
        <v>100.99254738975155</v>
      </c>
      <c r="M21" s="166">
        <f t="shared" si="9"/>
        <v>28.712213685724631</v>
      </c>
      <c r="N21" s="167">
        <f t="shared" si="10"/>
        <v>3.576448239751552</v>
      </c>
      <c r="P21" s="198"/>
      <c r="Q21" s="198"/>
    </row>
    <row r="22" spans="1:17" x14ac:dyDescent="0.3">
      <c r="A22" s="171">
        <v>2036</v>
      </c>
      <c r="B22" s="193">
        <f t="shared" si="1"/>
        <v>5239.2350000000006</v>
      </c>
      <c r="C22" s="166">
        <f t="shared" si="2"/>
        <v>26.925828106250002</v>
      </c>
      <c r="D22" s="166">
        <f t="shared" ref="D22:G22" si="23">D58+I58+N58+S58</f>
        <v>228.05828241304349</v>
      </c>
      <c r="E22" s="166">
        <f t="shared" si="23"/>
        <v>128.81394998913041</v>
      </c>
      <c r="F22" s="166">
        <f t="shared" si="23"/>
        <v>36.956317499202889</v>
      </c>
      <c r="G22" s="167">
        <f t="shared" si="23"/>
        <v>4.604766139130434</v>
      </c>
      <c r="H22" s="198">
        <f t="shared" si="4"/>
        <v>2646.3243558960048</v>
      </c>
      <c r="I22" s="171">
        <v>2036</v>
      </c>
      <c r="J22" s="166">
        <f t="shared" si="6"/>
        <v>20.998448265178574</v>
      </c>
      <c r="K22" s="166">
        <f t="shared" si="7"/>
        <v>180.47786004658388</v>
      </c>
      <c r="L22" s="166">
        <f t="shared" si="8"/>
        <v>100.99254738975155</v>
      </c>
      <c r="M22" s="166">
        <f t="shared" si="9"/>
        <v>28.712213685724631</v>
      </c>
      <c r="N22" s="167">
        <f t="shared" si="10"/>
        <v>3.576448239751552</v>
      </c>
      <c r="P22" s="198"/>
      <c r="Q22" s="198"/>
    </row>
    <row r="23" spans="1:17" x14ac:dyDescent="0.3">
      <c r="A23" s="171">
        <v>2037</v>
      </c>
      <c r="B23" s="193">
        <f t="shared" si="1"/>
        <v>5239.2350000000006</v>
      </c>
      <c r="C23" s="166">
        <f t="shared" si="2"/>
        <v>26.925828106250002</v>
      </c>
      <c r="D23" s="166">
        <f t="shared" ref="D23:G23" si="24">D59+I59+N59+S59</f>
        <v>228.05828241304349</v>
      </c>
      <c r="E23" s="166">
        <f t="shared" si="24"/>
        <v>128.81394998913041</v>
      </c>
      <c r="F23" s="166">
        <f t="shared" si="24"/>
        <v>36.956317499202889</v>
      </c>
      <c r="G23" s="167">
        <f t="shared" si="24"/>
        <v>4.604766139130434</v>
      </c>
      <c r="H23" s="198">
        <f t="shared" si="4"/>
        <v>2646.3243558960048</v>
      </c>
      <c r="I23" s="171">
        <v>2037</v>
      </c>
      <c r="J23" s="166">
        <f t="shared" si="6"/>
        <v>20.998448265178574</v>
      </c>
      <c r="K23" s="166">
        <f t="shared" si="7"/>
        <v>180.47786004658388</v>
      </c>
      <c r="L23" s="166">
        <f t="shared" si="8"/>
        <v>100.99254738975155</v>
      </c>
      <c r="M23" s="166">
        <f t="shared" si="9"/>
        <v>28.712213685724631</v>
      </c>
      <c r="N23" s="167">
        <f t="shared" si="10"/>
        <v>3.576448239751552</v>
      </c>
      <c r="P23" s="198"/>
      <c r="Q23" s="198"/>
    </row>
    <row r="24" spans="1:17" x14ac:dyDescent="0.3">
      <c r="A24" s="171">
        <v>2038</v>
      </c>
      <c r="B24" s="193">
        <f t="shared" si="1"/>
        <v>5239.2350000000006</v>
      </c>
      <c r="C24" s="166">
        <f t="shared" si="2"/>
        <v>26.925828106250002</v>
      </c>
      <c r="D24" s="166">
        <f t="shared" ref="D24:G24" si="25">D60+I60+N60+S60</f>
        <v>228.05828241304349</v>
      </c>
      <c r="E24" s="166">
        <f t="shared" si="25"/>
        <v>128.81394998913041</v>
      </c>
      <c r="F24" s="166">
        <f t="shared" si="25"/>
        <v>36.956317499202889</v>
      </c>
      <c r="G24" s="167">
        <f t="shared" si="25"/>
        <v>4.604766139130434</v>
      </c>
      <c r="H24" s="198">
        <f t="shared" si="4"/>
        <v>2646.3243558960048</v>
      </c>
      <c r="I24" s="171">
        <v>2038</v>
      </c>
      <c r="J24" s="166">
        <f t="shared" si="6"/>
        <v>20.998448265178574</v>
      </c>
      <c r="K24" s="166">
        <f t="shared" si="7"/>
        <v>180.47786004658388</v>
      </c>
      <c r="L24" s="166">
        <f t="shared" si="8"/>
        <v>100.99254738975155</v>
      </c>
      <c r="M24" s="166">
        <f t="shared" si="9"/>
        <v>28.712213685724631</v>
      </c>
      <c r="N24" s="167">
        <f t="shared" si="10"/>
        <v>3.576448239751552</v>
      </c>
      <c r="P24" s="198"/>
      <c r="Q24" s="198"/>
    </row>
    <row r="25" spans="1:17" x14ac:dyDescent="0.3">
      <c r="A25" s="171">
        <v>2039</v>
      </c>
      <c r="B25" s="193">
        <f t="shared" si="1"/>
        <v>5239.2350000000006</v>
      </c>
      <c r="C25" s="166">
        <f t="shared" si="2"/>
        <v>26.925828106250002</v>
      </c>
      <c r="D25" s="166">
        <f t="shared" ref="D25:G25" si="26">D61+I61+N61+S61</f>
        <v>228.05828241304349</v>
      </c>
      <c r="E25" s="166">
        <f t="shared" si="26"/>
        <v>128.81394998913041</v>
      </c>
      <c r="F25" s="166">
        <f t="shared" si="26"/>
        <v>36.956317499202889</v>
      </c>
      <c r="G25" s="167">
        <f t="shared" si="26"/>
        <v>4.604766139130434</v>
      </c>
      <c r="H25" s="198">
        <f t="shared" si="4"/>
        <v>2646.3243558960048</v>
      </c>
      <c r="I25" s="171">
        <v>2039</v>
      </c>
      <c r="J25" s="166">
        <f t="shared" si="6"/>
        <v>20.998448265178574</v>
      </c>
      <c r="K25" s="166">
        <f t="shared" si="7"/>
        <v>180.47786004658388</v>
      </c>
      <c r="L25" s="166">
        <f t="shared" si="8"/>
        <v>100.99254738975155</v>
      </c>
      <c r="M25" s="166">
        <f t="shared" si="9"/>
        <v>28.712213685724631</v>
      </c>
      <c r="N25" s="167">
        <f t="shared" si="10"/>
        <v>3.576448239751552</v>
      </c>
      <c r="P25" s="198"/>
      <c r="Q25" s="198"/>
    </row>
    <row r="26" spans="1:17" x14ac:dyDescent="0.3">
      <c r="A26" s="171">
        <v>2040</v>
      </c>
      <c r="B26" s="193">
        <f t="shared" si="1"/>
        <v>5239.2350000000006</v>
      </c>
      <c r="C26" s="166">
        <f t="shared" si="2"/>
        <v>26.925828106250002</v>
      </c>
      <c r="D26" s="166">
        <f t="shared" ref="D26:G26" si="27">D62+I62+N62+S62</f>
        <v>228.05828241304349</v>
      </c>
      <c r="E26" s="166">
        <f t="shared" si="27"/>
        <v>128.81394998913041</v>
      </c>
      <c r="F26" s="166">
        <f t="shared" si="27"/>
        <v>36.956317499202889</v>
      </c>
      <c r="G26" s="167">
        <f t="shared" si="27"/>
        <v>4.604766139130434</v>
      </c>
      <c r="H26" s="198">
        <f t="shared" si="4"/>
        <v>2646.3243558960048</v>
      </c>
      <c r="I26" s="171">
        <v>2040</v>
      </c>
      <c r="J26" s="166">
        <f t="shared" si="6"/>
        <v>20.998448265178574</v>
      </c>
      <c r="K26" s="166">
        <f t="shared" si="7"/>
        <v>180.47786004658388</v>
      </c>
      <c r="L26" s="166">
        <f t="shared" si="8"/>
        <v>100.99254738975155</v>
      </c>
      <c r="M26" s="166">
        <f t="shared" si="9"/>
        <v>28.712213685724631</v>
      </c>
      <c r="N26" s="167">
        <f t="shared" si="10"/>
        <v>3.576448239751552</v>
      </c>
      <c r="P26" s="198"/>
      <c r="Q26" s="198"/>
    </row>
    <row r="27" spans="1:17" x14ac:dyDescent="0.3">
      <c r="A27" s="171">
        <v>2041</v>
      </c>
      <c r="B27" s="193">
        <f t="shared" si="1"/>
        <v>5239.2350000000006</v>
      </c>
      <c r="C27" s="166">
        <f t="shared" si="2"/>
        <v>26.925828106250002</v>
      </c>
      <c r="D27" s="166">
        <f t="shared" ref="D27:G27" si="28">D63+I63+N63+S63</f>
        <v>228.05828241304349</v>
      </c>
      <c r="E27" s="166">
        <f t="shared" si="28"/>
        <v>128.81394998913041</v>
      </c>
      <c r="F27" s="166">
        <f t="shared" si="28"/>
        <v>36.956317499202889</v>
      </c>
      <c r="G27" s="167">
        <f t="shared" si="28"/>
        <v>4.604766139130434</v>
      </c>
      <c r="H27" s="198">
        <f t="shared" si="4"/>
        <v>2646.3243558960048</v>
      </c>
      <c r="I27" s="171">
        <v>2041</v>
      </c>
      <c r="J27" s="166">
        <f t="shared" si="6"/>
        <v>20.998448265178574</v>
      </c>
      <c r="K27" s="166">
        <f t="shared" si="7"/>
        <v>180.47786004658388</v>
      </c>
      <c r="L27" s="166">
        <f t="shared" si="8"/>
        <v>100.99254738975155</v>
      </c>
      <c r="M27" s="166">
        <f t="shared" si="9"/>
        <v>28.712213685724631</v>
      </c>
      <c r="N27" s="167">
        <f t="shared" si="10"/>
        <v>3.576448239751552</v>
      </c>
      <c r="P27" s="198"/>
      <c r="Q27" s="198"/>
    </row>
    <row r="28" spans="1:17" x14ac:dyDescent="0.3">
      <c r="A28" s="171">
        <v>2042</v>
      </c>
      <c r="B28" s="193">
        <f t="shared" si="1"/>
        <v>5239.2350000000006</v>
      </c>
      <c r="C28" s="166">
        <f t="shared" si="2"/>
        <v>26.925828106250002</v>
      </c>
      <c r="D28" s="166">
        <f t="shared" ref="D28:G28" si="29">D64+I64+N64+S64</f>
        <v>228.05828241304349</v>
      </c>
      <c r="E28" s="166">
        <f t="shared" si="29"/>
        <v>128.81394998913041</v>
      </c>
      <c r="F28" s="166">
        <f t="shared" si="29"/>
        <v>36.956317499202889</v>
      </c>
      <c r="G28" s="167">
        <f t="shared" si="29"/>
        <v>4.604766139130434</v>
      </c>
      <c r="H28" s="198">
        <f t="shared" si="4"/>
        <v>2646.3243558960048</v>
      </c>
      <c r="I28" s="171">
        <v>2042</v>
      </c>
      <c r="J28" s="166">
        <f t="shared" si="6"/>
        <v>20.998448265178574</v>
      </c>
      <c r="K28" s="166">
        <f t="shared" si="7"/>
        <v>180.47786004658388</v>
      </c>
      <c r="L28" s="166">
        <f t="shared" si="8"/>
        <v>100.99254738975155</v>
      </c>
      <c r="M28" s="166">
        <f t="shared" si="9"/>
        <v>28.712213685724631</v>
      </c>
      <c r="N28" s="167">
        <f t="shared" si="10"/>
        <v>3.576448239751552</v>
      </c>
      <c r="P28" s="198"/>
      <c r="Q28" s="198"/>
    </row>
    <row r="29" spans="1:17" x14ac:dyDescent="0.3">
      <c r="A29" s="171">
        <v>2043</v>
      </c>
      <c r="B29" s="193">
        <f t="shared" si="1"/>
        <v>5239.2350000000006</v>
      </c>
      <c r="C29" s="166">
        <f t="shared" si="2"/>
        <v>26.925828106250002</v>
      </c>
      <c r="D29" s="166">
        <f t="shared" ref="D29:G29" si="30">D65+I65+N65+S65</f>
        <v>228.05828241304349</v>
      </c>
      <c r="E29" s="166">
        <f t="shared" si="30"/>
        <v>128.81394998913041</v>
      </c>
      <c r="F29" s="166">
        <f t="shared" si="30"/>
        <v>36.956317499202889</v>
      </c>
      <c r="G29" s="167">
        <f t="shared" si="30"/>
        <v>4.604766139130434</v>
      </c>
      <c r="H29" s="198">
        <f t="shared" si="4"/>
        <v>2646.3243558960048</v>
      </c>
      <c r="I29" s="171">
        <v>2043</v>
      </c>
      <c r="J29" s="166">
        <f t="shared" si="6"/>
        <v>20.998448265178574</v>
      </c>
      <c r="K29" s="166">
        <f t="shared" si="7"/>
        <v>180.47786004658388</v>
      </c>
      <c r="L29" s="166">
        <f t="shared" si="8"/>
        <v>100.99254738975155</v>
      </c>
      <c r="M29" s="166">
        <f t="shared" si="9"/>
        <v>28.712213685724631</v>
      </c>
      <c r="N29" s="167">
        <f t="shared" si="10"/>
        <v>3.576448239751552</v>
      </c>
      <c r="P29" s="198"/>
      <c r="Q29" s="198"/>
    </row>
    <row r="30" spans="1:17" x14ac:dyDescent="0.3">
      <c r="A30" s="171">
        <v>2044</v>
      </c>
      <c r="B30" s="193">
        <f t="shared" si="1"/>
        <v>5239.2350000000006</v>
      </c>
      <c r="C30" s="166">
        <f t="shared" si="2"/>
        <v>26.925828106250002</v>
      </c>
      <c r="D30" s="166">
        <f t="shared" ref="D30:G30" si="31">D66+I66+N66+S66</f>
        <v>228.05828241304349</v>
      </c>
      <c r="E30" s="166">
        <f t="shared" si="31"/>
        <v>128.81394998913041</v>
      </c>
      <c r="F30" s="166">
        <f t="shared" si="31"/>
        <v>36.956317499202889</v>
      </c>
      <c r="G30" s="167">
        <f t="shared" si="31"/>
        <v>4.604766139130434</v>
      </c>
      <c r="H30" s="198">
        <f t="shared" si="4"/>
        <v>2646.3243558960048</v>
      </c>
      <c r="I30" s="171">
        <v>2044</v>
      </c>
      <c r="J30" s="166">
        <f t="shared" si="6"/>
        <v>20.998448265178574</v>
      </c>
      <c r="K30" s="166">
        <f t="shared" si="7"/>
        <v>180.47786004658388</v>
      </c>
      <c r="L30" s="166">
        <f t="shared" si="8"/>
        <v>100.99254738975155</v>
      </c>
      <c r="M30" s="166">
        <f t="shared" si="9"/>
        <v>28.712213685724631</v>
      </c>
      <c r="N30" s="167">
        <f t="shared" si="10"/>
        <v>3.576448239751552</v>
      </c>
      <c r="P30" s="198"/>
      <c r="Q30" s="198"/>
    </row>
    <row r="31" spans="1:17" x14ac:dyDescent="0.3">
      <c r="A31" s="171">
        <v>2045</v>
      </c>
      <c r="B31" s="193">
        <f t="shared" si="1"/>
        <v>5239.2350000000006</v>
      </c>
      <c r="C31" s="166">
        <f t="shared" si="2"/>
        <v>26.925828106250002</v>
      </c>
      <c r="D31" s="166">
        <f t="shared" ref="D31:G31" si="32">D67+I67+N67+S67</f>
        <v>228.05828241304349</v>
      </c>
      <c r="E31" s="166">
        <f t="shared" si="32"/>
        <v>128.81394998913041</v>
      </c>
      <c r="F31" s="166">
        <f t="shared" si="32"/>
        <v>36.956317499202889</v>
      </c>
      <c r="G31" s="167">
        <f t="shared" si="32"/>
        <v>4.604766139130434</v>
      </c>
      <c r="H31" s="198">
        <f t="shared" si="4"/>
        <v>2646.3243558960048</v>
      </c>
      <c r="I31" s="171">
        <v>2045</v>
      </c>
      <c r="J31" s="166">
        <f t="shared" si="6"/>
        <v>20.998448265178574</v>
      </c>
      <c r="K31" s="166">
        <f t="shared" si="7"/>
        <v>180.47786004658388</v>
      </c>
      <c r="L31" s="166">
        <f t="shared" si="8"/>
        <v>100.99254738975155</v>
      </c>
      <c r="M31" s="166">
        <f t="shared" si="9"/>
        <v>28.712213685724631</v>
      </c>
      <c r="N31" s="167">
        <f t="shared" si="10"/>
        <v>3.576448239751552</v>
      </c>
      <c r="P31" s="198"/>
      <c r="Q31" s="198"/>
    </row>
    <row r="32" spans="1:17" x14ac:dyDescent="0.3">
      <c r="A32" s="171">
        <v>2046</v>
      </c>
      <c r="B32" s="193">
        <f t="shared" si="1"/>
        <v>5239.2350000000006</v>
      </c>
      <c r="C32" s="166">
        <f t="shared" si="2"/>
        <v>26.925828106250002</v>
      </c>
      <c r="D32" s="166">
        <f t="shared" ref="D32:G32" si="33">D68+I68+N68+S68</f>
        <v>228.05828241304349</v>
      </c>
      <c r="E32" s="166">
        <f t="shared" si="33"/>
        <v>128.81394998913041</v>
      </c>
      <c r="F32" s="166">
        <f t="shared" si="33"/>
        <v>36.956317499202889</v>
      </c>
      <c r="G32" s="167">
        <f t="shared" si="33"/>
        <v>4.604766139130434</v>
      </c>
      <c r="H32" s="198">
        <f t="shared" si="4"/>
        <v>2646.3243558960048</v>
      </c>
      <c r="I32" s="171">
        <v>2046</v>
      </c>
      <c r="J32" s="166">
        <f t="shared" si="6"/>
        <v>20.998448265178574</v>
      </c>
      <c r="K32" s="166">
        <f t="shared" si="7"/>
        <v>180.47786004658388</v>
      </c>
      <c r="L32" s="166">
        <f t="shared" si="8"/>
        <v>100.99254738975155</v>
      </c>
      <c r="M32" s="166">
        <f t="shared" si="9"/>
        <v>28.712213685724631</v>
      </c>
      <c r="N32" s="167">
        <f t="shared" si="10"/>
        <v>3.576448239751552</v>
      </c>
      <c r="P32" s="198"/>
      <c r="Q32" s="198"/>
    </row>
    <row r="33" spans="1:22" x14ac:dyDescent="0.3">
      <c r="A33" s="171">
        <v>2047</v>
      </c>
      <c r="B33" s="193">
        <f t="shared" si="1"/>
        <v>5239.2350000000006</v>
      </c>
      <c r="C33" s="166">
        <f t="shared" si="2"/>
        <v>26.925828106250002</v>
      </c>
      <c r="D33" s="166">
        <f t="shared" ref="D33:G33" si="34">D69+I69+N69+S69</f>
        <v>228.05828241304349</v>
      </c>
      <c r="E33" s="166">
        <f t="shared" si="34"/>
        <v>128.81394998913041</v>
      </c>
      <c r="F33" s="166">
        <f t="shared" si="34"/>
        <v>36.956317499202889</v>
      </c>
      <c r="G33" s="167">
        <f t="shared" si="34"/>
        <v>4.604766139130434</v>
      </c>
      <c r="H33" s="198">
        <f t="shared" si="4"/>
        <v>2646.3243558960048</v>
      </c>
      <c r="I33" s="171">
        <v>2047</v>
      </c>
      <c r="J33" s="166">
        <f t="shared" si="6"/>
        <v>20.998448265178574</v>
      </c>
      <c r="K33" s="166">
        <f t="shared" si="7"/>
        <v>180.47786004658388</v>
      </c>
      <c r="L33" s="166">
        <f t="shared" si="8"/>
        <v>100.99254738975155</v>
      </c>
      <c r="M33" s="166">
        <f t="shared" si="9"/>
        <v>28.712213685724631</v>
      </c>
      <c r="N33" s="167">
        <f t="shared" si="10"/>
        <v>3.576448239751552</v>
      </c>
      <c r="P33" s="198"/>
      <c r="Q33" s="198"/>
    </row>
    <row r="34" spans="1:22" x14ac:dyDescent="0.3">
      <c r="A34" s="171">
        <v>2048</v>
      </c>
      <c r="B34" s="193">
        <f t="shared" si="1"/>
        <v>5239.2350000000006</v>
      </c>
      <c r="C34" s="166">
        <f t="shared" si="2"/>
        <v>26.925828106250002</v>
      </c>
      <c r="D34" s="166">
        <f t="shared" ref="D34:G34" si="35">D70+I70+N70+S70</f>
        <v>228.05828241304349</v>
      </c>
      <c r="E34" s="166">
        <f t="shared" si="35"/>
        <v>128.81394998913041</v>
      </c>
      <c r="F34" s="166">
        <f t="shared" si="35"/>
        <v>36.956317499202889</v>
      </c>
      <c r="G34" s="167">
        <f t="shared" si="35"/>
        <v>4.604766139130434</v>
      </c>
      <c r="H34" s="198">
        <f t="shared" si="4"/>
        <v>2646.3243558960048</v>
      </c>
      <c r="I34" s="171">
        <v>2048</v>
      </c>
      <c r="J34" s="166">
        <f t="shared" si="6"/>
        <v>20.998448265178574</v>
      </c>
      <c r="K34" s="166">
        <f t="shared" si="7"/>
        <v>180.47786004658388</v>
      </c>
      <c r="L34" s="166">
        <f t="shared" si="8"/>
        <v>100.99254738975155</v>
      </c>
      <c r="M34" s="166">
        <f t="shared" si="9"/>
        <v>28.712213685724631</v>
      </c>
      <c r="N34" s="167">
        <f t="shared" si="10"/>
        <v>3.576448239751552</v>
      </c>
      <c r="P34" s="198"/>
      <c r="Q34" s="198"/>
    </row>
    <row r="35" spans="1:22" x14ac:dyDescent="0.3">
      <c r="A35" s="171">
        <v>2049</v>
      </c>
      <c r="B35" s="193">
        <f t="shared" si="1"/>
        <v>5239.2350000000006</v>
      </c>
      <c r="C35" s="166">
        <f t="shared" si="2"/>
        <v>26.925828106250002</v>
      </c>
      <c r="D35" s="166">
        <f t="shared" ref="D35:G35" si="36">D71+I71+N71+S71</f>
        <v>228.05828241304349</v>
      </c>
      <c r="E35" s="166">
        <f t="shared" si="36"/>
        <v>128.81394998913041</v>
      </c>
      <c r="F35" s="166">
        <f t="shared" si="36"/>
        <v>36.956317499202889</v>
      </c>
      <c r="G35" s="167">
        <f t="shared" si="36"/>
        <v>4.604766139130434</v>
      </c>
      <c r="H35" s="198">
        <f t="shared" si="4"/>
        <v>2646.3243558960048</v>
      </c>
      <c r="I35" s="171">
        <v>2049</v>
      </c>
      <c r="J35" s="166">
        <f t="shared" si="6"/>
        <v>20.998448265178574</v>
      </c>
      <c r="K35" s="166">
        <f t="shared" si="7"/>
        <v>180.47786004658388</v>
      </c>
      <c r="L35" s="166">
        <f t="shared" si="8"/>
        <v>100.99254738975155</v>
      </c>
      <c r="M35" s="166">
        <f t="shared" si="9"/>
        <v>28.712213685724631</v>
      </c>
      <c r="N35" s="167">
        <f t="shared" si="10"/>
        <v>3.576448239751552</v>
      </c>
      <c r="P35" s="198"/>
      <c r="Q35" s="198"/>
    </row>
    <row r="36" spans="1:22" x14ac:dyDescent="0.3">
      <c r="A36" s="171">
        <v>2050</v>
      </c>
      <c r="B36" s="193">
        <f t="shared" si="1"/>
        <v>5239.2350000000006</v>
      </c>
      <c r="C36" s="166">
        <f t="shared" si="2"/>
        <v>26.925828106250002</v>
      </c>
      <c r="D36" s="166">
        <f t="shared" ref="D36:G36" si="37">D72+I72+N72+S72</f>
        <v>228.05828241304349</v>
      </c>
      <c r="E36" s="166">
        <f t="shared" si="37"/>
        <v>128.81394998913041</v>
      </c>
      <c r="F36" s="166">
        <f t="shared" si="37"/>
        <v>36.956317499202889</v>
      </c>
      <c r="G36" s="167">
        <f t="shared" si="37"/>
        <v>4.604766139130434</v>
      </c>
      <c r="H36" s="198">
        <f t="shared" si="4"/>
        <v>2646.3243558960048</v>
      </c>
      <c r="I36" s="171">
        <v>2050</v>
      </c>
      <c r="J36" s="166">
        <f t="shared" si="6"/>
        <v>20.998448265178574</v>
      </c>
      <c r="K36" s="166">
        <f t="shared" si="7"/>
        <v>180.47786004658388</v>
      </c>
      <c r="L36" s="166">
        <f t="shared" si="8"/>
        <v>100.99254738975155</v>
      </c>
      <c r="M36" s="166">
        <f t="shared" si="9"/>
        <v>28.712213685724631</v>
      </c>
      <c r="N36" s="167">
        <f t="shared" si="10"/>
        <v>3.576448239751552</v>
      </c>
      <c r="P36" s="198"/>
      <c r="Q36" s="198"/>
    </row>
    <row r="37" spans="1:22" x14ac:dyDescent="0.3">
      <c r="A37" s="171">
        <v>2051</v>
      </c>
      <c r="B37" s="194">
        <f t="shared" si="1"/>
        <v>5239.2350000000006</v>
      </c>
      <c r="C37" s="168">
        <f t="shared" si="2"/>
        <v>26.925828106250002</v>
      </c>
      <c r="D37" s="168">
        <f t="shared" ref="D37:G37" si="38">D73+I73+N73+S73</f>
        <v>228.05828241304349</v>
      </c>
      <c r="E37" s="168">
        <f t="shared" si="38"/>
        <v>128.81394998913041</v>
      </c>
      <c r="F37" s="168">
        <f t="shared" si="38"/>
        <v>36.956317499202889</v>
      </c>
      <c r="G37" s="169">
        <f t="shared" si="38"/>
        <v>4.604766139130434</v>
      </c>
      <c r="H37" s="198">
        <f t="shared" si="4"/>
        <v>2646.3243558960048</v>
      </c>
      <c r="I37" s="171">
        <v>2051</v>
      </c>
      <c r="J37" s="168">
        <f t="shared" si="6"/>
        <v>20.998448265178574</v>
      </c>
      <c r="K37" s="168">
        <f t="shared" si="7"/>
        <v>180.47786004658388</v>
      </c>
      <c r="L37" s="168">
        <f t="shared" si="8"/>
        <v>100.99254738975155</v>
      </c>
      <c r="M37" s="168">
        <f t="shared" si="9"/>
        <v>28.712213685724631</v>
      </c>
      <c r="N37" s="169">
        <f t="shared" si="10"/>
        <v>3.576448239751552</v>
      </c>
      <c r="P37" s="198"/>
      <c r="Q37" s="198"/>
    </row>
    <row r="38" spans="1:22" x14ac:dyDescent="0.3">
      <c r="A38" s="3"/>
      <c r="B38" s="3"/>
      <c r="C38" s="14"/>
      <c r="D38" s="14"/>
      <c r="E38" s="14"/>
      <c r="F38" s="14"/>
      <c r="G38" s="14"/>
      <c r="H38" s="198">
        <f>SUM(H7:H37)</f>
        <v>73005.49439025631</v>
      </c>
      <c r="I38" s="79" t="s">
        <v>157</v>
      </c>
      <c r="J38" s="271">
        <f>SUM(J7:J37)*365</f>
        <v>211521.67356773218</v>
      </c>
      <c r="K38" s="79" t="s">
        <v>152</v>
      </c>
    </row>
    <row r="39" spans="1:22" x14ac:dyDescent="0.3">
      <c r="A39" s="1" t="s">
        <v>106</v>
      </c>
    </row>
    <row r="40" spans="1:22" x14ac:dyDescent="0.3">
      <c r="A40" s="83"/>
      <c r="B40" s="191"/>
      <c r="C40" s="290" t="s">
        <v>76</v>
      </c>
      <c r="D40" s="290"/>
      <c r="E40" s="290"/>
      <c r="F40" s="290"/>
      <c r="G40" s="291"/>
      <c r="H40" s="289" t="s">
        <v>77</v>
      </c>
      <c r="I40" s="290"/>
      <c r="J40" s="290"/>
      <c r="K40" s="290"/>
      <c r="L40" s="291"/>
      <c r="M40" s="290" t="s">
        <v>78</v>
      </c>
      <c r="N40" s="290"/>
      <c r="O40" s="290"/>
      <c r="P40" s="290"/>
      <c r="Q40" s="290"/>
      <c r="R40" s="289" t="s">
        <v>139</v>
      </c>
      <c r="S40" s="290"/>
      <c r="T40" s="290"/>
      <c r="U40" s="290"/>
      <c r="V40" s="291"/>
    </row>
    <row r="41" spans="1:22" x14ac:dyDescent="0.3">
      <c r="A41" s="255"/>
      <c r="B41" s="226"/>
      <c r="C41" s="230" t="s">
        <v>75</v>
      </c>
      <c r="D41" s="231" t="s">
        <v>45</v>
      </c>
      <c r="E41" s="231" t="s">
        <v>47</v>
      </c>
      <c r="F41" s="231" t="s">
        <v>48</v>
      </c>
      <c r="G41" s="232" t="s">
        <v>49</v>
      </c>
      <c r="H41" s="230" t="s">
        <v>75</v>
      </c>
      <c r="I41" s="231" t="s">
        <v>45</v>
      </c>
      <c r="J41" s="231" t="s">
        <v>47</v>
      </c>
      <c r="K41" s="231" t="s">
        <v>48</v>
      </c>
      <c r="L41" s="232" t="s">
        <v>49</v>
      </c>
      <c r="M41" s="231" t="s">
        <v>75</v>
      </c>
      <c r="N41" s="231" t="s">
        <v>45</v>
      </c>
      <c r="O41" s="231" t="s">
        <v>47</v>
      </c>
      <c r="P41" s="231" t="s">
        <v>48</v>
      </c>
      <c r="Q41" s="232" t="s">
        <v>49</v>
      </c>
      <c r="R41" s="231" t="s">
        <v>75</v>
      </c>
      <c r="S41" s="231" t="s">
        <v>45</v>
      </c>
      <c r="T41" s="231" t="s">
        <v>47</v>
      </c>
      <c r="U41" s="231" t="s">
        <v>48</v>
      </c>
      <c r="V41" s="232" t="s">
        <v>49</v>
      </c>
    </row>
    <row r="42" spans="1:22" x14ac:dyDescent="0.3">
      <c r="A42" s="84"/>
      <c r="B42" s="84"/>
      <c r="C42" s="84" t="s">
        <v>74</v>
      </c>
      <c r="D42" s="58" t="s">
        <v>73</v>
      </c>
      <c r="E42" s="58" t="s">
        <v>73</v>
      </c>
      <c r="F42" s="58" t="s">
        <v>73</v>
      </c>
      <c r="G42" s="61" t="s">
        <v>73</v>
      </c>
      <c r="H42" s="84" t="s">
        <v>74</v>
      </c>
      <c r="I42" s="58" t="s">
        <v>73</v>
      </c>
      <c r="J42" s="58" t="s">
        <v>73</v>
      </c>
      <c r="K42" s="58" t="s">
        <v>73</v>
      </c>
      <c r="L42" s="61" t="s">
        <v>73</v>
      </c>
      <c r="M42" s="58" t="s">
        <v>74</v>
      </c>
      <c r="N42" s="58" t="s">
        <v>73</v>
      </c>
      <c r="O42" s="58" t="s">
        <v>73</v>
      </c>
      <c r="P42" s="58" t="s">
        <v>73</v>
      </c>
      <c r="Q42" s="61" t="s">
        <v>73</v>
      </c>
      <c r="R42" s="58" t="s">
        <v>74</v>
      </c>
      <c r="S42" s="58" t="s">
        <v>73</v>
      </c>
      <c r="T42" s="58" t="s">
        <v>73</v>
      </c>
      <c r="U42" s="58" t="s">
        <v>73</v>
      </c>
      <c r="V42" s="61" t="s">
        <v>73</v>
      </c>
    </row>
    <row r="43" spans="1:22" x14ac:dyDescent="0.3">
      <c r="A43" s="171">
        <v>2021</v>
      </c>
      <c r="B43" s="4"/>
      <c r="C43" s="13">
        <f>((C79*VLOOKUP($F$2,'Uitgangspunten debiet+ vrachten'!$B$23:$F$25,5,)+D79*VLOOKUP($F$1,'Uitgangspunten debiet+ vrachten'!$B$23:$F$25,4,))+(C79*('Uitgangspunten debiet+ vrachten'!$D$27+'Uitgangspunten debiet+ vrachten'!$D$28))+'ZW Vrachten door de tijd'!D79*('Uitgangspunten debiet+ vrachten'!$E$27+'Uitgangspunten debiet+ vrachten'!$E$28))/1000</f>
        <v>0</v>
      </c>
      <c r="D43" s="14">
        <f>('Uitgangspunten debiet+ vrachten'!$E$32*D79+'Uitgangspunten debiet+ vrachten'!$F$32*'ZW Vrachten door de tijd'!C79+C79*'Uitgangspunten debiet+ vrachten'!$F$48+'ZW Vrachten door de tijd'!D79*'Uitgangspunten debiet+ vrachten'!$E$48)/1000</f>
        <v>0</v>
      </c>
      <c r="E43" s="14">
        <f>('Uitgangspunten debiet+ vrachten'!$E$34*D79+'Uitgangspunten debiet+ vrachten'!$F$34*'ZW Vrachten door de tijd'!C79+C79*'Uitgangspunten debiet+ vrachten'!$F$50+'ZW Vrachten door de tijd'!D79*'Uitgangspunten debiet+ vrachten'!$E$50)/1000</f>
        <v>0</v>
      </c>
      <c r="F43" s="14">
        <f>(('Uitgangspunten debiet+ vrachten'!$E$35+'Uitgangspunten debiet+ vrachten'!$E$51)*D79+('Uitgangspunten debiet+ vrachten'!$F$35+'Uitgangspunten debiet+ vrachten'!$F$51)*'ZW Vrachten door de tijd'!C79)/1000</f>
        <v>0</v>
      </c>
      <c r="G43" s="15">
        <f>(('Uitgangspunten debiet+ vrachten'!$E$36+'Uitgangspunten debiet+ vrachten'!$E$52)*D79+('Uitgangspunten debiet+ vrachten'!$F$36+'Uitgangspunten debiet+ vrachten'!$F$52)*'ZW Vrachten door de tijd'!C79)/1000</f>
        <v>0</v>
      </c>
      <c r="H43" s="13">
        <f>(E79*VLOOKUP($F$1,'Uitgangspunten debiet+ vrachten'!$B$23:$F$25,4,)+E79*('Uitgangspunten debiet+ vrachten'!$E$27+'Uitgangspunten debiet+ vrachten'!$E$28))/1000</f>
        <v>0</v>
      </c>
      <c r="I43" s="14">
        <f>('Uitgangspunten debiet+ vrachten'!$E$32*'ZW Vrachten door de tijd'!E79+'Uitgangspunten debiet+ vrachten'!$E$48*'ZW Vrachten door de tijd'!E79)/1000</f>
        <v>0</v>
      </c>
      <c r="J43" s="14">
        <f>('Uitgangspunten debiet+ vrachten'!$E$34*'ZW Vrachten door de tijd'!E79+E79*'Uitgangspunten debiet+ vrachten'!$E$50)/1000</f>
        <v>0</v>
      </c>
      <c r="K43" s="14">
        <f>('Uitgangspunten debiet+ vrachten'!$E$35*E79+E79*'Uitgangspunten debiet+ vrachten'!$E$51)/1000</f>
        <v>0</v>
      </c>
      <c r="L43" s="15">
        <f>('Uitgangspunten debiet+ vrachten'!$E$36*'ZW Vrachten door de tijd'!E79+E79*'Uitgangspunten debiet+ vrachten'!$E$44)/1000</f>
        <v>0</v>
      </c>
      <c r="M43" s="13">
        <f>(F79*VLOOKUP($F$1,'Uitgangspunten debiet+ vrachten'!$B$23:$F$25,4,)+F79*('Uitgangspunten debiet+ vrachten'!$E$27+'Uitgangspunten debiet+ vrachten'!$E$28))/1000</f>
        <v>0</v>
      </c>
      <c r="N43" s="14">
        <f>('Uitgangspunten debiet+ vrachten'!$E$32*'ZW Vrachten door de tijd'!F79+F79*'Uitgangspunten debiet+ vrachten'!$E$48)/1000</f>
        <v>0</v>
      </c>
      <c r="O43" s="14">
        <f>('Uitgangspunten debiet+ vrachten'!$E$34*'ZW Vrachten door de tijd'!F79+F79*'Uitgangspunten debiet+ vrachten'!$E$50)/1000</f>
        <v>0</v>
      </c>
      <c r="P43" s="14">
        <f>('Uitgangspunten debiet+ vrachten'!$E$35*F79+F79*'Uitgangspunten debiet+ vrachten'!$E$51)/1000</f>
        <v>0</v>
      </c>
      <c r="Q43" s="15">
        <f>('Uitgangspunten debiet+ vrachten'!$E$36*'ZW Vrachten door de tijd'!F79+F79*'Uitgangspunten debiet+ vrachten'!$E$52)/1000</f>
        <v>0</v>
      </c>
      <c r="R43" s="13">
        <f>(G79*VLOOKUP($F$1,'Uitgangspunten debiet+ vrachten'!$B$23:$F$25,4,)+G79*('Uitgangspunten debiet+ vrachten'!$E$27+'Uitgangspunten debiet+ vrachten'!$E$28))/1000</f>
        <v>0</v>
      </c>
      <c r="S43" s="14">
        <f>('Uitgangspunten debiet+ vrachten'!$E$32*'ZW Vrachten door de tijd'!G79+G79*'Uitgangspunten debiet+ vrachten'!$E$48)/1000</f>
        <v>0</v>
      </c>
      <c r="T43" s="14">
        <f>('Uitgangspunten debiet+ vrachten'!$E$34*'ZW Vrachten door de tijd'!G79+G79*'Uitgangspunten debiet+ vrachten'!$E$50)/1000</f>
        <v>0</v>
      </c>
      <c r="U43" s="14">
        <f>('Uitgangspunten debiet+ vrachten'!$E$35*G79+G79*'Uitgangspunten debiet+ vrachten'!$E$51)/1000</f>
        <v>0</v>
      </c>
      <c r="V43" s="15">
        <f>('Uitgangspunten debiet+ vrachten'!$E$36*'ZW Vrachten door de tijd'!G79+G79*'Uitgangspunten debiet+ vrachten'!$E$52)/1000</f>
        <v>0</v>
      </c>
    </row>
    <row r="44" spans="1:22" x14ac:dyDescent="0.3">
      <c r="A44" s="171">
        <v>2022</v>
      </c>
      <c r="B44" s="4"/>
      <c r="C44" s="13">
        <f>((C80*VLOOKUP($F$2,'Uitgangspunten debiet+ vrachten'!$B$23:$F$25,5,)+D80*VLOOKUP($F$1,'Uitgangspunten debiet+ vrachten'!$B$23:$F$25,4,))+(C80*('Uitgangspunten debiet+ vrachten'!$D$27+'Uitgangspunten debiet+ vrachten'!$D$28))+'ZW Vrachten door de tijd'!D80*('Uitgangspunten debiet+ vrachten'!$E$27+'Uitgangspunten debiet+ vrachten'!$E$28))/1000</f>
        <v>0</v>
      </c>
      <c r="D44" s="14">
        <f>('Uitgangspunten debiet+ vrachten'!$E$32*D80+'Uitgangspunten debiet+ vrachten'!$F$32*'ZW Vrachten door de tijd'!C80+C80*'Uitgangspunten debiet+ vrachten'!$F$48+'ZW Vrachten door de tijd'!D80*'Uitgangspunten debiet+ vrachten'!$E$48)/1000</f>
        <v>0</v>
      </c>
      <c r="E44" s="14">
        <f>('Uitgangspunten debiet+ vrachten'!$E$34*D80+'Uitgangspunten debiet+ vrachten'!$F$34*'ZW Vrachten door de tijd'!C80+C80*'Uitgangspunten debiet+ vrachten'!$F$50+'ZW Vrachten door de tijd'!D80*'Uitgangspunten debiet+ vrachten'!$E$50)/1000</f>
        <v>0</v>
      </c>
      <c r="F44" s="14">
        <f>(('Uitgangspunten debiet+ vrachten'!$E$35+'Uitgangspunten debiet+ vrachten'!$E$51)*D80+('Uitgangspunten debiet+ vrachten'!$F$35+'Uitgangspunten debiet+ vrachten'!$F$51)*'ZW Vrachten door de tijd'!C80)/1000</f>
        <v>0</v>
      </c>
      <c r="G44" s="15">
        <f>(('Uitgangspunten debiet+ vrachten'!$E$36+'Uitgangspunten debiet+ vrachten'!$E$52)*D80+('Uitgangspunten debiet+ vrachten'!$F$36+'Uitgangspunten debiet+ vrachten'!$F$52)*'ZW Vrachten door de tijd'!C80)/1000</f>
        <v>0</v>
      </c>
      <c r="H44" s="13">
        <f>(E80*VLOOKUP($F$1,'Uitgangspunten debiet+ vrachten'!$B$23:$F$25,4,)+E80*('Uitgangspunten debiet+ vrachten'!$E$27+'Uitgangspunten debiet+ vrachten'!$E$28))/1000</f>
        <v>0</v>
      </c>
      <c r="I44" s="14">
        <f>('Uitgangspunten debiet+ vrachten'!$E$32*'ZW Vrachten door de tijd'!E80+'Uitgangspunten debiet+ vrachten'!$E$48*'ZW Vrachten door de tijd'!E80)/1000</f>
        <v>0</v>
      </c>
      <c r="J44" s="14">
        <f>'Uitgangspunten debiet+ vrachten'!$E$34*'ZW Vrachten door de tijd'!E80/1000</f>
        <v>0</v>
      </c>
      <c r="K44" s="14">
        <f>('Uitgangspunten debiet+ vrachten'!$E$35*E80+E80*'Uitgangspunten debiet+ vrachten'!$E$51)/1000</f>
        <v>0</v>
      </c>
      <c r="L44" s="15">
        <f>('Uitgangspunten debiet+ vrachten'!$E$36*'ZW Vrachten door de tijd'!E80+E80*'Uitgangspunten debiet+ vrachten'!$E$44)/1000</f>
        <v>0</v>
      </c>
      <c r="M44" s="13">
        <f>(F80*VLOOKUP($F$1,'Uitgangspunten debiet+ vrachten'!$B$23:$F$25,4,)+F80*('Uitgangspunten debiet+ vrachten'!$E$27+'Uitgangspunten debiet+ vrachten'!$E$28))/1000</f>
        <v>3.54542885625</v>
      </c>
      <c r="N44" s="14">
        <f>'Uitgangspunten debiet+ vrachten'!$E$32*'ZW Vrachten door de tijd'!F80/1000</f>
        <v>22.282121543478262</v>
      </c>
      <c r="O44" s="14">
        <f>('Uitgangspunten debiet+ vrachten'!$E$34*'ZW Vrachten door de tijd'!F80+F80*'Uitgangspunten debiet+ vrachten'!$E$50)/1000</f>
        <v>16.740984880434777</v>
      </c>
      <c r="P44" s="14">
        <f>('Uitgangspunten debiet+ vrachten'!$E$35*F80+F80*'Uitgangspunten debiet+ vrachten'!$E$51)/1000</f>
        <v>4.9852537745652157</v>
      </c>
      <c r="Q44" s="15">
        <f>('Uitgangspunten debiet+ vrachten'!$E$36*'ZW Vrachten door de tijd'!F80+F80*'Uitgangspunten debiet+ vrachten'!$E$52)/1000</f>
        <v>0.62381878043478256</v>
      </c>
      <c r="R44" s="13">
        <f>(G80*VLOOKUP($F$1,'Uitgangspunten debiet+ vrachten'!$B$23:$F$25,4,)+G80*('Uitgangspunten debiet+ vrachten'!$E$27+'Uitgangspunten debiet+ vrachten'!$E$28))/1000</f>
        <v>0</v>
      </c>
      <c r="S44" s="14">
        <f>('Uitgangspunten debiet+ vrachten'!$E$32*'ZW Vrachten door de tijd'!G80+G80*'Uitgangspunten debiet+ vrachten'!$E$48)/1000</f>
        <v>0</v>
      </c>
      <c r="T44" s="14">
        <f>('Uitgangspunten debiet+ vrachten'!$E$34*'ZW Vrachten door de tijd'!G80+G80*'Uitgangspunten debiet+ vrachten'!$E$50)/1000</f>
        <v>0</v>
      </c>
      <c r="U44" s="14">
        <f>('Uitgangspunten debiet+ vrachten'!$E$35*G80+G80*'Uitgangspunten debiet+ vrachten'!$E$51)/1000</f>
        <v>0</v>
      </c>
      <c r="V44" s="15">
        <f>('Uitgangspunten debiet+ vrachten'!$E$36*'ZW Vrachten door de tijd'!G80+G80*'Uitgangspunten debiet+ vrachten'!$E$52)/1000</f>
        <v>0</v>
      </c>
    </row>
    <row r="45" spans="1:22" x14ac:dyDescent="0.3">
      <c r="A45" s="171">
        <v>2023</v>
      </c>
      <c r="B45" s="4"/>
      <c r="C45" s="13">
        <f>((C81*VLOOKUP($F$2,'Uitgangspunten debiet+ vrachten'!$B$23:$F$25,5,)+D81*VLOOKUP($F$1,'Uitgangspunten debiet+ vrachten'!$B$23:$F$25,4,))+(C81*('Uitgangspunten debiet+ vrachten'!$D$27+'Uitgangspunten debiet+ vrachten'!$D$28))+'ZW Vrachten door de tijd'!D81*('Uitgangspunten debiet+ vrachten'!$E$27+'Uitgangspunten debiet+ vrachten'!$E$28))/1000</f>
        <v>2.0358705000000001</v>
      </c>
      <c r="D45" s="14">
        <f>('Uitgangspunten debiet+ vrachten'!$E$32*D81+'Uitgangspunten debiet+ vrachten'!$F$32*'ZW Vrachten door de tijd'!C81+C81*'Uitgangspunten debiet+ vrachten'!$F$48+'ZW Vrachten door de tijd'!D81*'Uitgangspunten debiet+ vrachten'!$E$48)/1000</f>
        <v>20.257069565217389</v>
      </c>
      <c r="E45" s="14">
        <f>('Uitgangspunten debiet+ vrachten'!$E$34*D81+'Uitgangspunten debiet+ vrachten'!$F$34*'ZW Vrachten door de tijd'!C81+C81*'Uitgangspunten debiet+ vrachten'!$F$50+'ZW Vrachten door de tijd'!D81*'Uitgangspunten debiet+ vrachten'!$E$50)/1000</f>
        <v>10.347388695652171</v>
      </c>
      <c r="F45" s="14">
        <f>(('Uitgangspunten debiet+ vrachten'!$E$35+'Uitgangspunten debiet+ vrachten'!$E$51)*D81+('Uitgangspunten debiet+ vrachten'!$F$35+'Uitgangspunten debiet+ vrachten'!$F$51)*'ZW Vrachten door de tijd'!C81)/1000</f>
        <v>2.6715021043478253</v>
      </c>
      <c r="G45" s="15">
        <f>(('Uitgangspunten debiet+ vrachten'!$E$36+'Uitgangspunten debiet+ vrachten'!$E$52)*D81+('Uitgangspunten debiet+ vrachten'!$F$36+'Uitgangspunten debiet+ vrachten'!$F$52)*'ZW Vrachten door de tijd'!C81)/1000</f>
        <v>0.33163669565217391</v>
      </c>
      <c r="H45" s="13">
        <f>(E81*VLOOKUP($F$1,'Uitgangspunten debiet+ vrachten'!$B$23:$F$25,4,)+E81*('Uitgangspunten debiet+ vrachten'!$E$27+'Uitgangspunten debiet+ vrachten'!$E$28))/1000</f>
        <v>0.34461512500000002</v>
      </c>
      <c r="I45" s="14">
        <f>('Uitgangspunten debiet+ vrachten'!$E$32*'ZW Vrachten door de tijd'!E81+'Uitgangspunten debiet+ vrachten'!$E$48*'ZW Vrachten door de tijd'!E81)/1000</f>
        <v>3.2772986956521746</v>
      </c>
      <c r="J45" s="14">
        <f>'Uitgangspunten debiet+ vrachten'!$E$34*'ZW Vrachten door de tijd'!E81/1000</f>
        <v>0.96258608695652148</v>
      </c>
      <c r="K45" s="14">
        <f>('Uitgangspunten debiet+ vrachten'!$E$35*E81+E81*'Uitgangspunten debiet+ vrachten'!$E$51)/1000</f>
        <v>0.48456587971014481</v>
      </c>
      <c r="L45" s="15">
        <f>('Uitgangspunten debiet+ vrachten'!$E$36*'ZW Vrachten door de tijd'!E81+E81*'Uitgangspunten debiet+ vrachten'!$E$44)/1000</f>
        <v>5.8006586956521736E-2</v>
      </c>
      <c r="M45" s="13">
        <f>(F81*VLOOKUP($F$1,'Uitgangspunten debiet+ vrachten'!$B$23:$F$25,4,)+F81*('Uitgangspunten debiet+ vrachten'!$E$27+'Uitgangspunten debiet+ vrachten'!$E$28))/1000</f>
        <v>7.8811092937499998</v>
      </c>
      <c r="N45" s="14">
        <f>'Uitgangspunten debiet+ vrachten'!$E$32*'ZW Vrachten door de tijd'!F81/1000</f>
        <v>49.530773934782609</v>
      </c>
      <c r="O45" s="14">
        <f>('Uitgangspunten debiet+ vrachten'!$E$34*'ZW Vrachten door de tijd'!F81+F81*'Uitgangspunten debiet+ vrachten'!$E$50)/1000</f>
        <v>37.213419554347816</v>
      </c>
      <c r="P45" s="14">
        <f>('Uitgangspunten debiet+ vrachten'!$E$35*F81+F81*'Uitgangspunten debiet+ vrachten'!$E$51)/1000</f>
        <v>11.081686150652169</v>
      </c>
      <c r="Q45" s="15">
        <f>('Uitgangspunten debiet+ vrachten'!$E$36*'ZW Vrachten door de tijd'!F81+F81*'Uitgangspunten debiet+ vrachten'!$E$52)/1000</f>
        <v>1.3866824543478258</v>
      </c>
      <c r="R45" s="13">
        <f>(G81*VLOOKUP($F$1,'Uitgangspunten debiet+ vrachten'!$B$23:$F$25,4,)+G81*('Uitgangspunten debiet+ vrachten'!$E$27+'Uitgangspunten debiet+ vrachten'!$E$28))/1000</f>
        <v>0</v>
      </c>
      <c r="S45" s="14">
        <f>('Uitgangspunten debiet+ vrachten'!$E$32*'ZW Vrachten door de tijd'!G81+G81*'Uitgangspunten debiet+ vrachten'!$E$48)/1000</f>
        <v>0</v>
      </c>
      <c r="T45" s="14">
        <f>('Uitgangspunten debiet+ vrachten'!$E$34*'ZW Vrachten door de tijd'!G81+G81*'Uitgangspunten debiet+ vrachten'!$E$50)/1000</f>
        <v>0</v>
      </c>
      <c r="U45" s="14">
        <f>('Uitgangspunten debiet+ vrachten'!$E$35*G81+G81*'Uitgangspunten debiet+ vrachten'!$E$51)/1000</f>
        <v>0</v>
      </c>
      <c r="V45" s="15">
        <f>('Uitgangspunten debiet+ vrachten'!$E$36*'ZW Vrachten door de tijd'!G81+G81*'Uitgangspunten debiet+ vrachten'!$E$52)/1000</f>
        <v>0</v>
      </c>
    </row>
    <row r="46" spans="1:22" x14ac:dyDescent="0.3">
      <c r="A46" s="171">
        <v>2024</v>
      </c>
      <c r="B46" s="4"/>
      <c r="C46" s="13">
        <f>((C82*VLOOKUP($F$2,'Uitgangspunten debiet+ vrachten'!$B$23:$F$25,5,)+D82*VLOOKUP($F$1,'Uitgangspunten debiet+ vrachten'!$B$23:$F$25,4,))+(C82*('Uitgangspunten debiet+ vrachten'!$D$27+'Uitgangspunten debiet+ vrachten'!$D$28))+'ZW Vrachten door de tijd'!D82*('Uitgangspunten debiet+ vrachten'!$E$27+'Uitgangspunten debiet+ vrachten'!$E$28))/1000</f>
        <v>2.0358705000000001</v>
      </c>
      <c r="D46" s="14">
        <f>('Uitgangspunten debiet+ vrachten'!$E$32*D82+'Uitgangspunten debiet+ vrachten'!$F$32*'ZW Vrachten door de tijd'!C82+C82*'Uitgangspunten debiet+ vrachten'!$F$48+'ZW Vrachten door de tijd'!D82*'Uitgangspunten debiet+ vrachten'!$E$48)/1000</f>
        <v>20.257069565217389</v>
      </c>
      <c r="E46" s="14">
        <f>('Uitgangspunten debiet+ vrachten'!$E$34*D82+'Uitgangspunten debiet+ vrachten'!$F$34*'ZW Vrachten door de tijd'!C82+C82*'Uitgangspunten debiet+ vrachten'!$F$50+'ZW Vrachten door de tijd'!D82*'Uitgangspunten debiet+ vrachten'!$E$50)/1000</f>
        <v>10.347388695652171</v>
      </c>
      <c r="F46" s="14">
        <f>(('Uitgangspunten debiet+ vrachten'!$E$35+'Uitgangspunten debiet+ vrachten'!$E$51)*D82+('Uitgangspunten debiet+ vrachten'!$F$35+'Uitgangspunten debiet+ vrachten'!$F$51)*'ZW Vrachten door de tijd'!C82)/1000</f>
        <v>2.6715021043478253</v>
      </c>
      <c r="G46" s="15">
        <f>(('Uitgangspunten debiet+ vrachten'!$E$36+'Uitgangspunten debiet+ vrachten'!$E$52)*D82+('Uitgangspunten debiet+ vrachten'!$F$36+'Uitgangspunten debiet+ vrachten'!$F$52)*'ZW Vrachten door de tijd'!C82)/1000</f>
        <v>0.33163669565217391</v>
      </c>
      <c r="H46" s="13">
        <f>(E82*VLOOKUP($F$1,'Uitgangspunten debiet+ vrachten'!$B$23:$F$25,4,)+E82*('Uitgangspunten debiet+ vrachten'!$E$27+'Uitgangspunten debiet+ vrachten'!$E$28))/1000</f>
        <v>0.72203981249999993</v>
      </c>
      <c r="I46" s="14">
        <f>('Uitgangspunten debiet+ vrachten'!$E$32*'ZW Vrachten door de tijd'!E82+'Uitgangspunten debiet+ vrachten'!$E$48*'ZW Vrachten door de tijd'!E82)/1000</f>
        <v>6.8666171739130437</v>
      </c>
      <c r="J46" s="14">
        <f>'Uitgangspunten debiet+ vrachten'!$E$34*'ZW Vrachten door de tijd'!E82/1000</f>
        <v>2.0168165217391296</v>
      </c>
      <c r="K46" s="14">
        <f>('Uitgangspunten debiet+ vrachten'!$E$35*E82+E82*'Uitgangspunten debiet+ vrachten'!$E$51)/1000</f>
        <v>1.0152655282608694</v>
      </c>
      <c r="L46" s="15">
        <f>('Uitgangspunten debiet+ vrachten'!$E$36*'ZW Vrachten door de tijd'!E82+E82*'Uitgangspunten debiet+ vrachten'!$E$44)/1000</f>
        <v>0.12153577173913041</v>
      </c>
      <c r="M46" s="13">
        <f>(F82*VLOOKUP($F$1,'Uitgangspunten debiet+ vrachten'!$B$23:$F$25,4,)+F82*('Uitgangspunten debiet+ vrachten'!$E$27+'Uitgangspunten debiet+ vrachten'!$E$28))/1000</f>
        <v>8.3044214812499995</v>
      </c>
      <c r="N46" s="14">
        <f>'Uitgangspunten debiet+ vrachten'!$E$32*'ZW Vrachten door de tijd'!F82/1000</f>
        <v>52.191183717391304</v>
      </c>
      <c r="O46" s="14">
        <f>('Uitgangspunten debiet+ vrachten'!$E$34*'ZW Vrachten door de tijd'!F82+F82*'Uitgangspunten debiet+ vrachten'!$E$50)/1000</f>
        <v>39.212236402173907</v>
      </c>
      <c r="P46" s="14">
        <f>('Uitgangspunten debiet+ vrachten'!$E$35*F82+F82*'Uitgangspunten debiet+ vrachten'!$E$51)/1000</f>
        <v>11.676908552826085</v>
      </c>
      <c r="Q46" s="15">
        <f>('Uitgangspunten debiet+ vrachten'!$E$36*'ZW Vrachten door de tijd'!F82+F82*'Uitgangspunten debiet+ vrachten'!$E$52)/1000</f>
        <v>1.4611643021739129</v>
      </c>
      <c r="R46" s="13">
        <f>(G82*VLOOKUP($F$1,'Uitgangspunten debiet+ vrachten'!$B$23:$F$25,4,)+G82*('Uitgangspunten debiet+ vrachten'!$E$27+'Uitgangspunten debiet+ vrachten'!$E$28))/1000</f>
        <v>4.6977328125</v>
      </c>
      <c r="S46" s="14">
        <f>('Uitgangspunten debiet+ vrachten'!$E$32*'ZW Vrachten door de tijd'!G82+G82*'Uitgangspunten debiet+ vrachten'!$E$48)/1000</f>
        <v>44.675559782608694</v>
      </c>
      <c r="T46" s="14">
        <f>('Uitgangspunten debiet+ vrachten'!$E$34*'ZW Vrachten door de tijd'!G82+G82*'Uitgangspunten debiet+ vrachten'!$E$50)/1000</f>
        <v>22.18199184782608</v>
      </c>
      <c r="U46" s="14">
        <f>('Uitgangspunten debiet+ vrachten'!$E$35*G82+G82*'Uitgangspunten debiet+ vrachten'!$E$51)/1000</f>
        <v>6.6055169021739113</v>
      </c>
      <c r="V46" s="15">
        <f>('Uitgangspunten debiet+ vrachten'!$E$36*'ZW Vrachten door de tijd'!G82+G82*'Uitgangspunten debiet+ vrachten'!$E$52)/1000</f>
        <v>0.8265668478260868</v>
      </c>
    </row>
    <row r="47" spans="1:22" x14ac:dyDescent="0.3">
      <c r="A47" s="171">
        <v>2025</v>
      </c>
      <c r="B47" s="4"/>
      <c r="C47" s="13">
        <f>((C83*VLOOKUP($F$2,'Uitgangspunten debiet+ vrachten'!$B$23:$F$25,5,)+D83*VLOOKUP($F$1,'Uitgangspunten debiet+ vrachten'!$B$23:$F$25,4,))+(C83*('Uitgangspunten debiet+ vrachten'!$D$27+'Uitgangspunten debiet+ vrachten'!$D$28))+'ZW Vrachten door de tijd'!D83*('Uitgangspunten debiet+ vrachten'!$E$27+'Uitgangspunten debiet+ vrachten'!$E$28))/1000</f>
        <v>2.0358705000000001</v>
      </c>
      <c r="D47" s="14">
        <f>('Uitgangspunten debiet+ vrachten'!$E$32*D83+'Uitgangspunten debiet+ vrachten'!$F$32*'ZW Vrachten door de tijd'!C83+C83*'Uitgangspunten debiet+ vrachten'!$F$48+'ZW Vrachten door de tijd'!D83*'Uitgangspunten debiet+ vrachten'!$E$48)/1000</f>
        <v>20.257069565217389</v>
      </c>
      <c r="E47" s="14">
        <f>('Uitgangspunten debiet+ vrachten'!$E$34*D83+'Uitgangspunten debiet+ vrachten'!$F$34*'ZW Vrachten door de tijd'!C83+C83*'Uitgangspunten debiet+ vrachten'!$F$50+'ZW Vrachten door de tijd'!D83*'Uitgangspunten debiet+ vrachten'!$E$50)/1000</f>
        <v>10.347388695652171</v>
      </c>
      <c r="F47" s="14">
        <f>(('Uitgangspunten debiet+ vrachten'!$E$35+'Uitgangspunten debiet+ vrachten'!$E$51)*D83+('Uitgangspunten debiet+ vrachten'!$F$35+'Uitgangspunten debiet+ vrachten'!$F$51)*'ZW Vrachten door de tijd'!C83)/1000</f>
        <v>2.6715021043478253</v>
      </c>
      <c r="G47" s="15">
        <f>(('Uitgangspunten debiet+ vrachten'!$E$36+'Uitgangspunten debiet+ vrachten'!$E$52)*D83+('Uitgangspunten debiet+ vrachten'!$F$36+'Uitgangspunten debiet+ vrachten'!$F$52)*'ZW Vrachten door de tijd'!C83)/1000</f>
        <v>0.33163669565217391</v>
      </c>
      <c r="H47" s="13">
        <f>(E83*VLOOKUP($F$1,'Uitgangspunten debiet+ vrachten'!$B$23:$F$25,4,)+E83*('Uitgangspunten debiet+ vrachten'!$E$27+'Uitgangspunten debiet+ vrachten'!$E$28))/1000</f>
        <v>0.82758106250000008</v>
      </c>
      <c r="I47" s="14">
        <f>('Uitgangspunten debiet+ vrachten'!$E$32*'ZW Vrachten door de tijd'!E83+'Uitgangspunten debiet+ vrachten'!$E$48*'ZW Vrachten door de tijd'!E83)/1000</f>
        <v>7.8703171739130431</v>
      </c>
      <c r="J47" s="14">
        <f>'Uitgangspunten debiet+ vrachten'!$E$34*'ZW Vrachten door de tijd'!E83/1000</f>
        <v>2.31161652173913</v>
      </c>
      <c r="K47" s="14">
        <f>('Uitgangspunten debiet+ vrachten'!$E$35*E83+E83*'Uitgangspunten debiet+ vrachten'!$E$51)/1000</f>
        <v>1.1636678615942027</v>
      </c>
      <c r="L47" s="15">
        <f>('Uitgangspunten debiet+ vrachten'!$E$36*'ZW Vrachten door de tijd'!E83+E83*'Uitgangspunten debiet+ vrachten'!$E$44)/1000</f>
        <v>0.13930077173913041</v>
      </c>
      <c r="M47" s="13">
        <f>(F83*VLOOKUP($F$1,'Uitgangspunten debiet+ vrachten'!$B$23:$F$25,4,)+F83*('Uitgangspunten debiet+ vrachten'!$E$27+'Uitgangspunten debiet+ vrachten'!$E$28))/1000</f>
        <v>9.1510458562500006</v>
      </c>
      <c r="N47" s="14">
        <f>'Uitgangspunten debiet+ vrachten'!$E$32*'ZW Vrachten door de tijd'!F83/1000</f>
        <v>57.512003282608688</v>
      </c>
      <c r="O47" s="14">
        <f>('Uitgangspunten debiet+ vrachten'!$E$34*'ZW Vrachten door de tijd'!F83+F83*'Uitgangspunten debiet+ vrachten'!$E$50)/1000</f>
        <v>43.209870097826077</v>
      </c>
      <c r="P47" s="14">
        <f>('Uitgangspunten debiet+ vrachten'!$E$35*F83+F83*'Uitgangspunten debiet+ vrachten'!$E$51)/1000</f>
        <v>12.867353357173908</v>
      </c>
      <c r="Q47" s="15">
        <f>('Uitgangspunten debiet+ vrachten'!$E$36*'ZW Vrachten door de tijd'!F83+F83*'Uitgangspunten debiet+ vrachten'!$E$52)/1000</f>
        <v>1.6101279978260865</v>
      </c>
      <c r="R47" s="13">
        <f>(G83*VLOOKUP($F$1,'Uitgangspunten debiet+ vrachten'!$B$23:$F$25,4,)+G83*('Uitgangspunten debiet+ vrachten'!$E$27+'Uitgangspunten debiet+ vrachten'!$E$28))/1000</f>
        <v>5.1451359375000001</v>
      </c>
      <c r="S47" s="14">
        <f>('Uitgangspunten debiet+ vrachten'!$E$32*'ZW Vrachten door de tijd'!G83+G83*'Uitgangspunten debiet+ vrachten'!$E$48)/1000</f>
        <v>48.930374999999998</v>
      </c>
      <c r="T47" s="14">
        <f>('Uitgangspunten debiet+ vrachten'!$E$34*'ZW Vrachten door de tijd'!G83+G83*'Uitgangspunten debiet+ vrachten'!$E$50)/1000</f>
        <v>24.294562499999998</v>
      </c>
      <c r="U47" s="14">
        <f>('Uitgangspunten debiet+ vrachten'!$E$35*G83+G83*'Uitgangspunten debiet+ vrachten'!$E$51)/1000</f>
        <v>7.2346137499999976</v>
      </c>
      <c r="V47" s="15">
        <f>('Uitgangspunten debiet+ vrachten'!$E$36*'ZW Vrachten door de tijd'!G83+G83*'Uitgangspunten debiet+ vrachten'!$E$52)/1000</f>
        <v>0.90528749999999991</v>
      </c>
    </row>
    <row r="48" spans="1:22" x14ac:dyDescent="0.3">
      <c r="A48" s="171">
        <v>2026</v>
      </c>
      <c r="B48" s="4"/>
      <c r="C48" s="13">
        <f>((C84*VLOOKUP($F$2,'Uitgangspunten debiet+ vrachten'!$B$23:$F$25,5,)+D84*VLOOKUP($F$1,'Uitgangspunten debiet+ vrachten'!$B$23:$F$25,4,))+(C84*('Uitgangspunten debiet+ vrachten'!$D$27+'Uitgangspunten debiet+ vrachten'!$D$28))+'ZW Vrachten door de tijd'!D84*('Uitgangspunten debiet+ vrachten'!$E$27+'Uitgangspunten debiet+ vrachten'!$E$28))/1000</f>
        <v>9.5076902500000013</v>
      </c>
      <c r="D48" s="14">
        <f>('Uitgangspunten debiet+ vrachten'!$E$32*D84+'Uitgangspunten debiet+ vrachten'!$F$32*'ZW Vrachten door de tijd'!C84+C84*'Uitgangspunten debiet+ vrachten'!$F$48+'ZW Vrachten door de tijd'!D84*'Uitgangspunten debiet+ vrachten'!$E$48)/1000</f>
        <v>94.656621739130443</v>
      </c>
      <c r="E48" s="14">
        <f>('Uitgangspunten debiet+ vrachten'!$E$34*D84+'Uitgangspunten debiet+ vrachten'!$F$34*'ZW Vrachten door de tijd'!C84+C84*'Uitgangspunten debiet+ vrachten'!$F$50+'ZW Vrachten door de tijd'!D84*'Uitgangspunten debiet+ vrachten'!$E$50)/1000</f>
        <v>48.367755217391299</v>
      </c>
      <c r="F48" s="14">
        <f>(('Uitgangspunten debiet+ vrachten'!$E$35+'Uitgangspunten debiet+ vrachten'!$E$51)*D84+('Uitgangspunten debiet+ vrachten'!$F$35+'Uitgangspunten debiet+ vrachten'!$F$51)*'ZW Vrachten door de tijd'!C84)/1000</f>
        <v>12.464544849275359</v>
      </c>
      <c r="G48" s="15">
        <f>(('Uitgangspunten debiet+ vrachten'!$E$36+'Uitgangspunten debiet+ vrachten'!$E$52)*D84+('Uitgangspunten debiet+ vrachten'!$F$36+'Uitgangspunten debiet+ vrachten'!$F$52)*'ZW Vrachten door de tijd'!C84)/1000</f>
        <v>1.547159217391304</v>
      </c>
      <c r="H48" s="13">
        <f>(E84*VLOOKUP($F$1,'Uitgangspunten debiet+ vrachten'!$B$23:$F$25,4,)+E84*('Uitgangspunten debiet+ vrachten'!$E$27+'Uitgangspunten debiet+ vrachten'!$E$28))/1000</f>
        <v>0.9331223125</v>
      </c>
      <c r="I48" s="14">
        <f>('Uitgangspunten debiet+ vrachten'!$E$32*'ZW Vrachten door de tijd'!E84+'Uitgangspunten debiet+ vrachten'!$E$48*'ZW Vrachten door de tijd'!E84)/1000</f>
        <v>8.8740171739130442</v>
      </c>
      <c r="J48" s="14">
        <f>'Uitgangspunten debiet+ vrachten'!$E$34*'ZW Vrachten door de tijd'!E84/1000</f>
        <v>2.6064165217391295</v>
      </c>
      <c r="K48" s="14">
        <f>('Uitgangspunten debiet+ vrachten'!$E$35*E84+E84*'Uitgangspunten debiet+ vrachten'!$E$51)/1000</f>
        <v>1.3120701949275357</v>
      </c>
      <c r="L48" s="15">
        <f>('Uitgangspunten debiet+ vrachten'!$E$36*'ZW Vrachten door de tijd'!E84+E84*'Uitgangspunten debiet+ vrachten'!$E$44)/1000</f>
        <v>0.15706577173913042</v>
      </c>
      <c r="M48" s="13">
        <f>(F84*VLOOKUP($F$1,'Uitgangspunten debiet+ vrachten'!$B$23:$F$25,4,)+F84*('Uitgangspunten debiet+ vrachten'!$E$27+'Uitgangspunten debiet+ vrachten'!$E$28))/1000</f>
        <v>9.9976702312499999</v>
      </c>
      <c r="N48" s="14">
        <f>'Uitgangspunten debiet+ vrachten'!$E$32*'ZW Vrachten door de tijd'!F84/1000</f>
        <v>62.832822847826087</v>
      </c>
      <c r="O48" s="14">
        <f>('Uitgangspunten debiet+ vrachten'!$E$34*'ZW Vrachten door de tijd'!F84+F84*'Uitgangspunten debiet+ vrachten'!$E$50)/1000</f>
        <v>47.207503793478253</v>
      </c>
      <c r="P48" s="14">
        <f>('Uitgangspunten debiet+ vrachten'!$E$35*F84+F84*'Uitgangspunten debiet+ vrachten'!$E$51)/1000</f>
        <v>14.057798161521736</v>
      </c>
      <c r="Q48" s="15">
        <f>('Uitgangspunten debiet+ vrachten'!$E$36*'ZW Vrachten door de tijd'!F84+F84*'Uitgangspunten debiet+ vrachten'!$E$52)/1000</f>
        <v>1.7590916934782608</v>
      </c>
      <c r="R48" s="13">
        <f>(G84*VLOOKUP($F$1,'Uitgangspunten debiet+ vrachten'!$B$23:$F$25,4,)+G84*('Uitgangspunten debiet+ vrachten'!$E$27+'Uitgangspunten debiet+ vrachten'!$E$28))/1000</f>
        <v>5.5925390625000002</v>
      </c>
      <c r="S48" s="14">
        <f>('Uitgangspunten debiet+ vrachten'!$E$32*'ZW Vrachten door de tijd'!G84+G84*'Uitgangspunten debiet+ vrachten'!$E$48)/1000</f>
        <v>53.185190217391309</v>
      </c>
      <c r="T48" s="14">
        <f>('Uitgangspunten debiet+ vrachten'!$E$34*'ZW Vrachten door de tijd'!G84+G84*'Uitgangspunten debiet+ vrachten'!$E$50)/1000</f>
        <v>26.407133152173909</v>
      </c>
      <c r="U48" s="14">
        <f>('Uitgangspunten debiet+ vrachten'!$E$35*G84+G84*'Uitgangspunten debiet+ vrachten'!$E$51)/1000</f>
        <v>7.8637105978260848</v>
      </c>
      <c r="V48" s="15">
        <f>('Uitgangspunten debiet+ vrachten'!$E$36*'ZW Vrachten door de tijd'!G84+G84*'Uitgangspunten debiet+ vrachten'!$E$52)/1000</f>
        <v>0.98400815217391291</v>
      </c>
    </row>
    <row r="49" spans="1:22" x14ac:dyDescent="0.3">
      <c r="A49" s="171">
        <v>2027</v>
      </c>
      <c r="B49" s="4"/>
      <c r="C49" s="13">
        <f>((C85*VLOOKUP($F$2,'Uitgangspunten debiet+ vrachten'!$B$23:$F$25,5,)+D85*VLOOKUP($F$1,'Uitgangspunten debiet+ vrachten'!$B$23:$F$25,4,))+(C85*('Uitgangspunten debiet+ vrachten'!$D$27+'Uitgangspunten debiet+ vrachten'!$D$28))+'ZW Vrachten door de tijd'!D85*('Uitgangspunten debiet+ vrachten'!$E$27+'Uitgangspunten debiet+ vrachten'!$E$28))/1000</f>
        <v>9.5076902500000013</v>
      </c>
      <c r="D49" s="14">
        <f>('Uitgangspunten debiet+ vrachten'!$E$32*D85+'Uitgangspunten debiet+ vrachten'!$F$32*'ZW Vrachten door de tijd'!C85+C85*'Uitgangspunten debiet+ vrachten'!$F$48+'ZW Vrachten door de tijd'!D85*'Uitgangspunten debiet+ vrachten'!$E$48)/1000</f>
        <v>94.656621739130443</v>
      </c>
      <c r="E49" s="14">
        <f>('Uitgangspunten debiet+ vrachten'!$E$34*D85+'Uitgangspunten debiet+ vrachten'!$F$34*'ZW Vrachten door de tijd'!C85+C85*'Uitgangspunten debiet+ vrachten'!$F$50+'ZW Vrachten door de tijd'!D85*'Uitgangspunten debiet+ vrachten'!$E$50)/1000</f>
        <v>48.367755217391299</v>
      </c>
      <c r="F49" s="14">
        <f>(('Uitgangspunten debiet+ vrachten'!$E$35+'Uitgangspunten debiet+ vrachten'!$E$51)*D85+('Uitgangspunten debiet+ vrachten'!$F$35+'Uitgangspunten debiet+ vrachten'!$F$51)*'ZW Vrachten door de tijd'!C85)/1000</f>
        <v>12.464544849275359</v>
      </c>
      <c r="G49" s="15">
        <f>(('Uitgangspunten debiet+ vrachten'!$E$36+'Uitgangspunten debiet+ vrachten'!$E$52)*D85+('Uitgangspunten debiet+ vrachten'!$F$36+'Uitgangspunten debiet+ vrachten'!$F$52)*'ZW Vrachten door de tijd'!C85)/1000</f>
        <v>1.547159217391304</v>
      </c>
      <c r="H49" s="13">
        <f>(E85*VLOOKUP($F$1,'Uitgangspunten debiet+ vrachten'!$B$23:$F$25,4,)+E85*('Uitgangspunten debiet+ vrachten'!$E$27+'Uitgangspunten debiet+ vrachten'!$E$28))/1000</f>
        <v>0.9331223125</v>
      </c>
      <c r="I49" s="14">
        <f>('Uitgangspunten debiet+ vrachten'!$E$32*'ZW Vrachten door de tijd'!E85+'Uitgangspunten debiet+ vrachten'!$E$48*'ZW Vrachten door de tijd'!E85)/1000</f>
        <v>8.8740171739130442</v>
      </c>
      <c r="J49" s="14">
        <f>'Uitgangspunten debiet+ vrachten'!$E$34*'ZW Vrachten door de tijd'!E85/1000</f>
        <v>2.6064165217391295</v>
      </c>
      <c r="K49" s="14">
        <f>('Uitgangspunten debiet+ vrachten'!$E$35*E85+E85*'Uitgangspunten debiet+ vrachten'!$E$51)/1000</f>
        <v>1.3120701949275357</v>
      </c>
      <c r="L49" s="15">
        <f>('Uitgangspunten debiet+ vrachten'!$E$36*'ZW Vrachten door de tijd'!E85+E85*'Uitgangspunten debiet+ vrachten'!$E$44)/1000</f>
        <v>0.15706577173913042</v>
      </c>
      <c r="M49" s="13">
        <f>(F85*VLOOKUP($F$1,'Uitgangspunten debiet+ vrachten'!$B$23:$F$25,4,)+F85*('Uitgangspunten debiet+ vrachten'!$E$27+'Uitgangspunten debiet+ vrachten'!$E$28))/1000</f>
        <v>9.9976702312499999</v>
      </c>
      <c r="N49" s="14">
        <f>'Uitgangspunten debiet+ vrachten'!$E$32*'ZW Vrachten door de tijd'!F85/1000</f>
        <v>62.832822847826087</v>
      </c>
      <c r="O49" s="14">
        <f>('Uitgangspunten debiet+ vrachten'!$E$34*'ZW Vrachten door de tijd'!F85+F85*'Uitgangspunten debiet+ vrachten'!$E$50)/1000</f>
        <v>47.207503793478253</v>
      </c>
      <c r="P49" s="14">
        <f>('Uitgangspunten debiet+ vrachten'!$E$35*F85+F85*'Uitgangspunten debiet+ vrachten'!$E$51)/1000</f>
        <v>14.057798161521736</v>
      </c>
      <c r="Q49" s="15">
        <f>('Uitgangspunten debiet+ vrachten'!$E$36*'ZW Vrachten door de tijd'!F85+F85*'Uitgangspunten debiet+ vrachten'!$E$52)/1000</f>
        <v>1.7590916934782608</v>
      </c>
      <c r="R49" s="13">
        <f>(G85*VLOOKUP($F$1,'Uitgangspunten debiet+ vrachten'!$B$23:$F$25,4,)+G85*('Uitgangspunten debiet+ vrachten'!$E$27+'Uitgangspunten debiet+ vrachten'!$E$28))/1000</f>
        <v>6.0399421874999994</v>
      </c>
      <c r="S49" s="14">
        <f>('Uitgangspunten debiet+ vrachten'!$E$32*'ZW Vrachten door de tijd'!G85+G85*'Uitgangspunten debiet+ vrachten'!$E$48)/1000</f>
        <v>57.440005434782606</v>
      </c>
      <c r="T49" s="14">
        <f>('Uitgangspunten debiet+ vrachten'!$E$34*'ZW Vrachten door de tijd'!G85+G85*'Uitgangspunten debiet+ vrachten'!$E$50)/1000</f>
        <v>28.51970380434782</v>
      </c>
      <c r="U49" s="14">
        <f>('Uitgangspunten debiet+ vrachten'!$E$35*G85+G85*'Uitgangspunten debiet+ vrachten'!$E$51)/1000</f>
        <v>8.492807445652172</v>
      </c>
      <c r="V49" s="15">
        <f>('Uitgangspunten debiet+ vrachten'!$E$36*'ZW Vrachten door de tijd'!G85+G85*'Uitgangspunten debiet+ vrachten'!$E$52)/1000</f>
        <v>1.062728804347826</v>
      </c>
    </row>
    <row r="50" spans="1:22" x14ac:dyDescent="0.3">
      <c r="A50" s="171">
        <v>2028</v>
      </c>
      <c r="B50" s="4"/>
      <c r="C50" s="13">
        <f>((C86*VLOOKUP($F$2,'Uitgangspunten debiet+ vrachten'!$B$23:$F$25,5,)+D86*VLOOKUP($F$1,'Uitgangspunten debiet+ vrachten'!$B$23:$F$25,4,))+(C86*('Uitgangspunten debiet+ vrachten'!$D$27+'Uitgangspunten debiet+ vrachten'!$D$28))+'ZW Vrachten door de tijd'!D86*('Uitgangspunten debiet+ vrachten'!$E$27+'Uitgangspunten debiet+ vrachten'!$E$28))/1000</f>
        <v>9.5076902500000013</v>
      </c>
      <c r="D50" s="14">
        <f>('Uitgangspunten debiet+ vrachten'!$E$32*D86+'Uitgangspunten debiet+ vrachten'!$F$32*'ZW Vrachten door de tijd'!C86+C86*'Uitgangspunten debiet+ vrachten'!$F$48+'ZW Vrachten door de tijd'!D86*'Uitgangspunten debiet+ vrachten'!$E$48)/1000</f>
        <v>94.656621739130443</v>
      </c>
      <c r="E50" s="14">
        <f>('Uitgangspunten debiet+ vrachten'!$E$34*D86+'Uitgangspunten debiet+ vrachten'!$F$34*'ZW Vrachten door de tijd'!C86+C86*'Uitgangspunten debiet+ vrachten'!$F$50+'ZW Vrachten door de tijd'!D86*'Uitgangspunten debiet+ vrachten'!$E$50)/1000</f>
        <v>48.367755217391299</v>
      </c>
      <c r="F50" s="14">
        <f>(('Uitgangspunten debiet+ vrachten'!$E$35+'Uitgangspunten debiet+ vrachten'!$E$51)*D86+('Uitgangspunten debiet+ vrachten'!$F$35+'Uitgangspunten debiet+ vrachten'!$F$51)*'ZW Vrachten door de tijd'!C86)/1000</f>
        <v>12.464544849275359</v>
      </c>
      <c r="G50" s="15">
        <f>(('Uitgangspunten debiet+ vrachten'!$E$36+'Uitgangspunten debiet+ vrachten'!$E$52)*D86+('Uitgangspunten debiet+ vrachten'!$F$36+'Uitgangspunten debiet+ vrachten'!$F$52)*'ZW Vrachten door de tijd'!C86)/1000</f>
        <v>1.547159217391304</v>
      </c>
      <c r="H50" s="13">
        <f>(E86*VLOOKUP($F$1,'Uitgangspunten debiet+ vrachten'!$B$23:$F$25,4,)+E86*('Uitgangspunten debiet+ vrachten'!$E$27+'Uitgangspunten debiet+ vrachten'!$E$28))/1000</f>
        <v>0.9331223125</v>
      </c>
      <c r="I50" s="14">
        <f>('Uitgangspunten debiet+ vrachten'!$E$32*'ZW Vrachten door de tijd'!E86+'Uitgangspunten debiet+ vrachten'!$E$48*'ZW Vrachten door de tijd'!E86)/1000</f>
        <v>8.8740171739130442</v>
      </c>
      <c r="J50" s="14">
        <f>'Uitgangspunten debiet+ vrachten'!$E$34*'ZW Vrachten door de tijd'!E86/1000</f>
        <v>2.6064165217391295</v>
      </c>
      <c r="K50" s="14">
        <f>('Uitgangspunten debiet+ vrachten'!$E$35*E86+E86*'Uitgangspunten debiet+ vrachten'!$E$51)/1000</f>
        <v>1.3120701949275357</v>
      </c>
      <c r="L50" s="15">
        <f>('Uitgangspunten debiet+ vrachten'!$E$36*'ZW Vrachten door de tijd'!E86+E86*'Uitgangspunten debiet+ vrachten'!$E$44)/1000</f>
        <v>0.15706577173913042</v>
      </c>
      <c r="M50" s="13">
        <f>(F86*VLOOKUP($F$1,'Uitgangspunten debiet+ vrachten'!$B$23:$F$25,4,)+F86*('Uitgangspunten debiet+ vrachten'!$E$27+'Uitgangspunten debiet+ vrachten'!$E$28))/1000</f>
        <v>9.9976702312499999</v>
      </c>
      <c r="N50" s="14">
        <f>'Uitgangspunten debiet+ vrachten'!$E$32*'ZW Vrachten door de tijd'!F86/1000</f>
        <v>62.832822847826087</v>
      </c>
      <c r="O50" s="14">
        <f>('Uitgangspunten debiet+ vrachten'!$E$34*'ZW Vrachten door de tijd'!F86+F86*'Uitgangspunten debiet+ vrachten'!$E$50)/1000</f>
        <v>47.207503793478253</v>
      </c>
      <c r="P50" s="14">
        <f>('Uitgangspunten debiet+ vrachten'!$E$35*F86+F86*'Uitgangspunten debiet+ vrachten'!$E$51)/1000</f>
        <v>14.057798161521736</v>
      </c>
      <c r="Q50" s="15">
        <f>('Uitgangspunten debiet+ vrachten'!$E$36*'ZW Vrachten door de tijd'!F86+F86*'Uitgangspunten debiet+ vrachten'!$E$52)/1000</f>
        <v>1.7590916934782608</v>
      </c>
      <c r="R50" s="13">
        <f>(G86*VLOOKUP($F$1,'Uitgangspunten debiet+ vrachten'!$B$23:$F$25,4,)+G86*('Uitgangspunten debiet+ vrachten'!$E$27+'Uitgangspunten debiet+ vrachten'!$E$28))/1000</f>
        <v>6.4873453124999996</v>
      </c>
      <c r="S50" s="14">
        <f>('Uitgangspunten debiet+ vrachten'!$E$32*'ZW Vrachten door de tijd'!G86+G86*'Uitgangspunten debiet+ vrachten'!$E$48)/1000</f>
        <v>61.694820652173917</v>
      </c>
      <c r="T50" s="14">
        <f>('Uitgangspunten debiet+ vrachten'!$E$34*'ZW Vrachten door de tijd'!G86+G86*'Uitgangspunten debiet+ vrachten'!$E$50)/1000</f>
        <v>30.632274456521731</v>
      </c>
      <c r="U50" s="14">
        <f>('Uitgangspunten debiet+ vrachten'!$E$35*G86+G86*'Uitgangspunten debiet+ vrachten'!$E$51)/1000</f>
        <v>9.1219042934782593</v>
      </c>
      <c r="V50" s="15">
        <f>('Uitgangspunten debiet+ vrachten'!$E$36*'ZW Vrachten door de tijd'!G86+G86*'Uitgangspunten debiet+ vrachten'!$E$52)/1000</f>
        <v>1.141449456521739</v>
      </c>
    </row>
    <row r="51" spans="1:22" x14ac:dyDescent="0.3">
      <c r="A51" s="171">
        <v>2029</v>
      </c>
      <c r="B51" s="4"/>
      <c r="C51" s="13">
        <f>((C87*VLOOKUP($F$2,'Uitgangspunten debiet+ vrachten'!$B$23:$F$25,5,)+D87*VLOOKUP($F$1,'Uitgangspunten debiet+ vrachten'!$B$23:$F$25,4,))+(C87*('Uitgangspunten debiet+ vrachten'!$D$27+'Uitgangspunten debiet+ vrachten'!$D$28))+'ZW Vrachten door de tijd'!D87*('Uitgangspunten debiet+ vrachten'!$E$27+'Uitgangspunten debiet+ vrachten'!$E$28))/1000</f>
        <v>9.5076902500000013</v>
      </c>
      <c r="D51" s="14">
        <f>('Uitgangspunten debiet+ vrachten'!$E$32*D87+'Uitgangspunten debiet+ vrachten'!$F$32*'ZW Vrachten door de tijd'!C87+C87*'Uitgangspunten debiet+ vrachten'!$F$48+'ZW Vrachten door de tijd'!D87*'Uitgangspunten debiet+ vrachten'!$E$48)/1000</f>
        <v>94.656621739130443</v>
      </c>
      <c r="E51" s="14">
        <f>('Uitgangspunten debiet+ vrachten'!$E$34*D87+'Uitgangspunten debiet+ vrachten'!$F$34*'ZW Vrachten door de tijd'!C87+C87*'Uitgangspunten debiet+ vrachten'!$F$50+'ZW Vrachten door de tijd'!D87*'Uitgangspunten debiet+ vrachten'!$E$50)/1000</f>
        <v>48.367755217391299</v>
      </c>
      <c r="F51" s="14">
        <f>(('Uitgangspunten debiet+ vrachten'!$E$35+'Uitgangspunten debiet+ vrachten'!$E$51)*D87+('Uitgangspunten debiet+ vrachten'!$F$35+'Uitgangspunten debiet+ vrachten'!$F$51)*'ZW Vrachten door de tijd'!C87)/1000</f>
        <v>12.464544849275359</v>
      </c>
      <c r="G51" s="15">
        <f>(('Uitgangspunten debiet+ vrachten'!$E$36+'Uitgangspunten debiet+ vrachten'!$E$52)*D87+('Uitgangspunten debiet+ vrachten'!$F$36+'Uitgangspunten debiet+ vrachten'!$F$52)*'ZW Vrachten door de tijd'!C87)/1000</f>
        <v>1.547159217391304</v>
      </c>
      <c r="H51" s="13">
        <f>(E87*VLOOKUP($F$1,'Uitgangspunten debiet+ vrachten'!$B$23:$F$25,4,)+E87*('Uitgangspunten debiet+ vrachten'!$E$27+'Uitgangspunten debiet+ vrachten'!$E$28))/1000</f>
        <v>0.9331223125</v>
      </c>
      <c r="I51" s="14">
        <f>('Uitgangspunten debiet+ vrachten'!$E$32*'ZW Vrachten door de tijd'!E87+'Uitgangspunten debiet+ vrachten'!$E$48*'ZW Vrachten door de tijd'!E87)/1000</f>
        <v>8.8740171739130442</v>
      </c>
      <c r="J51" s="14">
        <f>'Uitgangspunten debiet+ vrachten'!$E$34*'ZW Vrachten door de tijd'!E87/1000</f>
        <v>2.6064165217391295</v>
      </c>
      <c r="K51" s="14">
        <f>('Uitgangspunten debiet+ vrachten'!$E$35*E87+E87*'Uitgangspunten debiet+ vrachten'!$E$51)/1000</f>
        <v>1.3120701949275357</v>
      </c>
      <c r="L51" s="15">
        <f>('Uitgangspunten debiet+ vrachten'!$E$36*'ZW Vrachten door de tijd'!E87+E87*'Uitgangspunten debiet+ vrachten'!$E$44)/1000</f>
        <v>0.15706577173913042</v>
      </c>
      <c r="M51" s="13">
        <f>(F87*VLOOKUP($F$1,'Uitgangspunten debiet+ vrachten'!$B$23:$F$25,4,)+F87*('Uitgangspunten debiet+ vrachten'!$E$27+'Uitgangspunten debiet+ vrachten'!$E$28))/1000</f>
        <v>9.9976702312499999</v>
      </c>
      <c r="N51" s="14">
        <f>'Uitgangspunten debiet+ vrachten'!$E$32*'ZW Vrachten door de tijd'!F87/1000</f>
        <v>62.832822847826087</v>
      </c>
      <c r="O51" s="14">
        <f>('Uitgangspunten debiet+ vrachten'!$E$34*'ZW Vrachten door de tijd'!F87+F87*'Uitgangspunten debiet+ vrachten'!$E$50)/1000</f>
        <v>47.207503793478253</v>
      </c>
      <c r="P51" s="14">
        <f>('Uitgangspunten debiet+ vrachten'!$E$35*F87+F87*'Uitgangspunten debiet+ vrachten'!$E$51)/1000</f>
        <v>14.057798161521736</v>
      </c>
      <c r="Q51" s="15">
        <f>('Uitgangspunten debiet+ vrachten'!$E$36*'ZW Vrachten door de tijd'!F87+F87*'Uitgangspunten debiet+ vrachten'!$E$52)/1000</f>
        <v>1.7590916934782608</v>
      </c>
      <c r="R51" s="13">
        <f>(G87*VLOOKUP($F$1,'Uitgangspunten debiet+ vrachten'!$B$23:$F$25,4,)+G87*('Uitgangspunten debiet+ vrachten'!$E$27+'Uitgangspunten debiet+ vrachten'!$E$28))/1000</f>
        <v>6.4873453124999996</v>
      </c>
      <c r="S51" s="14">
        <f>('Uitgangspunten debiet+ vrachten'!$E$32*'ZW Vrachten door de tijd'!G87+G87*'Uitgangspunten debiet+ vrachten'!$E$48)/1000</f>
        <v>61.694820652173917</v>
      </c>
      <c r="T51" s="14">
        <f>('Uitgangspunten debiet+ vrachten'!$E$34*'ZW Vrachten door de tijd'!G87+G87*'Uitgangspunten debiet+ vrachten'!$E$50)/1000</f>
        <v>30.632274456521731</v>
      </c>
      <c r="U51" s="14">
        <f>('Uitgangspunten debiet+ vrachten'!$E$35*G87+G87*'Uitgangspunten debiet+ vrachten'!$E$51)/1000</f>
        <v>9.1219042934782593</v>
      </c>
      <c r="V51" s="15">
        <f>('Uitgangspunten debiet+ vrachten'!$E$36*'ZW Vrachten door de tijd'!G87+G87*'Uitgangspunten debiet+ vrachten'!$E$52)/1000</f>
        <v>1.141449456521739</v>
      </c>
    </row>
    <row r="52" spans="1:22" x14ac:dyDescent="0.3">
      <c r="A52" s="171">
        <v>2030</v>
      </c>
      <c r="B52" s="4"/>
      <c r="C52" s="13">
        <f>((C88*VLOOKUP($F$2,'Uitgangspunten debiet+ vrachten'!$B$23:$F$25,5,)+D88*VLOOKUP($F$1,'Uitgangspunten debiet+ vrachten'!$B$23:$F$25,4,))+(C88*('Uitgangspunten debiet+ vrachten'!$D$27+'Uitgangspunten debiet+ vrachten'!$D$28))+'ZW Vrachten door de tijd'!D88*('Uitgangspunten debiet+ vrachten'!$E$27+'Uitgangspunten debiet+ vrachten'!$E$28))/1000</f>
        <v>9.5076902500000013</v>
      </c>
      <c r="D52" s="14">
        <f>('Uitgangspunten debiet+ vrachten'!$E$32*D88+'Uitgangspunten debiet+ vrachten'!$F$32*'ZW Vrachten door de tijd'!C88+C88*'Uitgangspunten debiet+ vrachten'!$F$48+'ZW Vrachten door de tijd'!D88*'Uitgangspunten debiet+ vrachten'!$E$48)/1000</f>
        <v>94.656621739130443</v>
      </c>
      <c r="E52" s="14">
        <f>('Uitgangspunten debiet+ vrachten'!$E$34*D88+'Uitgangspunten debiet+ vrachten'!$F$34*'ZW Vrachten door de tijd'!C88+C88*'Uitgangspunten debiet+ vrachten'!$F$50+'ZW Vrachten door de tijd'!D88*'Uitgangspunten debiet+ vrachten'!$E$50)/1000</f>
        <v>48.367755217391299</v>
      </c>
      <c r="F52" s="14">
        <f>(('Uitgangspunten debiet+ vrachten'!$E$35+'Uitgangspunten debiet+ vrachten'!$E$51)*D88+('Uitgangspunten debiet+ vrachten'!$F$35+'Uitgangspunten debiet+ vrachten'!$F$51)*'ZW Vrachten door de tijd'!C88)/1000</f>
        <v>12.464544849275359</v>
      </c>
      <c r="G52" s="15">
        <f>(('Uitgangspunten debiet+ vrachten'!$E$36+'Uitgangspunten debiet+ vrachten'!$E$52)*D88+('Uitgangspunten debiet+ vrachten'!$F$36+'Uitgangspunten debiet+ vrachten'!$F$52)*'ZW Vrachten door de tijd'!C88)/1000</f>
        <v>1.547159217391304</v>
      </c>
      <c r="H52" s="13">
        <f>(E88*VLOOKUP($F$1,'Uitgangspunten debiet+ vrachten'!$B$23:$F$25,4,)+E88*('Uitgangspunten debiet+ vrachten'!$E$27+'Uitgangspunten debiet+ vrachten'!$E$28))/1000</f>
        <v>0.9331223125</v>
      </c>
      <c r="I52" s="14">
        <f>('Uitgangspunten debiet+ vrachten'!$E$32*'ZW Vrachten door de tijd'!E88+'Uitgangspunten debiet+ vrachten'!$E$48*'ZW Vrachten door de tijd'!E88)/1000</f>
        <v>8.8740171739130442</v>
      </c>
      <c r="J52" s="14">
        <f>'Uitgangspunten debiet+ vrachten'!$E$34*'ZW Vrachten door de tijd'!E88/1000</f>
        <v>2.6064165217391295</v>
      </c>
      <c r="K52" s="14">
        <f>('Uitgangspunten debiet+ vrachten'!$E$35*E88+E88*'Uitgangspunten debiet+ vrachten'!$E$51)/1000</f>
        <v>1.3120701949275357</v>
      </c>
      <c r="L52" s="15">
        <f>('Uitgangspunten debiet+ vrachten'!$E$36*'ZW Vrachten door de tijd'!E88+E88*'Uitgangspunten debiet+ vrachten'!$E$44)/1000</f>
        <v>0.15706577173913042</v>
      </c>
      <c r="M52" s="13">
        <f>(F88*VLOOKUP($F$1,'Uitgangspunten debiet+ vrachten'!$B$23:$F$25,4,)+F88*('Uitgangspunten debiet+ vrachten'!$E$27+'Uitgangspunten debiet+ vrachten'!$E$28))/1000</f>
        <v>9.9976702312499999</v>
      </c>
      <c r="N52" s="14">
        <f>'Uitgangspunten debiet+ vrachten'!$E$32*'ZW Vrachten door de tijd'!F88/1000</f>
        <v>62.832822847826087</v>
      </c>
      <c r="O52" s="14">
        <f>('Uitgangspunten debiet+ vrachten'!$E$34*'ZW Vrachten door de tijd'!F88+F88*'Uitgangspunten debiet+ vrachten'!$E$50)/1000</f>
        <v>47.207503793478253</v>
      </c>
      <c r="P52" s="14">
        <f>('Uitgangspunten debiet+ vrachten'!$E$35*F88+F88*'Uitgangspunten debiet+ vrachten'!$E$51)/1000</f>
        <v>14.057798161521736</v>
      </c>
      <c r="Q52" s="15">
        <f>('Uitgangspunten debiet+ vrachten'!$E$36*'ZW Vrachten door de tijd'!F88+F88*'Uitgangspunten debiet+ vrachten'!$E$52)/1000</f>
        <v>1.7590916934782608</v>
      </c>
      <c r="R52" s="13">
        <f>(G88*VLOOKUP($F$1,'Uitgangspunten debiet+ vrachten'!$B$23:$F$25,4,)+G88*('Uitgangspunten debiet+ vrachten'!$E$27+'Uitgangspunten debiet+ vrachten'!$E$28))/1000</f>
        <v>6.4873453124999996</v>
      </c>
      <c r="S52" s="14">
        <f>('Uitgangspunten debiet+ vrachten'!$E$32*'ZW Vrachten door de tijd'!G88+G88*'Uitgangspunten debiet+ vrachten'!$E$48)/1000</f>
        <v>61.694820652173917</v>
      </c>
      <c r="T52" s="14">
        <f>('Uitgangspunten debiet+ vrachten'!$E$34*'ZW Vrachten door de tijd'!G88+G88*'Uitgangspunten debiet+ vrachten'!$E$50)/1000</f>
        <v>30.632274456521731</v>
      </c>
      <c r="U52" s="14">
        <f>('Uitgangspunten debiet+ vrachten'!$E$35*G88+G88*'Uitgangspunten debiet+ vrachten'!$E$51)/1000</f>
        <v>9.1219042934782593</v>
      </c>
      <c r="V52" s="15">
        <f>('Uitgangspunten debiet+ vrachten'!$E$36*'ZW Vrachten door de tijd'!G88+G88*'Uitgangspunten debiet+ vrachten'!$E$52)/1000</f>
        <v>1.141449456521739</v>
      </c>
    </row>
    <row r="53" spans="1:22" x14ac:dyDescent="0.3">
      <c r="A53" s="171">
        <v>2031</v>
      </c>
      <c r="B53" s="4"/>
      <c r="C53" s="13">
        <f>((C89*VLOOKUP($F$2,'Uitgangspunten debiet+ vrachten'!$B$23:$F$25,5,)+D89*VLOOKUP($F$1,'Uitgangspunten debiet+ vrachten'!$B$23:$F$25,4,))+(C89*('Uitgangspunten debiet+ vrachten'!$D$27+'Uitgangspunten debiet+ vrachten'!$D$28))+'ZW Vrachten door de tijd'!D89*('Uitgangspunten debiet+ vrachten'!$E$27+'Uitgangspunten debiet+ vrachten'!$E$28))/1000</f>
        <v>9.5076902500000013</v>
      </c>
      <c r="D53" s="14">
        <f>('Uitgangspunten debiet+ vrachten'!$E$32*D89+'Uitgangspunten debiet+ vrachten'!$F$32*'ZW Vrachten door de tijd'!C89+C89*'Uitgangspunten debiet+ vrachten'!$F$48+'ZW Vrachten door de tijd'!D89*'Uitgangspunten debiet+ vrachten'!$E$48)/1000</f>
        <v>94.656621739130443</v>
      </c>
      <c r="E53" s="14">
        <f>('Uitgangspunten debiet+ vrachten'!$E$34*D89+'Uitgangspunten debiet+ vrachten'!$F$34*'ZW Vrachten door de tijd'!C89+C89*'Uitgangspunten debiet+ vrachten'!$F$50+'ZW Vrachten door de tijd'!D89*'Uitgangspunten debiet+ vrachten'!$E$50)/1000</f>
        <v>48.367755217391299</v>
      </c>
      <c r="F53" s="14">
        <f>(('Uitgangspunten debiet+ vrachten'!$E$35+'Uitgangspunten debiet+ vrachten'!$E$51)*D89+('Uitgangspunten debiet+ vrachten'!$F$35+'Uitgangspunten debiet+ vrachten'!$F$51)*'ZW Vrachten door de tijd'!C89)/1000</f>
        <v>12.464544849275359</v>
      </c>
      <c r="G53" s="15">
        <f>(('Uitgangspunten debiet+ vrachten'!$E$36+'Uitgangspunten debiet+ vrachten'!$E$52)*D89+('Uitgangspunten debiet+ vrachten'!$F$36+'Uitgangspunten debiet+ vrachten'!$F$52)*'ZW Vrachten door de tijd'!C89)/1000</f>
        <v>1.547159217391304</v>
      </c>
      <c r="H53" s="13">
        <f>(E89*VLOOKUP($F$1,'Uitgangspunten debiet+ vrachten'!$B$23:$F$25,4,)+E89*('Uitgangspunten debiet+ vrachten'!$E$27+'Uitgangspunten debiet+ vrachten'!$E$28))/1000</f>
        <v>0.9331223125</v>
      </c>
      <c r="I53" s="14">
        <f>('Uitgangspunten debiet+ vrachten'!$E$32*'ZW Vrachten door de tijd'!E89+'Uitgangspunten debiet+ vrachten'!$E$48*'ZW Vrachten door de tijd'!E89)/1000</f>
        <v>8.8740171739130442</v>
      </c>
      <c r="J53" s="14">
        <f>'Uitgangspunten debiet+ vrachten'!$E$34*'ZW Vrachten door de tijd'!E89/1000</f>
        <v>2.6064165217391295</v>
      </c>
      <c r="K53" s="14">
        <f>('Uitgangspunten debiet+ vrachten'!$E$35*E89+E89*'Uitgangspunten debiet+ vrachten'!$E$51)/1000</f>
        <v>1.3120701949275357</v>
      </c>
      <c r="L53" s="15">
        <f>('Uitgangspunten debiet+ vrachten'!$E$36*'ZW Vrachten door de tijd'!E89+E89*'Uitgangspunten debiet+ vrachten'!$E$44)/1000</f>
        <v>0.15706577173913042</v>
      </c>
      <c r="M53" s="13">
        <f>(F89*VLOOKUP($F$1,'Uitgangspunten debiet+ vrachten'!$B$23:$F$25,4,)+F89*('Uitgangspunten debiet+ vrachten'!$E$27+'Uitgangspunten debiet+ vrachten'!$E$28))/1000</f>
        <v>9.9976702312499999</v>
      </c>
      <c r="N53" s="14">
        <f>'Uitgangspunten debiet+ vrachten'!$E$32*'ZW Vrachten door de tijd'!F89/1000</f>
        <v>62.832822847826087</v>
      </c>
      <c r="O53" s="14">
        <f>('Uitgangspunten debiet+ vrachten'!$E$34*'ZW Vrachten door de tijd'!F89+F89*'Uitgangspunten debiet+ vrachten'!$E$50)/1000</f>
        <v>47.207503793478253</v>
      </c>
      <c r="P53" s="14">
        <f>('Uitgangspunten debiet+ vrachten'!$E$35*F89+F89*'Uitgangspunten debiet+ vrachten'!$E$51)/1000</f>
        <v>14.057798161521736</v>
      </c>
      <c r="Q53" s="15">
        <f>('Uitgangspunten debiet+ vrachten'!$E$36*'ZW Vrachten door de tijd'!F89+F89*'Uitgangspunten debiet+ vrachten'!$E$52)/1000</f>
        <v>1.7590916934782608</v>
      </c>
      <c r="R53" s="13">
        <f>(G89*VLOOKUP($F$1,'Uitgangspunten debiet+ vrachten'!$B$23:$F$25,4,)+G89*('Uitgangspunten debiet+ vrachten'!$E$27+'Uitgangspunten debiet+ vrachten'!$E$28))/1000</f>
        <v>6.4873453124999996</v>
      </c>
      <c r="S53" s="14">
        <f>('Uitgangspunten debiet+ vrachten'!$E$32*'ZW Vrachten door de tijd'!G89+G89*'Uitgangspunten debiet+ vrachten'!$E$48)/1000</f>
        <v>61.694820652173917</v>
      </c>
      <c r="T53" s="14">
        <f>('Uitgangspunten debiet+ vrachten'!$E$34*'ZW Vrachten door de tijd'!G89+G89*'Uitgangspunten debiet+ vrachten'!$E$50)/1000</f>
        <v>30.632274456521731</v>
      </c>
      <c r="U53" s="14">
        <f>('Uitgangspunten debiet+ vrachten'!$E$35*G89+G89*'Uitgangspunten debiet+ vrachten'!$E$51)/1000</f>
        <v>9.1219042934782593</v>
      </c>
      <c r="V53" s="15">
        <f>('Uitgangspunten debiet+ vrachten'!$E$36*'ZW Vrachten door de tijd'!G89+G89*'Uitgangspunten debiet+ vrachten'!$E$52)/1000</f>
        <v>1.141449456521739</v>
      </c>
    </row>
    <row r="54" spans="1:22" x14ac:dyDescent="0.3">
      <c r="A54" s="171">
        <v>2032</v>
      </c>
      <c r="B54" s="4"/>
      <c r="C54" s="13">
        <f>((C90*VLOOKUP($F$2,'Uitgangspunten debiet+ vrachten'!$B$23:$F$25,5,)+D90*VLOOKUP($F$1,'Uitgangspunten debiet+ vrachten'!$B$23:$F$25,4,))+(C90*('Uitgangspunten debiet+ vrachten'!$D$27+'Uitgangspunten debiet+ vrachten'!$D$28))+'ZW Vrachten door de tijd'!D90*('Uitgangspunten debiet+ vrachten'!$E$27+'Uitgangspunten debiet+ vrachten'!$E$28))/1000</f>
        <v>9.5076902500000013</v>
      </c>
      <c r="D54" s="14">
        <f>('Uitgangspunten debiet+ vrachten'!$E$32*D90+'Uitgangspunten debiet+ vrachten'!$F$32*'ZW Vrachten door de tijd'!C90+C90*'Uitgangspunten debiet+ vrachten'!$F$48+'ZW Vrachten door de tijd'!D90*'Uitgangspunten debiet+ vrachten'!$E$48)/1000</f>
        <v>94.656621739130443</v>
      </c>
      <c r="E54" s="14">
        <f>('Uitgangspunten debiet+ vrachten'!$E$34*D90+'Uitgangspunten debiet+ vrachten'!$F$34*'ZW Vrachten door de tijd'!C90+C90*'Uitgangspunten debiet+ vrachten'!$F$50+'ZW Vrachten door de tijd'!D90*'Uitgangspunten debiet+ vrachten'!$E$50)/1000</f>
        <v>48.367755217391299</v>
      </c>
      <c r="F54" s="14">
        <f>(('Uitgangspunten debiet+ vrachten'!$E$35+'Uitgangspunten debiet+ vrachten'!$E$51)*D90+('Uitgangspunten debiet+ vrachten'!$F$35+'Uitgangspunten debiet+ vrachten'!$F$51)*'ZW Vrachten door de tijd'!C90)/1000</f>
        <v>12.464544849275359</v>
      </c>
      <c r="G54" s="15">
        <f>(('Uitgangspunten debiet+ vrachten'!$E$36+'Uitgangspunten debiet+ vrachten'!$E$52)*D90+('Uitgangspunten debiet+ vrachten'!$F$36+'Uitgangspunten debiet+ vrachten'!$F$52)*'ZW Vrachten door de tijd'!C90)/1000</f>
        <v>1.547159217391304</v>
      </c>
      <c r="H54" s="13">
        <f>(E90*VLOOKUP($F$1,'Uitgangspunten debiet+ vrachten'!$B$23:$F$25,4,)+E90*('Uitgangspunten debiet+ vrachten'!$E$27+'Uitgangspunten debiet+ vrachten'!$E$28))/1000</f>
        <v>0.9331223125</v>
      </c>
      <c r="I54" s="14">
        <f>('Uitgangspunten debiet+ vrachten'!$E$32*'ZW Vrachten door de tijd'!E90+'Uitgangspunten debiet+ vrachten'!$E$48*'ZW Vrachten door de tijd'!E90)/1000</f>
        <v>8.8740171739130442</v>
      </c>
      <c r="J54" s="14">
        <f>'Uitgangspunten debiet+ vrachten'!$E$34*'ZW Vrachten door de tijd'!E90/1000</f>
        <v>2.6064165217391295</v>
      </c>
      <c r="K54" s="14">
        <f>('Uitgangspunten debiet+ vrachten'!$E$35*E90+E90*'Uitgangspunten debiet+ vrachten'!$E$51)/1000</f>
        <v>1.3120701949275357</v>
      </c>
      <c r="L54" s="15">
        <f>('Uitgangspunten debiet+ vrachten'!$E$36*'ZW Vrachten door de tijd'!E90+E90*'Uitgangspunten debiet+ vrachten'!$E$44)/1000</f>
        <v>0.15706577173913042</v>
      </c>
      <c r="M54" s="13">
        <f>(F90*VLOOKUP($F$1,'Uitgangspunten debiet+ vrachten'!$B$23:$F$25,4,)+F90*('Uitgangspunten debiet+ vrachten'!$E$27+'Uitgangspunten debiet+ vrachten'!$E$28))/1000</f>
        <v>9.9976702312499999</v>
      </c>
      <c r="N54" s="14">
        <f>'Uitgangspunten debiet+ vrachten'!$E$32*'ZW Vrachten door de tijd'!F90/1000</f>
        <v>62.832822847826087</v>
      </c>
      <c r="O54" s="14">
        <f>('Uitgangspunten debiet+ vrachten'!$E$34*'ZW Vrachten door de tijd'!F90+F90*'Uitgangspunten debiet+ vrachten'!$E$50)/1000</f>
        <v>47.207503793478253</v>
      </c>
      <c r="P54" s="14">
        <f>('Uitgangspunten debiet+ vrachten'!$E$35*F90+F90*'Uitgangspunten debiet+ vrachten'!$E$51)/1000</f>
        <v>14.057798161521736</v>
      </c>
      <c r="Q54" s="15">
        <f>('Uitgangspunten debiet+ vrachten'!$E$36*'ZW Vrachten door de tijd'!F90+F90*'Uitgangspunten debiet+ vrachten'!$E$52)/1000</f>
        <v>1.7590916934782608</v>
      </c>
      <c r="R54" s="13">
        <f>(G90*VLOOKUP($F$1,'Uitgangspunten debiet+ vrachten'!$B$23:$F$25,4,)+G90*('Uitgangspunten debiet+ vrachten'!$E$27+'Uitgangspunten debiet+ vrachten'!$E$28))/1000</f>
        <v>6.4873453124999996</v>
      </c>
      <c r="S54" s="14">
        <f>('Uitgangspunten debiet+ vrachten'!$E$32*'ZW Vrachten door de tijd'!G90+G90*'Uitgangspunten debiet+ vrachten'!$E$48)/1000</f>
        <v>61.694820652173917</v>
      </c>
      <c r="T54" s="14">
        <f>('Uitgangspunten debiet+ vrachten'!$E$34*'ZW Vrachten door de tijd'!G90+G90*'Uitgangspunten debiet+ vrachten'!$E$50)/1000</f>
        <v>30.632274456521731</v>
      </c>
      <c r="U54" s="14">
        <f>('Uitgangspunten debiet+ vrachten'!$E$35*G90+G90*'Uitgangspunten debiet+ vrachten'!$E$51)/1000</f>
        <v>9.1219042934782593</v>
      </c>
      <c r="V54" s="15">
        <f>('Uitgangspunten debiet+ vrachten'!$E$36*'ZW Vrachten door de tijd'!G90+G90*'Uitgangspunten debiet+ vrachten'!$E$52)/1000</f>
        <v>1.141449456521739</v>
      </c>
    </row>
    <row r="55" spans="1:22" x14ac:dyDescent="0.3">
      <c r="A55" s="171">
        <v>2033</v>
      </c>
      <c r="B55" s="4"/>
      <c r="C55" s="13">
        <f>((C91*VLOOKUP($F$2,'Uitgangspunten debiet+ vrachten'!$B$23:$F$25,5,)+D91*VLOOKUP($F$1,'Uitgangspunten debiet+ vrachten'!$B$23:$F$25,4,))+(C91*('Uitgangspunten debiet+ vrachten'!$D$27+'Uitgangspunten debiet+ vrachten'!$D$28))+'ZW Vrachten door de tijd'!D91*('Uitgangspunten debiet+ vrachten'!$E$27+'Uitgangspunten debiet+ vrachten'!$E$28))/1000</f>
        <v>9.5076902500000013</v>
      </c>
      <c r="D55" s="14">
        <f>('Uitgangspunten debiet+ vrachten'!$E$32*D91+'Uitgangspunten debiet+ vrachten'!$F$32*'ZW Vrachten door de tijd'!C91+C91*'Uitgangspunten debiet+ vrachten'!$F$48+'ZW Vrachten door de tijd'!D91*'Uitgangspunten debiet+ vrachten'!$E$48)/1000</f>
        <v>94.656621739130443</v>
      </c>
      <c r="E55" s="14">
        <f>('Uitgangspunten debiet+ vrachten'!$E$34*D91+'Uitgangspunten debiet+ vrachten'!$F$34*'ZW Vrachten door de tijd'!C91+C91*'Uitgangspunten debiet+ vrachten'!$F$50+'ZW Vrachten door de tijd'!D91*'Uitgangspunten debiet+ vrachten'!$E$50)/1000</f>
        <v>48.367755217391299</v>
      </c>
      <c r="F55" s="14">
        <f>(('Uitgangspunten debiet+ vrachten'!$E$35+'Uitgangspunten debiet+ vrachten'!$E$51)*D91+('Uitgangspunten debiet+ vrachten'!$F$35+'Uitgangspunten debiet+ vrachten'!$F$51)*'ZW Vrachten door de tijd'!C91)/1000</f>
        <v>12.464544849275359</v>
      </c>
      <c r="G55" s="15">
        <f>(('Uitgangspunten debiet+ vrachten'!$E$36+'Uitgangspunten debiet+ vrachten'!$E$52)*D91+('Uitgangspunten debiet+ vrachten'!$F$36+'Uitgangspunten debiet+ vrachten'!$F$52)*'ZW Vrachten door de tijd'!C91)/1000</f>
        <v>1.547159217391304</v>
      </c>
      <c r="H55" s="13">
        <f>(E91*VLOOKUP($F$1,'Uitgangspunten debiet+ vrachten'!$B$23:$F$25,4,)+E91*('Uitgangspunten debiet+ vrachten'!$E$27+'Uitgangspunten debiet+ vrachten'!$E$28))/1000</f>
        <v>0.9331223125</v>
      </c>
      <c r="I55" s="14">
        <f>('Uitgangspunten debiet+ vrachten'!$E$32*'ZW Vrachten door de tijd'!E91+'Uitgangspunten debiet+ vrachten'!$E$48*'ZW Vrachten door de tijd'!E91)/1000</f>
        <v>8.8740171739130442</v>
      </c>
      <c r="J55" s="14">
        <f>'Uitgangspunten debiet+ vrachten'!$E$34*'ZW Vrachten door de tijd'!E91/1000</f>
        <v>2.6064165217391295</v>
      </c>
      <c r="K55" s="14">
        <f>('Uitgangspunten debiet+ vrachten'!$E$35*E91+E91*'Uitgangspunten debiet+ vrachten'!$E$51)/1000</f>
        <v>1.3120701949275357</v>
      </c>
      <c r="L55" s="15">
        <f>('Uitgangspunten debiet+ vrachten'!$E$36*'ZW Vrachten door de tijd'!E91+E91*'Uitgangspunten debiet+ vrachten'!$E$44)/1000</f>
        <v>0.15706577173913042</v>
      </c>
      <c r="M55" s="13">
        <f>(F91*VLOOKUP($F$1,'Uitgangspunten debiet+ vrachten'!$B$23:$F$25,4,)+F91*('Uitgangspunten debiet+ vrachten'!$E$27+'Uitgangspunten debiet+ vrachten'!$E$28))/1000</f>
        <v>9.9976702312499999</v>
      </c>
      <c r="N55" s="14">
        <f>'Uitgangspunten debiet+ vrachten'!$E$32*'ZW Vrachten door de tijd'!F91/1000</f>
        <v>62.832822847826087</v>
      </c>
      <c r="O55" s="14">
        <f>('Uitgangspunten debiet+ vrachten'!$E$34*'ZW Vrachten door de tijd'!F91+F91*'Uitgangspunten debiet+ vrachten'!$E$50)/1000</f>
        <v>47.207503793478253</v>
      </c>
      <c r="P55" s="14">
        <f>('Uitgangspunten debiet+ vrachten'!$E$35*F91+F91*'Uitgangspunten debiet+ vrachten'!$E$51)/1000</f>
        <v>14.057798161521736</v>
      </c>
      <c r="Q55" s="15">
        <f>('Uitgangspunten debiet+ vrachten'!$E$36*'ZW Vrachten door de tijd'!F91+F91*'Uitgangspunten debiet+ vrachten'!$E$52)/1000</f>
        <v>1.7590916934782608</v>
      </c>
      <c r="R55" s="13">
        <f>(G91*VLOOKUP($F$1,'Uitgangspunten debiet+ vrachten'!$B$23:$F$25,4,)+G91*('Uitgangspunten debiet+ vrachten'!$E$27+'Uitgangspunten debiet+ vrachten'!$E$28))/1000</f>
        <v>6.4873453124999996</v>
      </c>
      <c r="S55" s="14">
        <f>('Uitgangspunten debiet+ vrachten'!$E$32*'ZW Vrachten door de tijd'!G91+G91*'Uitgangspunten debiet+ vrachten'!$E$48)/1000</f>
        <v>61.694820652173917</v>
      </c>
      <c r="T55" s="14">
        <f>('Uitgangspunten debiet+ vrachten'!$E$34*'ZW Vrachten door de tijd'!G91+G91*'Uitgangspunten debiet+ vrachten'!$E$50)/1000</f>
        <v>30.632274456521731</v>
      </c>
      <c r="U55" s="14">
        <f>('Uitgangspunten debiet+ vrachten'!$E$35*G91+G91*'Uitgangspunten debiet+ vrachten'!$E$51)/1000</f>
        <v>9.1219042934782593</v>
      </c>
      <c r="V55" s="15">
        <f>('Uitgangspunten debiet+ vrachten'!$E$36*'ZW Vrachten door de tijd'!G91+G91*'Uitgangspunten debiet+ vrachten'!$E$52)/1000</f>
        <v>1.141449456521739</v>
      </c>
    </row>
    <row r="56" spans="1:22" x14ac:dyDescent="0.3">
      <c r="A56" s="171">
        <v>2034</v>
      </c>
      <c r="B56" s="4"/>
      <c r="C56" s="13">
        <f>((C92*VLOOKUP($F$2,'Uitgangspunten debiet+ vrachten'!$B$23:$F$25,5,)+D92*VLOOKUP($F$1,'Uitgangspunten debiet+ vrachten'!$B$23:$F$25,4,))+(C92*('Uitgangspunten debiet+ vrachten'!$D$27+'Uitgangspunten debiet+ vrachten'!$D$28))+'ZW Vrachten door de tijd'!D92*('Uitgangspunten debiet+ vrachten'!$E$27+'Uitgangspunten debiet+ vrachten'!$E$28))/1000</f>
        <v>9.5076902500000013</v>
      </c>
      <c r="D56" s="14">
        <f>('Uitgangspunten debiet+ vrachten'!$E$32*D92+'Uitgangspunten debiet+ vrachten'!$F$32*'ZW Vrachten door de tijd'!C92+C92*'Uitgangspunten debiet+ vrachten'!$F$48+'ZW Vrachten door de tijd'!D92*'Uitgangspunten debiet+ vrachten'!$E$48)/1000</f>
        <v>94.656621739130443</v>
      </c>
      <c r="E56" s="14">
        <f>('Uitgangspunten debiet+ vrachten'!$E$34*D92+'Uitgangspunten debiet+ vrachten'!$F$34*'ZW Vrachten door de tijd'!C92+C92*'Uitgangspunten debiet+ vrachten'!$F$50+'ZW Vrachten door de tijd'!D92*'Uitgangspunten debiet+ vrachten'!$E$50)/1000</f>
        <v>48.367755217391299</v>
      </c>
      <c r="F56" s="14">
        <f>(('Uitgangspunten debiet+ vrachten'!$E$35+'Uitgangspunten debiet+ vrachten'!$E$51)*D92+('Uitgangspunten debiet+ vrachten'!$F$35+'Uitgangspunten debiet+ vrachten'!$F$51)*'ZW Vrachten door de tijd'!C92)/1000</f>
        <v>12.464544849275359</v>
      </c>
      <c r="G56" s="15">
        <f>(('Uitgangspunten debiet+ vrachten'!$E$36+'Uitgangspunten debiet+ vrachten'!$E$52)*D92+('Uitgangspunten debiet+ vrachten'!$F$36+'Uitgangspunten debiet+ vrachten'!$F$52)*'ZW Vrachten door de tijd'!C92)/1000</f>
        <v>1.547159217391304</v>
      </c>
      <c r="H56" s="13">
        <f>(E92*VLOOKUP($F$1,'Uitgangspunten debiet+ vrachten'!$B$23:$F$25,4,)+E92*('Uitgangspunten debiet+ vrachten'!$E$27+'Uitgangspunten debiet+ vrachten'!$E$28))/1000</f>
        <v>0.9331223125</v>
      </c>
      <c r="I56" s="14">
        <f>('Uitgangspunten debiet+ vrachten'!$E$32*'ZW Vrachten door de tijd'!E92+'Uitgangspunten debiet+ vrachten'!$E$48*'ZW Vrachten door de tijd'!E92)/1000</f>
        <v>8.8740171739130442</v>
      </c>
      <c r="J56" s="14">
        <f>'Uitgangspunten debiet+ vrachten'!$E$34*'ZW Vrachten door de tijd'!E92/1000</f>
        <v>2.6064165217391295</v>
      </c>
      <c r="K56" s="14">
        <f>('Uitgangspunten debiet+ vrachten'!$E$35*E92+E92*'Uitgangspunten debiet+ vrachten'!$E$51)/1000</f>
        <v>1.3120701949275357</v>
      </c>
      <c r="L56" s="15">
        <f>('Uitgangspunten debiet+ vrachten'!$E$36*'ZW Vrachten door de tijd'!E92+E92*'Uitgangspunten debiet+ vrachten'!$E$44)/1000</f>
        <v>0.15706577173913042</v>
      </c>
      <c r="M56" s="13">
        <f>(F92*VLOOKUP($F$1,'Uitgangspunten debiet+ vrachten'!$B$23:$F$25,4,)+F92*('Uitgangspunten debiet+ vrachten'!$E$27+'Uitgangspunten debiet+ vrachten'!$E$28))/1000</f>
        <v>9.9976702312499999</v>
      </c>
      <c r="N56" s="14">
        <f>'Uitgangspunten debiet+ vrachten'!$E$32*'ZW Vrachten door de tijd'!F92/1000</f>
        <v>62.832822847826087</v>
      </c>
      <c r="O56" s="14">
        <f>('Uitgangspunten debiet+ vrachten'!$E$34*'ZW Vrachten door de tijd'!F92+F92*'Uitgangspunten debiet+ vrachten'!$E$50)/1000</f>
        <v>47.207503793478253</v>
      </c>
      <c r="P56" s="14">
        <f>('Uitgangspunten debiet+ vrachten'!$E$35*F92+F92*'Uitgangspunten debiet+ vrachten'!$E$51)/1000</f>
        <v>14.057798161521736</v>
      </c>
      <c r="Q56" s="15">
        <f>('Uitgangspunten debiet+ vrachten'!$E$36*'ZW Vrachten door de tijd'!F92+F92*'Uitgangspunten debiet+ vrachten'!$E$52)/1000</f>
        <v>1.7590916934782608</v>
      </c>
      <c r="R56" s="13">
        <f>(G92*VLOOKUP($F$1,'Uitgangspunten debiet+ vrachten'!$B$23:$F$25,4,)+G92*('Uitgangspunten debiet+ vrachten'!$E$27+'Uitgangspunten debiet+ vrachten'!$E$28))/1000</f>
        <v>6.4873453124999996</v>
      </c>
      <c r="S56" s="14">
        <f>('Uitgangspunten debiet+ vrachten'!$E$32*'ZW Vrachten door de tijd'!G92+G92*'Uitgangspunten debiet+ vrachten'!$E$48)/1000</f>
        <v>61.694820652173917</v>
      </c>
      <c r="T56" s="14">
        <f>('Uitgangspunten debiet+ vrachten'!$E$34*'ZW Vrachten door de tijd'!G92+G92*'Uitgangspunten debiet+ vrachten'!$E$50)/1000</f>
        <v>30.632274456521731</v>
      </c>
      <c r="U56" s="14">
        <f>('Uitgangspunten debiet+ vrachten'!$E$35*G92+G92*'Uitgangspunten debiet+ vrachten'!$E$51)/1000</f>
        <v>9.1219042934782593</v>
      </c>
      <c r="V56" s="15">
        <f>('Uitgangspunten debiet+ vrachten'!$E$36*'ZW Vrachten door de tijd'!G92+G92*'Uitgangspunten debiet+ vrachten'!$E$52)/1000</f>
        <v>1.141449456521739</v>
      </c>
    </row>
    <row r="57" spans="1:22" x14ac:dyDescent="0.3">
      <c r="A57" s="171">
        <v>2035</v>
      </c>
      <c r="B57" s="4"/>
      <c r="C57" s="13">
        <f>((C93*VLOOKUP($F$2,'Uitgangspunten debiet+ vrachten'!$B$23:$F$25,5,)+D93*VLOOKUP($F$1,'Uitgangspunten debiet+ vrachten'!$B$23:$F$25,4,))+(C93*('Uitgangspunten debiet+ vrachten'!$D$27+'Uitgangspunten debiet+ vrachten'!$D$28))+'ZW Vrachten door de tijd'!D93*('Uitgangspunten debiet+ vrachten'!$E$27+'Uitgangspunten debiet+ vrachten'!$E$28))/1000</f>
        <v>9.5076902500000013</v>
      </c>
      <c r="D57" s="14">
        <f>('Uitgangspunten debiet+ vrachten'!$E$32*D93+'Uitgangspunten debiet+ vrachten'!$F$32*'ZW Vrachten door de tijd'!C93+C93*'Uitgangspunten debiet+ vrachten'!$F$48+'ZW Vrachten door de tijd'!D93*'Uitgangspunten debiet+ vrachten'!$E$48)/1000</f>
        <v>94.656621739130443</v>
      </c>
      <c r="E57" s="14">
        <f>('Uitgangspunten debiet+ vrachten'!$E$34*D93+'Uitgangspunten debiet+ vrachten'!$F$34*'ZW Vrachten door de tijd'!C93+C93*'Uitgangspunten debiet+ vrachten'!$F$50+'ZW Vrachten door de tijd'!D93*'Uitgangspunten debiet+ vrachten'!$E$50)/1000</f>
        <v>48.367755217391299</v>
      </c>
      <c r="F57" s="14">
        <f>(('Uitgangspunten debiet+ vrachten'!$E$35+'Uitgangspunten debiet+ vrachten'!$E$51)*D93+('Uitgangspunten debiet+ vrachten'!$F$35+'Uitgangspunten debiet+ vrachten'!$F$51)*'ZW Vrachten door de tijd'!C93)/1000</f>
        <v>12.464544849275359</v>
      </c>
      <c r="G57" s="15">
        <f>(('Uitgangspunten debiet+ vrachten'!$E$36+'Uitgangspunten debiet+ vrachten'!$E$52)*D93+('Uitgangspunten debiet+ vrachten'!$F$36+'Uitgangspunten debiet+ vrachten'!$F$52)*'ZW Vrachten door de tijd'!C93)/1000</f>
        <v>1.547159217391304</v>
      </c>
      <c r="H57" s="13">
        <f>(E93*VLOOKUP($F$1,'Uitgangspunten debiet+ vrachten'!$B$23:$F$25,4,)+E93*('Uitgangspunten debiet+ vrachten'!$E$27+'Uitgangspunten debiet+ vrachten'!$E$28))/1000</f>
        <v>0.9331223125</v>
      </c>
      <c r="I57" s="14">
        <f>('Uitgangspunten debiet+ vrachten'!$E$32*'ZW Vrachten door de tijd'!E93+'Uitgangspunten debiet+ vrachten'!$E$48*'ZW Vrachten door de tijd'!E93)/1000</f>
        <v>8.8740171739130442</v>
      </c>
      <c r="J57" s="14">
        <f>'Uitgangspunten debiet+ vrachten'!$E$34*'ZW Vrachten door de tijd'!E93/1000</f>
        <v>2.6064165217391295</v>
      </c>
      <c r="K57" s="14">
        <f>('Uitgangspunten debiet+ vrachten'!$E$35*E93+E93*'Uitgangspunten debiet+ vrachten'!$E$51)/1000</f>
        <v>1.3120701949275357</v>
      </c>
      <c r="L57" s="15">
        <f>('Uitgangspunten debiet+ vrachten'!$E$36*'ZW Vrachten door de tijd'!E93+E93*'Uitgangspunten debiet+ vrachten'!$E$44)/1000</f>
        <v>0.15706577173913042</v>
      </c>
      <c r="M57" s="13">
        <f>(F93*VLOOKUP($F$1,'Uitgangspunten debiet+ vrachten'!$B$23:$F$25,4,)+F93*('Uitgangspunten debiet+ vrachten'!$E$27+'Uitgangspunten debiet+ vrachten'!$E$28))/1000</f>
        <v>9.9976702312499999</v>
      </c>
      <c r="N57" s="14">
        <f>'Uitgangspunten debiet+ vrachten'!$E$32*'ZW Vrachten door de tijd'!F93/1000</f>
        <v>62.832822847826087</v>
      </c>
      <c r="O57" s="14">
        <f>('Uitgangspunten debiet+ vrachten'!$E$34*'ZW Vrachten door de tijd'!F93+F93*'Uitgangspunten debiet+ vrachten'!$E$50)/1000</f>
        <v>47.207503793478253</v>
      </c>
      <c r="P57" s="14">
        <f>('Uitgangspunten debiet+ vrachten'!$E$35*F93+F93*'Uitgangspunten debiet+ vrachten'!$E$51)/1000</f>
        <v>14.057798161521736</v>
      </c>
      <c r="Q57" s="15">
        <f>('Uitgangspunten debiet+ vrachten'!$E$36*'ZW Vrachten door de tijd'!F93+F93*'Uitgangspunten debiet+ vrachten'!$E$52)/1000</f>
        <v>1.7590916934782608</v>
      </c>
      <c r="R57" s="13">
        <f>(G93*VLOOKUP($F$1,'Uitgangspunten debiet+ vrachten'!$B$23:$F$25,4,)+G93*('Uitgangspunten debiet+ vrachten'!$E$27+'Uitgangspunten debiet+ vrachten'!$E$28))/1000</f>
        <v>6.4873453124999996</v>
      </c>
      <c r="S57" s="14">
        <f>('Uitgangspunten debiet+ vrachten'!$E$32*'ZW Vrachten door de tijd'!G93+G93*'Uitgangspunten debiet+ vrachten'!$E$48)/1000</f>
        <v>61.694820652173917</v>
      </c>
      <c r="T57" s="14">
        <f>('Uitgangspunten debiet+ vrachten'!$E$34*'ZW Vrachten door de tijd'!G93+G93*'Uitgangspunten debiet+ vrachten'!$E$50)/1000</f>
        <v>30.632274456521731</v>
      </c>
      <c r="U57" s="14">
        <f>('Uitgangspunten debiet+ vrachten'!$E$35*G93+G93*'Uitgangspunten debiet+ vrachten'!$E$51)/1000</f>
        <v>9.1219042934782593</v>
      </c>
      <c r="V57" s="15">
        <f>('Uitgangspunten debiet+ vrachten'!$E$36*'ZW Vrachten door de tijd'!G93+G93*'Uitgangspunten debiet+ vrachten'!$E$52)/1000</f>
        <v>1.141449456521739</v>
      </c>
    </row>
    <row r="58" spans="1:22" x14ac:dyDescent="0.3">
      <c r="A58" s="171">
        <v>2036</v>
      </c>
      <c r="B58" s="4"/>
      <c r="C58" s="13">
        <f>((C94*VLOOKUP($F$2,'Uitgangspunten debiet+ vrachten'!$B$23:$F$25,5,)+D94*VLOOKUP($F$1,'Uitgangspunten debiet+ vrachten'!$B$23:$F$25,4,))+(C94*('Uitgangspunten debiet+ vrachten'!$D$27+'Uitgangspunten debiet+ vrachten'!$D$28))+'ZW Vrachten door de tijd'!D94*('Uitgangspunten debiet+ vrachten'!$E$27+'Uitgangspunten debiet+ vrachten'!$E$28))/1000</f>
        <v>9.5076902500000013</v>
      </c>
      <c r="D58" s="14">
        <f>('Uitgangspunten debiet+ vrachten'!$E$32*D94+'Uitgangspunten debiet+ vrachten'!$F$32*'ZW Vrachten door de tijd'!C94+C94*'Uitgangspunten debiet+ vrachten'!$F$48+'ZW Vrachten door de tijd'!D94*'Uitgangspunten debiet+ vrachten'!$E$48)/1000</f>
        <v>94.656621739130443</v>
      </c>
      <c r="E58" s="14">
        <f>('Uitgangspunten debiet+ vrachten'!$E$34*D94+'Uitgangspunten debiet+ vrachten'!$F$34*'ZW Vrachten door de tijd'!C94+C94*'Uitgangspunten debiet+ vrachten'!$F$50+'ZW Vrachten door de tijd'!D94*'Uitgangspunten debiet+ vrachten'!$E$50)/1000</f>
        <v>48.367755217391299</v>
      </c>
      <c r="F58" s="14">
        <f>(('Uitgangspunten debiet+ vrachten'!$E$35+'Uitgangspunten debiet+ vrachten'!$E$51)*D94+('Uitgangspunten debiet+ vrachten'!$F$35+'Uitgangspunten debiet+ vrachten'!$F$51)*'ZW Vrachten door de tijd'!C94)/1000</f>
        <v>12.464544849275359</v>
      </c>
      <c r="G58" s="15">
        <f>(('Uitgangspunten debiet+ vrachten'!$E$36+'Uitgangspunten debiet+ vrachten'!$E$52)*D94+('Uitgangspunten debiet+ vrachten'!$F$36+'Uitgangspunten debiet+ vrachten'!$F$52)*'ZW Vrachten door de tijd'!C94)/1000</f>
        <v>1.547159217391304</v>
      </c>
      <c r="H58" s="13">
        <f>(E94*VLOOKUP($F$1,'Uitgangspunten debiet+ vrachten'!$B$23:$F$25,4,)+E94*('Uitgangspunten debiet+ vrachten'!$E$27+'Uitgangspunten debiet+ vrachten'!$E$28))/1000</f>
        <v>0.9331223125</v>
      </c>
      <c r="I58" s="14">
        <f>('Uitgangspunten debiet+ vrachten'!$E$32*'ZW Vrachten door de tijd'!E94+'Uitgangspunten debiet+ vrachten'!$E$48*'ZW Vrachten door de tijd'!E94)/1000</f>
        <v>8.8740171739130442</v>
      </c>
      <c r="J58" s="14">
        <f>'Uitgangspunten debiet+ vrachten'!$E$34*'ZW Vrachten door de tijd'!E94/1000</f>
        <v>2.6064165217391295</v>
      </c>
      <c r="K58" s="14">
        <f>('Uitgangspunten debiet+ vrachten'!$E$35*E94+E94*'Uitgangspunten debiet+ vrachten'!$E$51)/1000</f>
        <v>1.3120701949275357</v>
      </c>
      <c r="L58" s="15">
        <f>('Uitgangspunten debiet+ vrachten'!$E$36*'ZW Vrachten door de tijd'!E94+E94*'Uitgangspunten debiet+ vrachten'!$E$44)/1000</f>
        <v>0.15706577173913042</v>
      </c>
      <c r="M58" s="13">
        <f>(F94*VLOOKUP($F$1,'Uitgangspunten debiet+ vrachten'!$B$23:$F$25,4,)+F94*('Uitgangspunten debiet+ vrachten'!$E$27+'Uitgangspunten debiet+ vrachten'!$E$28))/1000</f>
        <v>9.9976702312499999</v>
      </c>
      <c r="N58" s="14">
        <f>'Uitgangspunten debiet+ vrachten'!$E$32*'ZW Vrachten door de tijd'!F94/1000</f>
        <v>62.832822847826087</v>
      </c>
      <c r="O58" s="14">
        <f>('Uitgangspunten debiet+ vrachten'!$E$34*'ZW Vrachten door de tijd'!F94+F94*'Uitgangspunten debiet+ vrachten'!$E$50)/1000</f>
        <v>47.207503793478253</v>
      </c>
      <c r="P58" s="14">
        <f>('Uitgangspunten debiet+ vrachten'!$E$35*F94+F94*'Uitgangspunten debiet+ vrachten'!$E$51)/1000</f>
        <v>14.057798161521736</v>
      </c>
      <c r="Q58" s="15">
        <f>('Uitgangspunten debiet+ vrachten'!$E$36*'ZW Vrachten door de tijd'!F94+F94*'Uitgangspunten debiet+ vrachten'!$E$52)/1000</f>
        <v>1.7590916934782608</v>
      </c>
      <c r="R58" s="13">
        <f>(G94*VLOOKUP($F$1,'Uitgangspunten debiet+ vrachten'!$B$23:$F$25,4,)+G94*('Uitgangspunten debiet+ vrachten'!$E$27+'Uitgangspunten debiet+ vrachten'!$E$28))/1000</f>
        <v>6.4873453124999996</v>
      </c>
      <c r="S58" s="14">
        <f>('Uitgangspunten debiet+ vrachten'!$E$32*'ZW Vrachten door de tijd'!G94+G94*'Uitgangspunten debiet+ vrachten'!$E$48)/1000</f>
        <v>61.694820652173917</v>
      </c>
      <c r="T58" s="14">
        <f>('Uitgangspunten debiet+ vrachten'!$E$34*'ZW Vrachten door de tijd'!G94+G94*'Uitgangspunten debiet+ vrachten'!$E$50)/1000</f>
        <v>30.632274456521731</v>
      </c>
      <c r="U58" s="14">
        <f>('Uitgangspunten debiet+ vrachten'!$E$35*G94+G94*'Uitgangspunten debiet+ vrachten'!$E$51)/1000</f>
        <v>9.1219042934782593</v>
      </c>
      <c r="V58" s="15">
        <f>('Uitgangspunten debiet+ vrachten'!$E$36*'ZW Vrachten door de tijd'!G94+G94*'Uitgangspunten debiet+ vrachten'!$E$52)/1000</f>
        <v>1.141449456521739</v>
      </c>
    </row>
    <row r="59" spans="1:22" x14ac:dyDescent="0.3">
      <c r="A59" s="171">
        <v>2037</v>
      </c>
      <c r="B59" s="4"/>
      <c r="C59" s="13">
        <f>((C95*VLOOKUP($F$2,'Uitgangspunten debiet+ vrachten'!$B$23:$F$25,5,)+D95*VLOOKUP($F$1,'Uitgangspunten debiet+ vrachten'!$B$23:$F$25,4,))+(C95*('Uitgangspunten debiet+ vrachten'!$D$27+'Uitgangspunten debiet+ vrachten'!$D$28))+'ZW Vrachten door de tijd'!D95*('Uitgangspunten debiet+ vrachten'!$E$27+'Uitgangspunten debiet+ vrachten'!$E$28))/1000</f>
        <v>9.5076902500000013</v>
      </c>
      <c r="D59" s="14">
        <f>('Uitgangspunten debiet+ vrachten'!$E$32*D95+'Uitgangspunten debiet+ vrachten'!$F$32*'ZW Vrachten door de tijd'!C95+C95*'Uitgangspunten debiet+ vrachten'!$F$48+'ZW Vrachten door de tijd'!D95*'Uitgangspunten debiet+ vrachten'!$E$48)/1000</f>
        <v>94.656621739130443</v>
      </c>
      <c r="E59" s="14">
        <f>('Uitgangspunten debiet+ vrachten'!$E$34*D95+'Uitgangspunten debiet+ vrachten'!$F$34*'ZW Vrachten door de tijd'!C95+C95*'Uitgangspunten debiet+ vrachten'!$F$50+'ZW Vrachten door de tijd'!D95*'Uitgangspunten debiet+ vrachten'!$E$50)/1000</f>
        <v>48.367755217391299</v>
      </c>
      <c r="F59" s="14">
        <f>(('Uitgangspunten debiet+ vrachten'!$E$35+'Uitgangspunten debiet+ vrachten'!$E$51)*D95+('Uitgangspunten debiet+ vrachten'!$F$35+'Uitgangspunten debiet+ vrachten'!$F$51)*'ZW Vrachten door de tijd'!C95)/1000</f>
        <v>12.464544849275359</v>
      </c>
      <c r="G59" s="15">
        <f>(('Uitgangspunten debiet+ vrachten'!$E$36+'Uitgangspunten debiet+ vrachten'!$E$52)*D95+('Uitgangspunten debiet+ vrachten'!$F$36+'Uitgangspunten debiet+ vrachten'!$F$52)*'ZW Vrachten door de tijd'!C95)/1000</f>
        <v>1.547159217391304</v>
      </c>
      <c r="H59" s="13">
        <f>(E95*VLOOKUP($F$1,'Uitgangspunten debiet+ vrachten'!$B$23:$F$25,4,)+E95*('Uitgangspunten debiet+ vrachten'!$E$27+'Uitgangspunten debiet+ vrachten'!$E$28))/1000</f>
        <v>0.9331223125</v>
      </c>
      <c r="I59" s="14">
        <f>('Uitgangspunten debiet+ vrachten'!$E$32*'ZW Vrachten door de tijd'!E95+'Uitgangspunten debiet+ vrachten'!$E$48*'ZW Vrachten door de tijd'!E95)/1000</f>
        <v>8.8740171739130442</v>
      </c>
      <c r="J59" s="14">
        <f>'Uitgangspunten debiet+ vrachten'!$E$34*'ZW Vrachten door de tijd'!E95/1000</f>
        <v>2.6064165217391295</v>
      </c>
      <c r="K59" s="14">
        <f>('Uitgangspunten debiet+ vrachten'!$E$35*E95+E95*'Uitgangspunten debiet+ vrachten'!$E$51)/1000</f>
        <v>1.3120701949275357</v>
      </c>
      <c r="L59" s="15">
        <f>('Uitgangspunten debiet+ vrachten'!$E$36*'ZW Vrachten door de tijd'!E95+E95*'Uitgangspunten debiet+ vrachten'!$E$44)/1000</f>
        <v>0.15706577173913042</v>
      </c>
      <c r="M59" s="13">
        <f>(F95*VLOOKUP($F$1,'Uitgangspunten debiet+ vrachten'!$B$23:$F$25,4,)+F95*('Uitgangspunten debiet+ vrachten'!$E$27+'Uitgangspunten debiet+ vrachten'!$E$28))/1000</f>
        <v>9.9976702312499999</v>
      </c>
      <c r="N59" s="14">
        <f>'Uitgangspunten debiet+ vrachten'!$E$32*'ZW Vrachten door de tijd'!F95/1000</f>
        <v>62.832822847826087</v>
      </c>
      <c r="O59" s="14">
        <f>('Uitgangspunten debiet+ vrachten'!$E$34*'ZW Vrachten door de tijd'!F95+F95*'Uitgangspunten debiet+ vrachten'!$E$50)/1000</f>
        <v>47.207503793478253</v>
      </c>
      <c r="P59" s="14">
        <f>('Uitgangspunten debiet+ vrachten'!$E$35*F95+F95*'Uitgangspunten debiet+ vrachten'!$E$51)/1000</f>
        <v>14.057798161521736</v>
      </c>
      <c r="Q59" s="15">
        <f>('Uitgangspunten debiet+ vrachten'!$E$36*'ZW Vrachten door de tijd'!F95+F95*'Uitgangspunten debiet+ vrachten'!$E$52)/1000</f>
        <v>1.7590916934782608</v>
      </c>
      <c r="R59" s="13">
        <f>(G95*VLOOKUP($F$1,'Uitgangspunten debiet+ vrachten'!$B$23:$F$25,4,)+G95*('Uitgangspunten debiet+ vrachten'!$E$27+'Uitgangspunten debiet+ vrachten'!$E$28))/1000</f>
        <v>6.4873453124999996</v>
      </c>
      <c r="S59" s="14">
        <f>('Uitgangspunten debiet+ vrachten'!$E$32*'ZW Vrachten door de tijd'!G95+G95*'Uitgangspunten debiet+ vrachten'!$E$48)/1000</f>
        <v>61.694820652173917</v>
      </c>
      <c r="T59" s="14">
        <f>('Uitgangspunten debiet+ vrachten'!$E$34*'ZW Vrachten door de tijd'!G95+G95*'Uitgangspunten debiet+ vrachten'!$E$50)/1000</f>
        <v>30.632274456521731</v>
      </c>
      <c r="U59" s="14">
        <f>('Uitgangspunten debiet+ vrachten'!$E$35*G95+G95*'Uitgangspunten debiet+ vrachten'!$E$51)/1000</f>
        <v>9.1219042934782593</v>
      </c>
      <c r="V59" s="15">
        <f>('Uitgangspunten debiet+ vrachten'!$E$36*'ZW Vrachten door de tijd'!G95+G95*'Uitgangspunten debiet+ vrachten'!$E$52)/1000</f>
        <v>1.141449456521739</v>
      </c>
    </row>
    <row r="60" spans="1:22" x14ac:dyDescent="0.3">
      <c r="A60" s="171">
        <v>2038</v>
      </c>
      <c r="B60" s="4"/>
      <c r="C60" s="13">
        <f>((C96*VLOOKUP($F$2,'Uitgangspunten debiet+ vrachten'!$B$23:$F$25,5,)+D96*VLOOKUP($F$1,'Uitgangspunten debiet+ vrachten'!$B$23:$F$25,4,))+(C96*('Uitgangspunten debiet+ vrachten'!$D$27+'Uitgangspunten debiet+ vrachten'!$D$28))+'ZW Vrachten door de tijd'!D96*('Uitgangspunten debiet+ vrachten'!$E$27+'Uitgangspunten debiet+ vrachten'!$E$28))/1000</f>
        <v>9.5076902500000013</v>
      </c>
      <c r="D60" s="14">
        <f>('Uitgangspunten debiet+ vrachten'!$E$32*D96+'Uitgangspunten debiet+ vrachten'!$F$32*'ZW Vrachten door de tijd'!C96+C96*'Uitgangspunten debiet+ vrachten'!$F$48+'ZW Vrachten door de tijd'!D96*'Uitgangspunten debiet+ vrachten'!$E$48)/1000</f>
        <v>94.656621739130443</v>
      </c>
      <c r="E60" s="14">
        <f>('Uitgangspunten debiet+ vrachten'!$E$34*D96+'Uitgangspunten debiet+ vrachten'!$F$34*'ZW Vrachten door de tijd'!C96+C96*'Uitgangspunten debiet+ vrachten'!$F$50+'ZW Vrachten door de tijd'!D96*'Uitgangspunten debiet+ vrachten'!$E$50)/1000</f>
        <v>48.367755217391299</v>
      </c>
      <c r="F60" s="14">
        <f>(('Uitgangspunten debiet+ vrachten'!$E$35+'Uitgangspunten debiet+ vrachten'!$E$51)*D96+('Uitgangspunten debiet+ vrachten'!$F$35+'Uitgangspunten debiet+ vrachten'!$F$51)*'ZW Vrachten door de tijd'!C96)/1000</f>
        <v>12.464544849275359</v>
      </c>
      <c r="G60" s="15">
        <f>(('Uitgangspunten debiet+ vrachten'!$E$36+'Uitgangspunten debiet+ vrachten'!$E$52)*D96+('Uitgangspunten debiet+ vrachten'!$F$36+'Uitgangspunten debiet+ vrachten'!$F$52)*'ZW Vrachten door de tijd'!C96)/1000</f>
        <v>1.547159217391304</v>
      </c>
      <c r="H60" s="13">
        <f>(E96*VLOOKUP($F$1,'Uitgangspunten debiet+ vrachten'!$B$23:$F$25,4,)+E96*('Uitgangspunten debiet+ vrachten'!$E$27+'Uitgangspunten debiet+ vrachten'!$E$28))/1000</f>
        <v>0.9331223125</v>
      </c>
      <c r="I60" s="14">
        <f>('Uitgangspunten debiet+ vrachten'!$E$32*'ZW Vrachten door de tijd'!E96+'Uitgangspunten debiet+ vrachten'!$E$48*'ZW Vrachten door de tijd'!E96)/1000</f>
        <v>8.8740171739130442</v>
      </c>
      <c r="J60" s="14">
        <f>'Uitgangspunten debiet+ vrachten'!$E$34*'ZW Vrachten door de tijd'!E96/1000</f>
        <v>2.6064165217391295</v>
      </c>
      <c r="K60" s="14">
        <f>('Uitgangspunten debiet+ vrachten'!$E$35*E96+E96*'Uitgangspunten debiet+ vrachten'!$E$51)/1000</f>
        <v>1.3120701949275357</v>
      </c>
      <c r="L60" s="15">
        <f>('Uitgangspunten debiet+ vrachten'!$E$36*'ZW Vrachten door de tijd'!E96+E96*'Uitgangspunten debiet+ vrachten'!$E$44)/1000</f>
        <v>0.15706577173913042</v>
      </c>
      <c r="M60" s="13">
        <f>(F96*VLOOKUP($F$1,'Uitgangspunten debiet+ vrachten'!$B$23:$F$25,4,)+F96*('Uitgangspunten debiet+ vrachten'!$E$27+'Uitgangspunten debiet+ vrachten'!$E$28))/1000</f>
        <v>9.9976702312499999</v>
      </c>
      <c r="N60" s="14">
        <f>'Uitgangspunten debiet+ vrachten'!$E$32*'ZW Vrachten door de tijd'!F96/1000</f>
        <v>62.832822847826087</v>
      </c>
      <c r="O60" s="14">
        <f>('Uitgangspunten debiet+ vrachten'!$E$34*'ZW Vrachten door de tijd'!F96+F96*'Uitgangspunten debiet+ vrachten'!$E$50)/1000</f>
        <v>47.207503793478253</v>
      </c>
      <c r="P60" s="14">
        <f>('Uitgangspunten debiet+ vrachten'!$E$35*F96+F96*'Uitgangspunten debiet+ vrachten'!$E$51)/1000</f>
        <v>14.057798161521736</v>
      </c>
      <c r="Q60" s="15">
        <f>('Uitgangspunten debiet+ vrachten'!$E$36*'ZW Vrachten door de tijd'!F96+F96*'Uitgangspunten debiet+ vrachten'!$E$52)/1000</f>
        <v>1.7590916934782608</v>
      </c>
      <c r="R60" s="13">
        <f>(G96*VLOOKUP($F$1,'Uitgangspunten debiet+ vrachten'!$B$23:$F$25,4,)+G96*('Uitgangspunten debiet+ vrachten'!$E$27+'Uitgangspunten debiet+ vrachten'!$E$28))/1000</f>
        <v>6.4873453124999996</v>
      </c>
      <c r="S60" s="14">
        <f>('Uitgangspunten debiet+ vrachten'!$E$32*'ZW Vrachten door de tijd'!G96+G96*'Uitgangspunten debiet+ vrachten'!$E$48)/1000</f>
        <v>61.694820652173917</v>
      </c>
      <c r="T60" s="14">
        <f>('Uitgangspunten debiet+ vrachten'!$E$34*'ZW Vrachten door de tijd'!G96+G96*'Uitgangspunten debiet+ vrachten'!$E$50)/1000</f>
        <v>30.632274456521731</v>
      </c>
      <c r="U60" s="14">
        <f>('Uitgangspunten debiet+ vrachten'!$E$35*G96+G96*'Uitgangspunten debiet+ vrachten'!$E$51)/1000</f>
        <v>9.1219042934782593</v>
      </c>
      <c r="V60" s="15">
        <f>('Uitgangspunten debiet+ vrachten'!$E$36*'ZW Vrachten door de tijd'!G96+G96*'Uitgangspunten debiet+ vrachten'!$E$52)/1000</f>
        <v>1.141449456521739</v>
      </c>
    </row>
    <row r="61" spans="1:22" x14ac:dyDescent="0.3">
      <c r="A61" s="171">
        <v>2039</v>
      </c>
      <c r="B61" s="4"/>
      <c r="C61" s="13">
        <f>((C97*VLOOKUP($F$2,'Uitgangspunten debiet+ vrachten'!$B$23:$F$25,5,)+D97*VLOOKUP($F$1,'Uitgangspunten debiet+ vrachten'!$B$23:$F$25,4,))+(C97*('Uitgangspunten debiet+ vrachten'!$D$27+'Uitgangspunten debiet+ vrachten'!$D$28))+'ZW Vrachten door de tijd'!D97*('Uitgangspunten debiet+ vrachten'!$E$27+'Uitgangspunten debiet+ vrachten'!$E$28))/1000</f>
        <v>9.5076902500000013</v>
      </c>
      <c r="D61" s="14">
        <f>('Uitgangspunten debiet+ vrachten'!$E$32*D97+'Uitgangspunten debiet+ vrachten'!$F$32*'ZW Vrachten door de tijd'!C97+C97*'Uitgangspunten debiet+ vrachten'!$F$48+'ZW Vrachten door de tijd'!D97*'Uitgangspunten debiet+ vrachten'!$E$48)/1000</f>
        <v>94.656621739130443</v>
      </c>
      <c r="E61" s="14">
        <f>('Uitgangspunten debiet+ vrachten'!$E$34*D97+'Uitgangspunten debiet+ vrachten'!$F$34*'ZW Vrachten door de tijd'!C97+C97*'Uitgangspunten debiet+ vrachten'!$F$50+'ZW Vrachten door de tijd'!D97*'Uitgangspunten debiet+ vrachten'!$E$50)/1000</f>
        <v>48.367755217391299</v>
      </c>
      <c r="F61" s="14">
        <f>(('Uitgangspunten debiet+ vrachten'!$E$35+'Uitgangspunten debiet+ vrachten'!$E$51)*D97+('Uitgangspunten debiet+ vrachten'!$F$35+'Uitgangspunten debiet+ vrachten'!$F$51)*'ZW Vrachten door de tijd'!C97)/1000</f>
        <v>12.464544849275359</v>
      </c>
      <c r="G61" s="15">
        <f>(('Uitgangspunten debiet+ vrachten'!$E$36+'Uitgangspunten debiet+ vrachten'!$E$52)*D97+('Uitgangspunten debiet+ vrachten'!$F$36+'Uitgangspunten debiet+ vrachten'!$F$52)*'ZW Vrachten door de tijd'!C97)/1000</f>
        <v>1.547159217391304</v>
      </c>
      <c r="H61" s="13">
        <f>(E97*VLOOKUP($F$1,'Uitgangspunten debiet+ vrachten'!$B$23:$F$25,4,)+E97*('Uitgangspunten debiet+ vrachten'!$E$27+'Uitgangspunten debiet+ vrachten'!$E$28))/1000</f>
        <v>0.9331223125</v>
      </c>
      <c r="I61" s="14">
        <f>('Uitgangspunten debiet+ vrachten'!$E$32*'ZW Vrachten door de tijd'!E97+'Uitgangspunten debiet+ vrachten'!$E$48*'ZW Vrachten door de tijd'!E97)/1000</f>
        <v>8.8740171739130442</v>
      </c>
      <c r="J61" s="14">
        <f>'Uitgangspunten debiet+ vrachten'!$E$34*'ZW Vrachten door de tijd'!E97/1000</f>
        <v>2.6064165217391295</v>
      </c>
      <c r="K61" s="14">
        <f>('Uitgangspunten debiet+ vrachten'!$E$35*E97+E97*'Uitgangspunten debiet+ vrachten'!$E$51)/1000</f>
        <v>1.3120701949275357</v>
      </c>
      <c r="L61" s="15">
        <f>('Uitgangspunten debiet+ vrachten'!$E$36*'ZW Vrachten door de tijd'!E97+E97*'Uitgangspunten debiet+ vrachten'!$E$44)/1000</f>
        <v>0.15706577173913042</v>
      </c>
      <c r="M61" s="13">
        <f>(F97*VLOOKUP($F$1,'Uitgangspunten debiet+ vrachten'!$B$23:$F$25,4,)+F97*('Uitgangspunten debiet+ vrachten'!$E$27+'Uitgangspunten debiet+ vrachten'!$E$28))/1000</f>
        <v>9.9976702312499999</v>
      </c>
      <c r="N61" s="14">
        <f>'Uitgangspunten debiet+ vrachten'!$E$32*'ZW Vrachten door de tijd'!F97/1000</f>
        <v>62.832822847826087</v>
      </c>
      <c r="O61" s="14">
        <f>('Uitgangspunten debiet+ vrachten'!$E$34*'ZW Vrachten door de tijd'!F97+F97*'Uitgangspunten debiet+ vrachten'!$E$50)/1000</f>
        <v>47.207503793478253</v>
      </c>
      <c r="P61" s="14">
        <f>('Uitgangspunten debiet+ vrachten'!$E$35*F97+F97*'Uitgangspunten debiet+ vrachten'!$E$51)/1000</f>
        <v>14.057798161521736</v>
      </c>
      <c r="Q61" s="15">
        <f>('Uitgangspunten debiet+ vrachten'!$E$36*'ZW Vrachten door de tijd'!F97+F97*'Uitgangspunten debiet+ vrachten'!$E$52)/1000</f>
        <v>1.7590916934782608</v>
      </c>
      <c r="R61" s="13">
        <f>(G97*VLOOKUP($F$1,'Uitgangspunten debiet+ vrachten'!$B$23:$F$25,4,)+G97*('Uitgangspunten debiet+ vrachten'!$E$27+'Uitgangspunten debiet+ vrachten'!$E$28))/1000</f>
        <v>6.4873453124999996</v>
      </c>
      <c r="S61" s="14">
        <f>('Uitgangspunten debiet+ vrachten'!$E$32*'ZW Vrachten door de tijd'!G97+G97*'Uitgangspunten debiet+ vrachten'!$E$48)/1000</f>
        <v>61.694820652173917</v>
      </c>
      <c r="T61" s="14">
        <f>('Uitgangspunten debiet+ vrachten'!$E$34*'ZW Vrachten door de tijd'!G97+G97*'Uitgangspunten debiet+ vrachten'!$E$50)/1000</f>
        <v>30.632274456521731</v>
      </c>
      <c r="U61" s="14">
        <f>('Uitgangspunten debiet+ vrachten'!$E$35*G97+G97*'Uitgangspunten debiet+ vrachten'!$E$51)/1000</f>
        <v>9.1219042934782593</v>
      </c>
      <c r="V61" s="15">
        <f>('Uitgangspunten debiet+ vrachten'!$E$36*'ZW Vrachten door de tijd'!G97+G97*'Uitgangspunten debiet+ vrachten'!$E$52)/1000</f>
        <v>1.141449456521739</v>
      </c>
    </row>
    <row r="62" spans="1:22" x14ac:dyDescent="0.3">
      <c r="A62" s="171">
        <v>2040</v>
      </c>
      <c r="B62" s="4"/>
      <c r="C62" s="13">
        <f>((C98*VLOOKUP($F$2,'Uitgangspunten debiet+ vrachten'!$B$23:$F$25,5,)+D98*VLOOKUP($F$1,'Uitgangspunten debiet+ vrachten'!$B$23:$F$25,4,))+(C98*('Uitgangspunten debiet+ vrachten'!$D$27+'Uitgangspunten debiet+ vrachten'!$D$28))+'ZW Vrachten door de tijd'!D98*('Uitgangspunten debiet+ vrachten'!$E$27+'Uitgangspunten debiet+ vrachten'!$E$28))/1000</f>
        <v>9.5076902500000013</v>
      </c>
      <c r="D62" s="14">
        <f>('Uitgangspunten debiet+ vrachten'!$E$32*D98+'Uitgangspunten debiet+ vrachten'!$F$32*'ZW Vrachten door de tijd'!C98+C98*'Uitgangspunten debiet+ vrachten'!$F$48+'ZW Vrachten door de tijd'!D98*'Uitgangspunten debiet+ vrachten'!$E$48)/1000</f>
        <v>94.656621739130443</v>
      </c>
      <c r="E62" s="14">
        <f>('Uitgangspunten debiet+ vrachten'!$E$34*D98+'Uitgangspunten debiet+ vrachten'!$F$34*'ZW Vrachten door de tijd'!C98+C98*'Uitgangspunten debiet+ vrachten'!$F$50+'ZW Vrachten door de tijd'!D98*'Uitgangspunten debiet+ vrachten'!$E$50)/1000</f>
        <v>48.367755217391299</v>
      </c>
      <c r="F62" s="14">
        <f>(('Uitgangspunten debiet+ vrachten'!$E$35+'Uitgangspunten debiet+ vrachten'!$E$51)*D98+('Uitgangspunten debiet+ vrachten'!$F$35+'Uitgangspunten debiet+ vrachten'!$F$51)*'ZW Vrachten door de tijd'!C98)/1000</f>
        <v>12.464544849275359</v>
      </c>
      <c r="G62" s="15">
        <f>(('Uitgangspunten debiet+ vrachten'!$E$36+'Uitgangspunten debiet+ vrachten'!$E$52)*D98+('Uitgangspunten debiet+ vrachten'!$F$36+'Uitgangspunten debiet+ vrachten'!$F$52)*'ZW Vrachten door de tijd'!C98)/1000</f>
        <v>1.547159217391304</v>
      </c>
      <c r="H62" s="13">
        <f>(E98*VLOOKUP($F$1,'Uitgangspunten debiet+ vrachten'!$B$23:$F$25,4,)+E98*('Uitgangspunten debiet+ vrachten'!$E$27+'Uitgangspunten debiet+ vrachten'!$E$28))/1000</f>
        <v>0.9331223125</v>
      </c>
      <c r="I62" s="14">
        <f>('Uitgangspunten debiet+ vrachten'!$E$32*'ZW Vrachten door de tijd'!E98+'Uitgangspunten debiet+ vrachten'!$E$48*'ZW Vrachten door de tijd'!E98)/1000</f>
        <v>8.8740171739130442</v>
      </c>
      <c r="J62" s="14">
        <f>'Uitgangspunten debiet+ vrachten'!$E$34*'ZW Vrachten door de tijd'!E98/1000</f>
        <v>2.6064165217391295</v>
      </c>
      <c r="K62" s="14">
        <f>('Uitgangspunten debiet+ vrachten'!$E$35*E98+E98*'Uitgangspunten debiet+ vrachten'!$E$51)/1000</f>
        <v>1.3120701949275357</v>
      </c>
      <c r="L62" s="15">
        <f>('Uitgangspunten debiet+ vrachten'!$E$36*'ZW Vrachten door de tijd'!E98+E98*'Uitgangspunten debiet+ vrachten'!$E$44)/1000</f>
        <v>0.15706577173913042</v>
      </c>
      <c r="M62" s="13">
        <f>(F98*VLOOKUP($F$1,'Uitgangspunten debiet+ vrachten'!$B$23:$F$25,4,)+F98*('Uitgangspunten debiet+ vrachten'!$E$27+'Uitgangspunten debiet+ vrachten'!$E$28))/1000</f>
        <v>9.9976702312499999</v>
      </c>
      <c r="N62" s="14">
        <f>'Uitgangspunten debiet+ vrachten'!$E$32*'ZW Vrachten door de tijd'!F98/1000</f>
        <v>62.832822847826087</v>
      </c>
      <c r="O62" s="14">
        <f>('Uitgangspunten debiet+ vrachten'!$E$34*'ZW Vrachten door de tijd'!F98+F98*'Uitgangspunten debiet+ vrachten'!$E$50)/1000</f>
        <v>47.207503793478253</v>
      </c>
      <c r="P62" s="14">
        <f>('Uitgangspunten debiet+ vrachten'!$E$35*F98+F98*'Uitgangspunten debiet+ vrachten'!$E$51)/1000</f>
        <v>14.057798161521736</v>
      </c>
      <c r="Q62" s="15">
        <f>('Uitgangspunten debiet+ vrachten'!$E$36*'ZW Vrachten door de tijd'!F98+F98*'Uitgangspunten debiet+ vrachten'!$E$52)/1000</f>
        <v>1.7590916934782608</v>
      </c>
      <c r="R62" s="13">
        <f>(G98*VLOOKUP($F$1,'Uitgangspunten debiet+ vrachten'!$B$23:$F$25,4,)+G98*('Uitgangspunten debiet+ vrachten'!$E$27+'Uitgangspunten debiet+ vrachten'!$E$28))/1000</f>
        <v>6.4873453124999996</v>
      </c>
      <c r="S62" s="14">
        <f>('Uitgangspunten debiet+ vrachten'!$E$32*'ZW Vrachten door de tijd'!G98+G98*'Uitgangspunten debiet+ vrachten'!$E$48)/1000</f>
        <v>61.694820652173917</v>
      </c>
      <c r="T62" s="14">
        <f>('Uitgangspunten debiet+ vrachten'!$E$34*'ZW Vrachten door de tijd'!G98+G98*'Uitgangspunten debiet+ vrachten'!$E$50)/1000</f>
        <v>30.632274456521731</v>
      </c>
      <c r="U62" s="14">
        <f>('Uitgangspunten debiet+ vrachten'!$E$35*G98+G98*'Uitgangspunten debiet+ vrachten'!$E$51)/1000</f>
        <v>9.1219042934782593</v>
      </c>
      <c r="V62" s="15">
        <f>('Uitgangspunten debiet+ vrachten'!$E$36*'ZW Vrachten door de tijd'!G98+G98*'Uitgangspunten debiet+ vrachten'!$E$52)/1000</f>
        <v>1.141449456521739</v>
      </c>
    </row>
    <row r="63" spans="1:22" x14ac:dyDescent="0.3">
      <c r="A63" s="171">
        <v>2041</v>
      </c>
      <c r="B63" s="4"/>
      <c r="C63" s="13">
        <f>((C99*VLOOKUP($F$2,'Uitgangspunten debiet+ vrachten'!$B$23:$F$25,5,)+D99*VLOOKUP($F$1,'Uitgangspunten debiet+ vrachten'!$B$23:$F$25,4,))+(C99*('Uitgangspunten debiet+ vrachten'!$D$27+'Uitgangspunten debiet+ vrachten'!$D$28))+'ZW Vrachten door de tijd'!D99*('Uitgangspunten debiet+ vrachten'!$E$27+'Uitgangspunten debiet+ vrachten'!$E$28))/1000</f>
        <v>9.5076902500000013</v>
      </c>
      <c r="D63" s="14">
        <f>('Uitgangspunten debiet+ vrachten'!$E$32*D99+'Uitgangspunten debiet+ vrachten'!$F$32*'ZW Vrachten door de tijd'!C99+C99*'Uitgangspunten debiet+ vrachten'!$F$48+'ZW Vrachten door de tijd'!D99*'Uitgangspunten debiet+ vrachten'!$E$48)/1000</f>
        <v>94.656621739130443</v>
      </c>
      <c r="E63" s="14">
        <f>('Uitgangspunten debiet+ vrachten'!$E$34*D99+'Uitgangspunten debiet+ vrachten'!$F$34*'ZW Vrachten door de tijd'!C99+C99*'Uitgangspunten debiet+ vrachten'!$F$50+'ZW Vrachten door de tijd'!D99*'Uitgangspunten debiet+ vrachten'!$E$50)/1000</f>
        <v>48.367755217391299</v>
      </c>
      <c r="F63" s="14">
        <f>(('Uitgangspunten debiet+ vrachten'!$E$35+'Uitgangspunten debiet+ vrachten'!$E$51)*D99+('Uitgangspunten debiet+ vrachten'!$F$35+'Uitgangspunten debiet+ vrachten'!$F$51)*'ZW Vrachten door de tijd'!C99)/1000</f>
        <v>12.464544849275359</v>
      </c>
      <c r="G63" s="15">
        <f>(('Uitgangspunten debiet+ vrachten'!$E$36+'Uitgangspunten debiet+ vrachten'!$E$52)*D99+('Uitgangspunten debiet+ vrachten'!$F$36+'Uitgangspunten debiet+ vrachten'!$F$52)*'ZW Vrachten door de tijd'!C99)/1000</f>
        <v>1.547159217391304</v>
      </c>
      <c r="H63" s="13">
        <f>(E99*VLOOKUP($F$1,'Uitgangspunten debiet+ vrachten'!$B$23:$F$25,4,)+E99*('Uitgangspunten debiet+ vrachten'!$E$27+'Uitgangspunten debiet+ vrachten'!$E$28))/1000</f>
        <v>0.9331223125</v>
      </c>
      <c r="I63" s="14">
        <f>('Uitgangspunten debiet+ vrachten'!$E$32*'ZW Vrachten door de tijd'!E99+'Uitgangspunten debiet+ vrachten'!$E$48*'ZW Vrachten door de tijd'!E99)/1000</f>
        <v>8.8740171739130442</v>
      </c>
      <c r="J63" s="14">
        <f>'Uitgangspunten debiet+ vrachten'!$E$34*'ZW Vrachten door de tijd'!E99/1000</f>
        <v>2.6064165217391295</v>
      </c>
      <c r="K63" s="14">
        <f>('Uitgangspunten debiet+ vrachten'!$E$35*E99+E99*'Uitgangspunten debiet+ vrachten'!$E$51)/1000</f>
        <v>1.3120701949275357</v>
      </c>
      <c r="L63" s="15">
        <f>('Uitgangspunten debiet+ vrachten'!$E$36*'ZW Vrachten door de tijd'!E99+E99*'Uitgangspunten debiet+ vrachten'!$E$44)/1000</f>
        <v>0.15706577173913042</v>
      </c>
      <c r="M63" s="13">
        <f>(F99*VLOOKUP($F$1,'Uitgangspunten debiet+ vrachten'!$B$23:$F$25,4,)+F99*('Uitgangspunten debiet+ vrachten'!$E$27+'Uitgangspunten debiet+ vrachten'!$E$28))/1000</f>
        <v>9.9976702312499999</v>
      </c>
      <c r="N63" s="14">
        <f>'Uitgangspunten debiet+ vrachten'!$E$32*'ZW Vrachten door de tijd'!F99/1000</f>
        <v>62.832822847826087</v>
      </c>
      <c r="O63" s="14">
        <f>('Uitgangspunten debiet+ vrachten'!$E$34*'ZW Vrachten door de tijd'!F99+F99*'Uitgangspunten debiet+ vrachten'!$E$50)/1000</f>
        <v>47.207503793478253</v>
      </c>
      <c r="P63" s="14">
        <f>('Uitgangspunten debiet+ vrachten'!$E$35*F99+F99*'Uitgangspunten debiet+ vrachten'!$E$51)/1000</f>
        <v>14.057798161521736</v>
      </c>
      <c r="Q63" s="15">
        <f>('Uitgangspunten debiet+ vrachten'!$E$36*'ZW Vrachten door de tijd'!F99+F99*'Uitgangspunten debiet+ vrachten'!$E$52)/1000</f>
        <v>1.7590916934782608</v>
      </c>
      <c r="R63" s="13">
        <f>(G99*VLOOKUP($F$1,'Uitgangspunten debiet+ vrachten'!$B$23:$F$25,4,)+G99*('Uitgangspunten debiet+ vrachten'!$E$27+'Uitgangspunten debiet+ vrachten'!$E$28))/1000</f>
        <v>6.4873453124999996</v>
      </c>
      <c r="S63" s="14">
        <f>('Uitgangspunten debiet+ vrachten'!$E$32*'ZW Vrachten door de tijd'!G99+G99*'Uitgangspunten debiet+ vrachten'!$E$48)/1000</f>
        <v>61.694820652173917</v>
      </c>
      <c r="T63" s="14">
        <f>('Uitgangspunten debiet+ vrachten'!$E$34*'ZW Vrachten door de tijd'!G99+G99*'Uitgangspunten debiet+ vrachten'!$E$50)/1000</f>
        <v>30.632274456521731</v>
      </c>
      <c r="U63" s="14">
        <f>('Uitgangspunten debiet+ vrachten'!$E$35*G99+G99*'Uitgangspunten debiet+ vrachten'!$E$51)/1000</f>
        <v>9.1219042934782593</v>
      </c>
      <c r="V63" s="15">
        <f>('Uitgangspunten debiet+ vrachten'!$E$36*'ZW Vrachten door de tijd'!G99+G99*'Uitgangspunten debiet+ vrachten'!$E$52)/1000</f>
        <v>1.141449456521739</v>
      </c>
    </row>
    <row r="64" spans="1:22" x14ac:dyDescent="0.3">
      <c r="A64" s="171">
        <v>2042</v>
      </c>
      <c r="B64" s="4"/>
      <c r="C64" s="13">
        <f>((C100*VLOOKUP($F$2,'Uitgangspunten debiet+ vrachten'!$B$23:$F$25,5,)+D100*VLOOKUP($F$1,'Uitgangspunten debiet+ vrachten'!$B$23:$F$25,4,))+(C100*('Uitgangspunten debiet+ vrachten'!$D$27+'Uitgangspunten debiet+ vrachten'!$D$28))+'ZW Vrachten door de tijd'!D100*('Uitgangspunten debiet+ vrachten'!$E$27+'Uitgangspunten debiet+ vrachten'!$E$28))/1000</f>
        <v>9.5076902500000013</v>
      </c>
      <c r="D64" s="14">
        <f>('Uitgangspunten debiet+ vrachten'!$E$32*D100+'Uitgangspunten debiet+ vrachten'!$F$32*'ZW Vrachten door de tijd'!C100+C100*'Uitgangspunten debiet+ vrachten'!$F$48+'ZW Vrachten door de tijd'!D100*'Uitgangspunten debiet+ vrachten'!$E$48)/1000</f>
        <v>94.656621739130443</v>
      </c>
      <c r="E64" s="14">
        <f>('Uitgangspunten debiet+ vrachten'!$E$34*D100+'Uitgangspunten debiet+ vrachten'!$F$34*'ZW Vrachten door de tijd'!C100+C100*'Uitgangspunten debiet+ vrachten'!$F$50+'ZW Vrachten door de tijd'!D100*'Uitgangspunten debiet+ vrachten'!$E$50)/1000</f>
        <v>48.367755217391299</v>
      </c>
      <c r="F64" s="14">
        <f>(('Uitgangspunten debiet+ vrachten'!$E$35+'Uitgangspunten debiet+ vrachten'!$E$51)*D100+('Uitgangspunten debiet+ vrachten'!$F$35+'Uitgangspunten debiet+ vrachten'!$F$51)*'ZW Vrachten door de tijd'!C100)/1000</f>
        <v>12.464544849275359</v>
      </c>
      <c r="G64" s="15">
        <f>(('Uitgangspunten debiet+ vrachten'!$E$36+'Uitgangspunten debiet+ vrachten'!$E$52)*D100+('Uitgangspunten debiet+ vrachten'!$F$36+'Uitgangspunten debiet+ vrachten'!$F$52)*'ZW Vrachten door de tijd'!C100)/1000</f>
        <v>1.547159217391304</v>
      </c>
      <c r="H64" s="13">
        <f>(E100*VLOOKUP($F$1,'Uitgangspunten debiet+ vrachten'!$B$23:$F$25,4,)+E100*('Uitgangspunten debiet+ vrachten'!$E$27+'Uitgangspunten debiet+ vrachten'!$E$28))/1000</f>
        <v>0.9331223125</v>
      </c>
      <c r="I64" s="14">
        <f>('Uitgangspunten debiet+ vrachten'!$E$32*'ZW Vrachten door de tijd'!E100+'Uitgangspunten debiet+ vrachten'!$E$48*'ZW Vrachten door de tijd'!E100)/1000</f>
        <v>8.8740171739130442</v>
      </c>
      <c r="J64" s="14">
        <f>'Uitgangspunten debiet+ vrachten'!$E$34*'ZW Vrachten door de tijd'!E100/1000</f>
        <v>2.6064165217391295</v>
      </c>
      <c r="K64" s="14">
        <f>('Uitgangspunten debiet+ vrachten'!$E$35*E100+E100*'Uitgangspunten debiet+ vrachten'!$E$51)/1000</f>
        <v>1.3120701949275357</v>
      </c>
      <c r="L64" s="15">
        <f>('Uitgangspunten debiet+ vrachten'!$E$36*'ZW Vrachten door de tijd'!E100+E100*'Uitgangspunten debiet+ vrachten'!$E$44)/1000</f>
        <v>0.15706577173913042</v>
      </c>
      <c r="M64" s="13">
        <f>(F100*VLOOKUP($F$1,'Uitgangspunten debiet+ vrachten'!$B$23:$F$25,4,)+F100*('Uitgangspunten debiet+ vrachten'!$E$27+'Uitgangspunten debiet+ vrachten'!$E$28))/1000</f>
        <v>9.9976702312499999</v>
      </c>
      <c r="N64" s="14">
        <f>'Uitgangspunten debiet+ vrachten'!$E$32*'ZW Vrachten door de tijd'!F100/1000</f>
        <v>62.832822847826087</v>
      </c>
      <c r="O64" s="14">
        <f>('Uitgangspunten debiet+ vrachten'!$E$34*'ZW Vrachten door de tijd'!F100+F100*'Uitgangspunten debiet+ vrachten'!$E$50)/1000</f>
        <v>47.207503793478253</v>
      </c>
      <c r="P64" s="14">
        <f>('Uitgangspunten debiet+ vrachten'!$E$35*F100+F100*'Uitgangspunten debiet+ vrachten'!$E$51)/1000</f>
        <v>14.057798161521736</v>
      </c>
      <c r="Q64" s="15">
        <f>('Uitgangspunten debiet+ vrachten'!$E$36*'ZW Vrachten door de tijd'!F100+F100*'Uitgangspunten debiet+ vrachten'!$E$52)/1000</f>
        <v>1.7590916934782608</v>
      </c>
      <c r="R64" s="13">
        <f>(G100*VLOOKUP($F$1,'Uitgangspunten debiet+ vrachten'!$B$23:$F$25,4,)+G100*('Uitgangspunten debiet+ vrachten'!$E$27+'Uitgangspunten debiet+ vrachten'!$E$28))/1000</f>
        <v>6.4873453124999996</v>
      </c>
      <c r="S64" s="14">
        <f>('Uitgangspunten debiet+ vrachten'!$E$32*'ZW Vrachten door de tijd'!G100+G100*'Uitgangspunten debiet+ vrachten'!$E$48)/1000</f>
        <v>61.694820652173917</v>
      </c>
      <c r="T64" s="14">
        <f>('Uitgangspunten debiet+ vrachten'!$E$34*'ZW Vrachten door de tijd'!G100+G100*'Uitgangspunten debiet+ vrachten'!$E$50)/1000</f>
        <v>30.632274456521731</v>
      </c>
      <c r="U64" s="14">
        <f>('Uitgangspunten debiet+ vrachten'!$E$35*G100+G100*'Uitgangspunten debiet+ vrachten'!$E$51)/1000</f>
        <v>9.1219042934782593</v>
      </c>
      <c r="V64" s="15">
        <f>('Uitgangspunten debiet+ vrachten'!$E$36*'ZW Vrachten door de tijd'!G100+G100*'Uitgangspunten debiet+ vrachten'!$E$52)/1000</f>
        <v>1.141449456521739</v>
      </c>
    </row>
    <row r="65" spans="1:22" x14ac:dyDescent="0.3">
      <c r="A65" s="171">
        <v>2043</v>
      </c>
      <c r="B65" s="4"/>
      <c r="C65" s="13">
        <f>((C101*VLOOKUP($F$2,'Uitgangspunten debiet+ vrachten'!$B$23:$F$25,5,)+D101*VLOOKUP($F$1,'Uitgangspunten debiet+ vrachten'!$B$23:$F$25,4,))+(C101*('Uitgangspunten debiet+ vrachten'!$D$27+'Uitgangspunten debiet+ vrachten'!$D$28))+'ZW Vrachten door de tijd'!D101*('Uitgangspunten debiet+ vrachten'!$E$27+'Uitgangspunten debiet+ vrachten'!$E$28))/1000</f>
        <v>9.5076902500000013</v>
      </c>
      <c r="D65" s="14">
        <f>('Uitgangspunten debiet+ vrachten'!$E$32*D101+'Uitgangspunten debiet+ vrachten'!$F$32*'ZW Vrachten door de tijd'!C101+C101*'Uitgangspunten debiet+ vrachten'!$F$48+'ZW Vrachten door de tijd'!D101*'Uitgangspunten debiet+ vrachten'!$E$48)/1000</f>
        <v>94.656621739130443</v>
      </c>
      <c r="E65" s="14">
        <f>('Uitgangspunten debiet+ vrachten'!$E$34*D101+'Uitgangspunten debiet+ vrachten'!$F$34*'ZW Vrachten door de tijd'!C101+C101*'Uitgangspunten debiet+ vrachten'!$F$50+'ZW Vrachten door de tijd'!D101*'Uitgangspunten debiet+ vrachten'!$E$50)/1000</f>
        <v>48.367755217391299</v>
      </c>
      <c r="F65" s="14">
        <f>(('Uitgangspunten debiet+ vrachten'!$E$35+'Uitgangspunten debiet+ vrachten'!$E$51)*D101+('Uitgangspunten debiet+ vrachten'!$F$35+'Uitgangspunten debiet+ vrachten'!$F$51)*'ZW Vrachten door de tijd'!C101)/1000</f>
        <v>12.464544849275359</v>
      </c>
      <c r="G65" s="15">
        <f>(('Uitgangspunten debiet+ vrachten'!$E$36+'Uitgangspunten debiet+ vrachten'!$E$52)*D101+('Uitgangspunten debiet+ vrachten'!$F$36+'Uitgangspunten debiet+ vrachten'!$F$52)*'ZW Vrachten door de tijd'!C101)/1000</f>
        <v>1.547159217391304</v>
      </c>
      <c r="H65" s="13">
        <f>(E101*VLOOKUP($F$1,'Uitgangspunten debiet+ vrachten'!$B$23:$F$25,4,)+E101*('Uitgangspunten debiet+ vrachten'!$E$27+'Uitgangspunten debiet+ vrachten'!$E$28))/1000</f>
        <v>0.9331223125</v>
      </c>
      <c r="I65" s="14">
        <f>('Uitgangspunten debiet+ vrachten'!$E$32*'ZW Vrachten door de tijd'!E101+'Uitgangspunten debiet+ vrachten'!$E$48*'ZW Vrachten door de tijd'!E101)/1000</f>
        <v>8.8740171739130442</v>
      </c>
      <c r="J65" s="14">
        <f>'Uitgangspunten debiet+ vrachten'!$E$34*'ZW Vrachten door de tijd'!E101/1000</f>
        <v>2.6064165217391295</v>
      </c>
      <c r="K65" s="14">
        <f>('Uitgangspunten debiet+ vrachten'!$E$35*E101+E101*'Uitgangspunten debiet+ vrachten'!$E$51)/1000</f>
        <v>1.3120701949275357</v>
      </c>
      <c r="L65" s="15">
        <f>('Uitgangspunten debiet+ vrachten'!$E$36*'ZW Vrachten door de tijd'!E101+E101*'Uitgangspunten debiet+ vrachten'!$E$44)/1000</f>
        <v>0.15706577173913042</v>
      </c>
      <c r="M65" s="13">
        <f>(F101*VLOOKUP($F$1,'Uitgangspunten debiet+ vrachten'!$B$23:$F$25,4,)+F101*('Uitgangspunten debiet+ vrachten'!$E$27+'Uitgangspunten debiet+ vrachten'!$E$28))/1000</f>
        <v>9.9976702312499999</v>
      </c>
      <c r="N65" s="14">
        <f>'Uitgangspunten debiet+ vrachten'!$E$32*'ZW Vrachten door de tijd'!F101/1000</f>
        <v>62.832822847826087</v>
      </c>
      <c r="O65" s="14">
        <f>('Uitgangspunten debiet+ vrachten'!$E$34*'ZW Vrachten door de tijd'!F101+F101*'Uitgangspunten debiet+ vrachten'!$E$50)/1000</f>
        <v>47.207503793478253</v>
      </c>
      <c r="P65" s="14">
        <f>('Uitgangspunten debiet+ vrachten'!$E$35*F101+F101*'Uitgangspunten debiet+ vrachten'!$E$51)/1000</f>
        <v>14.057798161521736</v>
      </c>
      <c r="Q65" s="15">
        <f>('Uitgangspunten debiet+ vrachten'!$E$36*'ZW Vrachten door de tijd'!F101+F101*'Uitgangspunten debiet+ vrachten'!$E$52)/1000</f>
        <v>1.7590916934782608</v>
      </c>
      <c r="R65" s="13">
        <f>(G101*VLOOKUP($F$1,'Uitgangspunten debiet+ vrachten'!$B$23:$F$25,4,)+G101*('Uitgangspunten debiet+ vrachten'!$E$27+'Uitgangspunten debiet+ vrachten'!$E$28))/1000</f>
        <v>6.4873453124999996</v>
      </c>
      <c r="S65" s="14">
        <f>('Uitgangspunten debiet+ vrachten'!$E$32*'ZW Vrachten door de tijd'!G101+G101*'Uitgangspunten debiet+ vrachten'!$E$48)/1000</f>
        <v>61.694820652173917</v>
      </c>
      <c r="T65" s="14">
        <f>('Uitgangspunten debiet+ vrachten'!$E$34*'ZW Vrachten door de tijd'!G101+G101*'Uitgangspunten debiet+ vrachten'!$E$50)/1000</f>
        <v>30.632274456521731</v>
      </c>
      <c r="U65" s="14">
        <f>('Uitgangspunten debiet+ vrachten'!$E$35*G101+G101*'Uitgangspunten debiet+ vrachten'!$E$51)/1000</f>
        <v>9.1219042934782593</v>
      </c>
      <c r="V65" s="15">
        <f>('Uitgangspunten debiet+ vrachten'!$E$36*'ZW Vrachten door de tijd'!G101+G101*'Uitgangspunten debiet+ vrachten'!$E$52)/1000</f>
        <v>1.141449456521739</v>
      </c>
    </row>
    <row r="66" spans="1:22" x14ac:dyDescent="0.3">
      <c r="A66" s="171">
        <v>2044</v>
      </c>
      <c r="B66" s="4"/>
      <c r="C66" s="13">
        <f>((C102*VLOOKUP($F$2,'Uitgangspunten debiet+ vrachten'!$B$23:$F$25,5,)+D102*VLOOKUP($F$1,'Uitgangspunten debiet+ vrachten'!$B$23:$F$25,4,))+(C102*('Uitgangspunten debiet+ vrachten'!$D$27+'Uitgangspunten debiet+ vrachten'!$D$28))+'ZW Vrachten door de tijd'!D102*('Uitgangspunten debiet+ vrachten'!$E$27+'Uitgangspunten debiet+ vrachten'!$E$28))/1000</f>
        <v>9.5076902500000013</v>
      </c>
      <c r="D66" s="14">
        <f>('Uitgangspunten debiet+ vrachten'!$E$32*D102+'Uitgangspunten debiet+ vrachten'!$F$32*'ZW Vrachten door de tijd'!C102+C102*'Uitgangspunten debiet+ vrachten'!$F$48+'ZW Vrachten door de tijd'!D102*'Uitgangspunten debiet+ vrachten'!$E$48)/1000</f>
        <v>94.656621739130443</v>
      </c>
      <c r="E66" s="14">
        <f>('Uitgangspunten debiet+ vrachten'!$E$34*D102+'Uitgangspunten debiet+ vrachten'!$F$34*'ZW Vrachten door de tijd'!C102+C102*'Uitgangspunten debiet+ vrachten'!$F$50+'ZW Vrachten door de tijd'!D102*'Uitgangspunten debiet+ vrachten'!$E$50)/1000</f>
        <v>48.367755217391299</v>
      </c>
      <c r="F66" s="14">
        <f>(('Uitgangspunten debiet+ vrachten'!$E$35+'Uitgangspunten debiet+ vrachten'!$E$51)*D102+('Uitgangspunten debiet+ vrachten'!$F$35+'Uitgangspunten debiet+ vrachten'!$F$51)*'ZW Vrachten door de tijd'!C102)/1000</f>
        <v>12.464544849275359</v>
      </c>
      <c r="G66" s="15">
        <f>(('Uitgangspunten debiet+ vrachten'!$E$36+'Uitgangspunten debiet+ vrachten'!$E$52)*D102+('Uitgangspunten debiet+ vrachten'!$F$36+'Uitgangspunten debiet+ vrachten'!$F$52)*'ZW Vrachten door de tijd'!C102)/1000</f>
        <v>1.547159217391304</v>
      </c>
      <c r="H66" s="13">
        <f>(E102*VLOOKUP($F$1,'Uitgangspunten debiet+ vrachten'!$B$23:$F$25,4,)+E102*('Uitgangspunten debiet+ vrachten'!$E$27+'Uitgangspunten debiet+ vrachten'!$E$28))/1000</f>
        <v>0.9331223125</v>
      </c>
      <c r="I66" s="14">
        <f>('Uitgangspunten debiet+ vrachten'!$E$32*'ZW Vrachten door de tijd'!E102+'Uitgangspunten debiet+ vrachten'!$E$48*'ZW Vrachten door de tijd'!E102)/1000</f>
        <v>8.8740171739130442</v>
      </c>
      <c r="J66" s="14">
        <f>'Uitgangspunten debiet+ vrachten'!$E$34*'ZW Vrachten door de tijd'!E102/1000</f>
        <v>2.6064165217391295</v>
      </c>
      <c r="K66" s="14">
        <f>('Uitgangspunten debiet+ vrachten'!$E$35*E102+E102*'Uitgangspunten debiet+ vrachten'!$E$51)/1000</f>
        <v>1.3120701949275357</v>
      </c>
      <c r="L66" s="15">
        <f>('Uitgangspunten debiet+ vrachten'!$E$36*'ZW Vrachten door de tijd'!E102+E102*'Uitgangspunten debiet+ vrachten'!$E$44)/1000</f>
        <v>0.15706577173913042</v>
      </c>
      <c r="M66" s="13">
        <f>(F102*VLOOKUP($F$1,'Uitgangspunten debiet+ vrachten'!$B$23:$F$25,4,)+F102*('Uitgangspunten debiet+ vrachten'!$E$27+'Uitgangspunten debiet+ vrachten'!$E$28))/1000</f>
        <v>9.9976702312499999</v>
      </c>
      <c r="N66" s="14">
        <f>'Uitgangspunten debiet+ vrachten'!$E$32*'ZW Vrachten door de tijd'!F102/1000</f>
        <v>62.832822847826087</v>
      </c>
      <c r="O66" s="14">
        <f>('Uitgangspunten debiet+ vrachten'!$E$34*'ZW Vrachten door de tijd'!F102+F102*'Uitgangspunten debiet+ vrachten'!$E$50)/1000</f>
        <v>47.207503793478253</v>
      </c>
      <c r="P66" s="14">
        <f>('Uitgangspunten debiet+ vrachten'!$E$35*F102+F102*'Uitgangspunten debiet+ vrachten'!$E$51)/1000</f>
        <v>14.057798161521736</v>
      </c>
      <c r="Q66" s="15">
        <f>('Uitgangspunten debiet+ vrachten'!$E$36*'ZW Vrachten door de tijd'!F102+F102*'Uitgangspunten debiet+ vrachten'!$E$52)/1000</f>
        <v>1.7590916934782608</v>
      </c>
      <c r="R66" s="13">
        <f>(G102*VLOOKUP($F$1,'Uitgangspunten debiet+ vrachten'!$B$23:$F$25,4,)+G102*('Uitgangspunten debiet+ vrachten'!$E$27+'Uitgangspunten debiet+ vrachten'!$E$28))/1000</f>
        <v>6.4873453124999996</v>
      </c>
      <c r="S66" s="14">
        <f>('Uitgangspunten debiet+ vrachten'!$E$32*'ZW Vrachten door de tijd'!G102+G102*'Uitgangspunten debiet+ vrachten'!$E$48)/1000</f>
        <v>61.694820652173917</v>
      </c>
      <c r="T66" s="14">
        <f>('Uitgangspunten debiet+ vrachten'!$E$34*'ZW Vrachten door de tijd'!G102+G102*'Uitgangspunten debiet+ vrachten'!$E$50)/1000</f>
        <v>30.632274456521731</v>
      </c>
      <c r="U66" s="14">
        <f>('Uitgangspunten debiet+ vrachten'!$E$35*G102+G102*'Uitgangspunten debiet+ vrachten'!$E$51)/1000</f>
        <v>9.1219042934782593</v>
      </c>
      <c r="V66" s="15">
        <f>('Uitgangspunten debiet+ vrachten'!$E$36*'ZW Vrachten door de tijd'!G102+G102*'Uitgangspunten debiet+ vrachten'!$E$52)/1000</f>
        <v>1.141449456521739</v>
      </c>
    </row>
    <row r="67" spans="1:22" x14ac:dyDescent="0.3">
      <c r="A67" s="171">
        <v>2045</v>
      </c>
      <c r="B67" s="4"/>
      <c r="C67" s="13">
        <f>((C103*VLOOKUP($F$2,'Uitgangspunten debiet+ vrachten'!$B$23:$F$25,5,)+D103*VLOOKUP($F$1,'Uitgangspunten debiet+ vrachten'!$B$23:$F$25,4,))+(C103*('Uitgangspunten debiet+ vrachten'!$D$27+'Uitgangspunten debiet+ vrachten'!$D$28))+'ZW Vrachten door de tijd'!D103*('Uitgangspunten debiet+ vrachten'!$E$27+'Uitgangspunten debiet+ vrachten'!$E$28))/1000</f>
        <v>9.5076902500000013</v>
      </c>
      <c r="D67" s="14">
        <f>('Uitgangspunten debiet+ vrachten'!$E$32*D103+'Uitgangspunten debiet+ vrachten'!$F$32*'ZW Vrachten door de tijd'!C103+C103*'Uitgangspunten debiet+ vrachten'!$F$48+'ZW Vrachten door de tijd'!D103*'Uitgangspunten debiet+ vrachten'!$E$48)/1000</f>
        <v>94.656621739130443</v>
      </c>
      <c r="E67" s="14">
        <f>('Uitgangspunten debiet+ vrachten'!$E$34*D103+'Uitgangspunten debiet+ vrachten'!$F$34*'ZW Vrachten door de tijd'!C103+C103*'Uitgangspunten debiet+ vrachten'!$F$50+'ZW Vrachten door de tijd'!D103*'Uitgangspunten debiet+ vrachten'!$E$50)/1000</f>
        <v>48.367755217391299</v>
      </c>
      <c r="F67" s="14">
        <f>(('Uitgangspunten debiet+ vrachten'!$E$35+'Uitgangspunten debiet+ vrachten'!$E$51)*D103+('Uitgangspunten debiet+ vrachten'!$F$35+'Uitgangspunten debiet+ vrachten'!$F$51)*'ZW Vrachten door de tijd'!C103)/1000</f>
        <v>12.464544849275359</v>
      </c>
      <c r="G67" s="15">
        <f>(('Uitgangspunten debiet+ vrachten'!$E$36+'Uitgangspunten debiet+ vrachten'!$E$52)*D103+('Uitgangspunten debiet+ vrachten'!$F$36+'Uitgangspunten debiet+ vrachten'!$F$52)*'ZW Vrachten door de tijd'!C103)/1000</f>
        <v>1.547159217391304</v>
      </c>
      <c r="H67" s="13">
        <f>(E103*VLOOKUP($F$1,'Uitgangspunten debiet+ vrachten'!$B$23:$F$25,4,)+E103*('Uitgangspunten debiet+ vrachten'!$E$27+'Uitgangspunten debiet+ vrachten'!$E$28))/1000</f>
        <v>0.9331223125</v>
      </c>
      <c r="I67" s="14">
        <f>('Uitgangspunten debiet+ vrachten'!$E$32*'ZW Vrachten door de tijd'!E103+'Uitgangspunten debiet+ vrachten'!$E$48*'ZW Vrachten door de tijd'!E103)/1000</f>
        <v>8.8740171739130442</v>
      </c>
      <c r="J67" s="14">
        <f>'Uitgangspunten debiet+ vrachten'!$E$34*'ZW Vrachten door de tijd'!E103/1000</f>
        <v>2.6064165217391295</v>
      </c>
      <c r="K67" s="14">
        <f>('Uitgangspunten debiet+ vrachten'!$E$35*E103+E103*'Uitgangspunten debiet+ vrachten'!$E$51)/1000</f>
        <v>1.3120701949275357</v>
      </c>
      <c r="L67" s="15">
        <f>('Uitgangspunten debiet+ vrachten'!$E$36*'ZW Vrachten door de tijd'!E103+E103*'Uitgangspunten debiet+ vrachten'!$E$44)/1000</f>
        <v>0.15706577173913042</v>
      </c>
      <c r="M67" s="13">
        <f>(F103*VLOOKUP($F$1,'Uitgangspunten debiet+ vrachten'!$B$23:$F$25,4,)+F103*('Uitgangspunten debiet+ vrachten'!$E$27+'Uitgangspunten debiet+ vrachten'!$E$28))/1000</f>
        <v>9.9976702312499999</v>
      </c>
      <c r="N67" s="14">
        <f>'Uitgangspunten debiet+ vrachten'!$E$32*'ZW Vrachten door de tijd'!F103/1000</f>
        <v>62.832822847826087</v>
      </c>
      <c r="O67" s="14">
        <f>('Uitgangspunten debiet+ vrachten'!$E$34*'ZW Vrachten door de tijd'!F103+F103*'Uitgangspunten debiet+ vrachten'!$E$50)/1000</f>
        <v>47.207503793478253</v>
      </c>
      <c r="P67" s="14">
        <f>('Uitgangspunten debiet+ vrachten'!$E$35*F103+F103*'Uitgangspunten debiet+ vrachten'!$E$51)/1000</f>
        <v>14.057798161521736</v>
      </c>
      <c r="Q67" s="15">
        <f>('Uitgangspunten debiet+ vrachten'!$E$36*'ZW Vrachten door de tijd'!F103+F103*'Uitgangspunten debiet+ vrachten'!$E$52)/1000</f>
        <v>1.7590916934782608</v>
      </c>
      <c r="R67" s="13">
        <f>(G103*VLOOKUP($F$1,'Uitgangspunten debiet+ vrachten'!$B$23:$F$25,4,)+G103*('Uitgangspunten debiet+ vrachten'!$E$27+'Uitgangspunten debiet+ vrachten'!$E$28))/1000</f>
        <v>6.4873453124999996</v>
      </c>
      <c r="S67" s="14">
        <f>('Uitgangspunten debiet+ vrachten'!$E$32*'ZW Vrachten door de tijd'!G103+G103*'Uitgangspunten debiet+ vrachten'!$E$48)/1000</f>
        <v>61.694820652173917</v>
      </c>
      <c r="T67" s="14">
        <f>('Uitgangspunten debiet+ vrachten'!$E$34*'ZW Vrachten door de tijd'!G103+G103*'Uitgangspunten debiet+ vrachten'!$E$50)/1000</f>
        <v>30.632274456521731</v>
      </c>
      <c r="U67" s="14">
        <f>('Uitgangspunten debiet+ vrachten'!$E$35*G103+G103*'Uitgangspunten debiet+ vrachten'!$E$51)/1000</f>
        <v>9.1219042934782593</v>
      </c>
      <c r="V67" s="15">
        <f>('Uitgangspunten debiet+ vrachten'!$E$36*'ZW Vrachten door de tijd'!G103+G103*'Uitgangspunten debiet+ vrachten'!$E$52)/1000</f>
        <v>1.141449456521739</v>
      </c>
    </row>
    <row r="68" spans="1:22" x14ac:dyDescent="0.3">
      <c r="A68" s="171">
        <v>2046</v>
      </c>
      <c r="B68" s="4"/>
      <c r="C68" s="13">
        <f>((C104*VLOOKUP($F$2,'Uitgangspunten debiet+ vrachten'!$B$23:$F$25,5,)+D104*VLOOKUP($F$1,'Uitgangspunten debiet+ vrachten'!$B$23:$F$25,4,))+(C104*('Uitgangspunten debiet+ vrachten'!$D$27+'Uitgangspunten debiet+ vrachten'!$D$28))+'ZW Vrachten door de tijd'!D104*('Uitgangspunten debiet+ vrachten'!$E$27+'Uitgangspunten debiet+ vrachten'!$E$28))/1000</f>
        <v>9.5076902500000013</v>
      </c>
      <c r="D68" s="14">
        <f>('Uitgangspunten debiet+ vrachten'!$E$32*D104+'Uitgangspunten debiet+ vrachten'!$F$32*'ZW Vrachten door de tijd'!C104+C104*'Uitgangspunten debiet+ vrachten'!$F$48+'ZW Vrachten door de tijd'!D104*'Uitgangspunten debiet+ vrachten'!$E$48)/1000</f>
        <v>94.656621739130443</v>
      </c>
      <c r="E68" s="14">
        <f>('Uitgangspunten debiet+ vrachten'!$E$34*D104+'Uitgangspunten debiet+ vrachten'!$F$34*'ZW Vrachten door de tijd'!C104+C104*'Uitgangspunten debiet+ vrachten'!$F$50+'ZW Vrachten door de tijd'!D104*'Uitgangspunten debiet+ vrachten'!$E$50)/1000</f>
        <v>48.367755217391299</v>
      </c>
      <c r="F68" s="14">
        <f>(('Uitgangspunten debiet+ vrachten'!$E$35+'Uitgangspunten debiet+ vrachten'!$E$51)*D104+('Uitgangspunten debiet+ vrachten'!$F$35+'Uitgangspunten debiet+ vrachten'!$F$51)*'ZW Vrachten door de tijd'!C104)/1000</f>
        <v>12.464544849275359</v>
      </c>
      <c r="G68" s="15">
        <f>(('Uitgangspunten debiet+ vrachten'!$E$36+'Uitgangspunten debiet+ vrachten'!$E$52)*D104+('Uitgangspunten debiet+ vrachten'!$F$36+'Uitgangspunten debiet+ vrachten'!$F$52)*'ZW Vrachten door de tijd'!C104)/1000</f>
        <v>1.547159217391304</v>
      </c>
      <c r="H68" s="13">
        <f>(E104*VLOOKUP($F$1,'Uitgangspunten debiet+ vrachten'!$B$23:$F$25,4,)+E104*('Uitgangspunten debiet+ vrachten'!$E$27+'Uitgangspunten debiet+ vrachten'!$E$28))/1000</f>
        <v>0.9331223125</v>
      </c>
      <c r="I68" s="14">
        <f>('Uitgangspunten debiet+ vrachten'!$E$32*'ZW Vrachten door de tijd'!E104+'Uitgangspunten debiet+ vrachten'!$E$48*'ZW Vrachten door de tijd'!E104)/1000</f>
        <v>8.8740171739130442</v>
      </c>
      <c r="J68" s="14">
        <f>'Uitgangspunten debiet+ vrachten'!$E$34*'ZW Vrachten door de tijd'!E104/1000</f>
        <v>2.6064165217391295</v>
      </c>
      <c r="K68" s="14">
        <f>('Uitgangspunten debiet+ vrachten'!$E$35*E104+E104*'Uitgangspunten debiet+ vrachten'!$E$51)/1000</f>
        <v>1.3120701949275357</v>
      </c>
      <c r="L68" s="15">
        <f>('Uitgangspunten debiet+ vrachten'!$E$36*'ZW Vrachten door de tijd'!E104+E104*'Uitgangspunten debiet+ vrachten'!$E$44)/1000</f>
        <v>0.15706577173913042</v>
      </c>
      <c r="M68" s="13">
        <f>(F104*VLOOKUP($F$1,'Uitgangspunten debiet+ vrachten'!$B$23:$F$25,4,)+F104*('Uitgangspunten debiet+ vrachten'!$E$27+'Uitgangspunten debiet+ vrachten'!$E$28))/1000</f>
        <v>9.9976702312499999</v>
      </c>
      <c r="N68" s="14">
        <f>'Uitgangspunten debiet+ vrachten'!$E$32*'ZW Vrachten door de tijd'!F104/1000</f>
        <v>62.832822847826087</v>
      </c>
      <c r="O68" s="14">
        <f>('Uitgangspunten debiet+ vrachten'!$E$34*'ZW Vrachten door de tijd'!F104+F104*'Uitgangspunten debiet+ vrachten'!$E$50)/1000</f>
        <v>47.207503793478253</v>
      </c>
      <c r="P68" s="14">
        <f>('Uitgangspunten debiet+ vrachten'!$E$35*F104+F104*'Uitgangspunten debiet+ vrachten'!$E$51)/1000</f>
        <v>14.057798161521736</v>
      </c>
      <c r="Q68" s="15">
        <f>('Uitgangspunten debiet+ vrachten'!$E$36*'ZW Vrachten door de tijd'!F104+F104*'Uitgangspunten debiet+ vrachten'!$E$52)/1000</f>
        <v>1.7590916934782608</v>
      </c>
      <c r="R68" s="13">
        <f>(G104*VLOOKUP($F$1,'Uitgangspunten debiet+ vrachten'!$B$23:$F$25,4,)+G104*('Uitgangspunten debiet+ vrachten'!$E$27+'Uitgangspunten debiet+ vrachten'!$E$28))/1000</f>
        <v>6.4873453124999996</v>
      </c>
      <c r="S68" s="14">
        <f>('Uitgangspunten debiet+ vrachten'!$E$32*'ZW Vrachten door de tijd'!G104+G104*'Uitgangspunten debiet+ vrachten'!$E$48)/1000</f>
        <v>61.694820652173917</v>
      </c>
      <c r="T68" s="14">
        <f>('Uitgangspunten debiet+ vrachten'!$E$34*'ZW Vrachten door de tijd'!G104+G104*'Uitgangspunten debiet+ vrachten'!$E$50)/1000</f>
        <v>30.632274456521731</v>
      </c>
      <c r="U68" s="14">
        <f>('Uitgangspunten debiet+ vrachten'!$E$35*G104+G104*'Uitgangspunten debiet+ vrachten'!$E$51)/1000</f>
        <v>9.1219042934782593</v>
      </c>
      <c r="V68" s="15">
        <f>('Uitgangspunten debiet+ vrachten'!$E$36*'ZW Vrachten door de tijd'!G104+G104*'Uitgangspunten debiet+ vrachten'!$E$52)/1000</f>
        <v>1.141449456521739</v>
      </c>
    </row>
    <row r="69" spans="1:22" x14ac:dyDescent="0.3">
      <c r="A69" s="171">
        <v>2047</v>
      </c>
      <c r="B69" s="4"/>
      <c r="C69" s="13">
        <f>((C105*VLOOKUP($F$2,'Uitgangspunten debiet+ vrachten'!$B$23:$F$25,5,)+D105*VLOOKUP($F$1,'Uitgangspunten debiet+ vrachten'!$B$23:$F$25,4,))+(C105*('Uitgangspunten debiet+ vrachten'!$D$27+'Uitgangspunten debiet+ vrachten'!$D$28))+'ZW Vrachten door de tijd'!D105*('Uitgangspunten debiet+ vrachten'!$E$27+'Uitgangspunten debiet+ vrachten'!$E$28))/1000</f>
        <v>9.5076902500000013</v>
      </c>
      <c r="D69" s="14">
        <f>('Uitgangspunten debiet+ vrachten'!$E$32*D105+'Uitgangspunten debiet+ vrachten'!$F$32*'ZW Vrachten door de tijd'!C105+C105*'Uitgangspunten debiet+ vrachten'!$F$48+'ZW Vrachten door de tijd'!D105*'Uitgangspunten debiet+ vrachten'!$E$48)/1000</f>
        <v>94.656621739130443</v>
      </c>
      <c r="E69" s="14">
        <f>('Uitgangspunten debiet+ vrachten'!$E$34*D105+'Uitgangspunten debiet+ vrachten'!$F$34*'ZW Vrachten door de tijd'!C105+C105*'Uitgangspunten debiet+ vrachten'!$F$50+'ZW Vrachten door de tijd'!D105*'Uitgangspunten debiet+ vrachten'!$E$50)/1000</f>
        <v>48.367755217391299</v>
      </c>
      <c r="F69" s="14">
        <f>(('Uitgangspunten debiet+ vrachten'!$E$35+'Uitgangspunten debiet+ vrachten'!$E$51)*D105+('Uitgangspunten debiet+ vrachten'!$F$35+'Uitgangspunten debiet+ vrachten'!$F$51)*'ZW Vrachten door de tijd'!C105)/1000</f>
        <v>12.464544849275359</v>
      </c>
      <c r="G69" s="15">
        <f>(('Uitgangspunten debiet+ vrachten'!$E$36+'Uitgangspunten debiet+ vrachten'!$E$52)*D105+('Uitgangspunten debiet+ vrachten'!$F$36+'Uitgangspunten debiet+ vrachten'!$F$52)*'ZW Vrachten door de tijd'!C105)/1000</f>
        <v>1.547159217391304</v>
      </c>
      <c r="H69" s="13">
        <f>(E105*VLOOKUP($F$1,'Uitgangspunten debiet+ vrachten'!$B$23:$F$25,4,)+E105*('Uitgangspunten debiet+ vrachten'!$E$27+'Uitgangspunten debiet+ vrachten'!$E$28))/1000</f>
        <v>0.9331223125</v>
      </c>
      <c r="I69" s="14">
        <f>('Uitgangspunten debiet+ vrachten'!$E$32*'ZW Vrachten door de tijd'!E105+'Uitgangspunten debiet+ vrachten'!$E$48*'ZW Vrachten door de tijd'!E105)/1000</f>
        <v>8.8740171739130442</v>
      </c>
      <c r="J69" s="14">
        <f>'Uitgangspunten debiet+ vrachten'!$E$34*'ZW Vrachten door de tijd'!E105/1000</f>
        <v>2.6064165217391295</v>
      </c>
      <c r="K69" s="14">
        <f>('Uitgangspunten debiet+ vrachten'!$E$35*E105+E105*'Uitgangspunten debiet+ vrachten'!$E$51)/1000</f>
        <v>1.3120701949275357</v>
      </c>
      <c r="L69" s="15">
        <f>('Uitgangspunten debiet+ vrachten'!$E$36*'ZW Vrachten door de tijd'!E105+E105*'Uitgangspunten debiet+ vrachten'!$E$44)/1000</f>
        <v>0.15706577173913042</v>
      </c>
      <c r="M69" s="13">
        <f>(F105*VLOOKUP($F$1,'Uitgangspunten debiet+ vrachten'!$B$23:$F$25,4,)+F105*('Uitgangspunten debiet+ vrachten'!$E$27+'Uitgangspunten debiet+ vrachten'!$E$28))/1000</f>
        <v>9.9976702312499999</v>
      </c>
      <c r="N69" s="14">
        <f>'Uitgangspunten debiet+ vrachten'!$E$32*'ZW Vrachten door de tijd'!F105/1000</f>
        <v>62.832822847826087</v>
      </c>
      <c r="O69" s="14">
        <f>('Uitgangspunten debiet+ vrachten'!$E$34*'ZW Vrachten door de tijd'!F105+F105*'Uitgangspunten debiet+ vrachten'!$E$50)/1000</f>
        <v>47.207503793478253</v>
      </c>
      <c r="P69" s="14">
        <f>('Uitgangspunten debiet+ vrachten'!$E$35*F105+F105*'Uitgangspunten debiet+ vrachten'!$E$51)/1000</f>
        <v>14.057798161521736</v>
      </c>
      <c r="Q69" s="15">
        <f>('Uitgangspunten debiet+ vrachten'!$E$36*'ZW Vrachten door de tijd'!F105+F105*'Uitgangspunten debiet+ vrachten'!$E$52)/1000</f>
        <v>1.7590916934782608</v>
      </c>
      <c r="R69" s="13">
        <f>(G105*VLOOKUP($F$1,'Uitgangspunten debiet+ vrachten'!$B$23:$F$25,4,)+G105*('Uitgangspunten debiet+ vrachten'!$E$27+'Uitgangspunten debiet+ vrachten'!$E$28))/1000</f>
        <v>6.4873453124999996</v>
      </c>
      <c r="S69" s="14">
        <f>('Uitgangspunten debiet+ vrachten'!$E$32*'ZW Vrachten door de tijd'!G105+G105*'Uitgangspunten debiet+ vrachten'!$E$48)/1000</f>
        <v>61.694820652173917</v>
      </c>
      <c r="T69" s="14">
        <f>('Uitgangspunten debiet+ vrachten'!$E$34*'ZW Vrachten door de tijd'!G105+G105*'Uitgangspunten debiet+ vrachten'!$E$50)/1000</f>
        <v>30.632274456521731</v>
      </c>
      <c r="U69" s="14">
        <f>('Uitgangspunten debiet+ vrachten'!$E$35*G105+G105*'Uitgangspunten debiet+ vrachten'!$E$51)/1000</f>
        <v>9.1219042934782593</v>
      </c>
      <c r="V69" s="15">
        <f>('Uitgangspunten debiet+ vrachten'!$E$36*'ZW Vrachten door de tijd'!G105+G105*'Uitgangspunten debiet+ vrachten'!$E$52)/1000</f>
        <v>1.141449456521739</v>
      </c>
    </row>
    <row r="70" spans="1:22" x14ac:dyDescent="0.3">
      <c r="A70" s="171">
        <v>2048</v>
      </c>
      <c r="B70" s="4"/>
      <c r="C70" s="13">
        <f>((C106*VLOOKUP($F$2,'Uitgangspunten debiet+ vrachten'!$B$23:$F$25,5,)+D106*VLOOKUP($F$1,'Uitgangspunten debiet+ vrachten'!$B$23:$F$25,4,))+(C106*('Uitgangspunten debiet+ vrachten'!$D$27+'Uitgangspunten debiet+ vrachten'!$D$28))+'ZW Vrachten door de tijd'!D106*('Uitgangspunten debiet+ vrachten'!$E$27+'Uitgangspunten debiet+ vrachten'!$E$28))/1000</f>
        <v>9.5076902500000013</v>
      </c>
      <c r="D70" s="14">
        <f>('Uitgangspunten debiet+ vrachten'!$E$32*D106+'Uitgangspunten debiet+ vrachten'!$F$32*'ZW Vrachten door de tijd'!C106+C106*'Uitgangspunten debiet+ vrachten'!$F$48+'ZW Vrachten door de tijd'!D106*'Uitgangspunten debiet+ vrachten'!$E$48)/1000</f>
        <v>94.656621739130443</v>
      </c>
      <c r="E70" s="14">
        <f>('Uitgangspunten debiet+ vrachten'!$E$34*D106+'Uitgangspunten debiet+ vrachten'!$F$34*'ZW Vrachten door de tijd'!C106+C106*'Uitgangspunten debiet+ vrachten'!$F$50+'ZW Vrachten door de tijd'!D106*'Uitgangspunten debiet+ vrachten'!$E$50)/1000</f>
        <v>48.367755217391299</v>
      </c>
      <c r="F70" s="14">
        <f>(('Uitgangspunten debiet+ vrachten'!$E$35+'Uitgangspunten debiet+ vrachten'!$E$51)*D106+('Uitgangspunten debiet+ vrachten'!$F$35+'Uitgangspunten debiet+ vrachten'!$F$51)*'ZW Vrachten door de tijd'!C106)/1000</f>
        <v>12.464544849275359</v>
      </c>
      <c r="G70" s="15">
        <f>(('Uitgangspunten debiet+ vrachten'!$E$36+'Uitgangspunten debiet+ vrachten'!$E$52)*D106+('Uitgangspunten debiet+ vrachten'!$F$36+'Uitgangspunten debiet+ vrachten'!$F$52)*'ZW Vrachten door de tijd'!C106)/1000</f>
        <v>1.547159217391304</v>
      </c>
      <c r="H70" s="13">
        <f>(E106*VLOOKUP($F$1,'Uitgangspunten debiet+ vrachten'!$B$23:$F$25,4,)+E106*('Uitgangspunten debiet+ vrachten'!$E$27+'Uitgangspunten debiet+ vrachten'!$E$28))/1000</f>
        <v>0.9331223125</v>
      </c>
      <c r="I70" s="14">
        <f>('Uitgangspunten debiet+ vrachten'!$E$32*'ZW Vrachten door de tijd'!E106+'Uitgangspunten debiet+ vrachten'!$E$48*'ZW Vrachten door de tijd'!E106)/1000</f>
        <v>8.8740171739130442</v>
      </c>
      <c r="J70" s="14">
        <f>'Uitgangspunten debiet+ vrachten'!$E$34*'ZW Vrachten door de tijd'!E106/1000</f>
        <v>2.6064165217391295</v>
      </c>
      <c r="K70" s="14">
        <f>('Uitgangspunten debiet+ vrachten'!$E$35*E106+E106*'Uitgangspunten debiet+ vrachten'!$E$51)/1000</f>
        <v>1.3120701949275357</v>
      </c>
      <c r="L70" s="15">
        <f>('Uitgangspunten debiet+ vrachten'!$E$36*'ZW Vrachten door de tijd'!E106+E106*'Uitgangspunten debiet+ vrachten'!$E$44)/1000</f>
        <v>0.15706577173913042</v>
      </c>
      <c r="M70" s="13">
        <f>(F106*VLOOKUP($F$1,'Uitgangspunten debiet+ vrachten'!$B$23:$F$25,4,)+F106*('Uitgangspunten debiet+ vrachten'!$E$27+'Uitgangspunten debiet+ vrachten'!$E$28))/1000</f>
        <v>9.9976702312499999</v>
      </c>
      <c r="N70" s="14">
        <f>'Uitgangspunten debiet+ vrachten'!$E$32*'ZW Vrachten door de tijd'!F106/1000</f>
        <v>62.832822847826087</v>
      </c>
      <c r="O70" s="14">
        <f>('Uitgangspunten debiet+ vrachten'!$E$34*'ZW Vrachten door de tijd'!F106+F106*'Uitgangspunten debiet+ vrachten'!$E$50)/1000</f>
        <v>47.207503793478253</v>
      </c>
      <c r="P70" s="14">
        <f>('Uitgangspunten debiet+ vrachten'!$E$35*F106+F106*'Uitgangspunten debiet+ vrachten'!$E$51)/1000</f>
        <v>14.057798161521736</v>
      </c>
      <c r="Q70" s="15">
        <f>('Uitgangspunten debiet+ vrachten'!$E$36*'ZW Vrachten door de tijd'!F106+F106*'Uitgangspunten debiet+ vrachten'!$E$52)/1000</f>
        <v>1.7590916934782608</v>
      </c>
      <c r="R70" s="13">
        <f>(G106*VLOOKUP($F$1,'Uitgangspunten debiet+ vrachten'!$B$23:$F$25,4,)+G106*('Uitgangspunten debiet+ vrachten'!$E$27+'Uitgangspunten debiet+ vrachten'!$E$28))/1000</f>
        <v>6.4873453124999996</v>
      </c>
      <c r="S70" s="14">
        <f>('Uitgangspunten debiet+ vrachten'!$E$32*'ZW Vrachten door de tijd'!G106+G106*'Uitgangspunten debiet+ vrachten'!$E$48)/1000</f>
        <v>61.694820652173917</v>
      </c>
      <c r="T70" s="14">
        <f>('Uitgangspunten debiet+ vrachten'!$E$34*'ZW Vrachten door de tijd'!G106+G106*'Uitgangspunten debiet+ vrachten'!$E$50)/1000</f>
        <v>30.632274456521731</v>
      </c>
      <c r="U70" s="14">
        <f>('Uitgangspunten debiet+ vrachten'!$E$35*G106+G106*'Uitgangspunten debiet+ vrachten'!$E$51)/1000</f>
        <v>9.1219042934782593</v>
      </c>
      <c r="V70" s="15">
        <f>('Uitgangspunten debiet+ vrachten'!$E$36*'ZW Vrachten door de tijd'!G106+G106*'Uitgangspunten debiet+ vrachten'!$E$52)/1000</f>
        <v>1.141449456521739</v>
      </c>
    </row>
    <row r="71" spans="1:22" x14ac:dyDescent="0.3">
      <c r="A71" s="171">
        <v>2049</v>
      </c>
      <c r="B71" s="4"/>
      <c r="C71" s="13">
        <f>((C107*VLOOKUP($F$2,'Uitgangspunten debiet+ vrachten'!$B$23:$F$25,5,)+D107*VLOOKUP($F$1,'Uitgangspunten debiet+ vrachten'!$B$23:$F$25,4,))+(C107*('Uitgangspunten debiet+ vrachten'!$D$27+'Uitgangspunten debiet+ vrachten'!$D$28))+'ZW Vrachten door de tijd'!D107*('Uitgangspunten debiet+ vrachten'!$E$27+'Uitgangspunten debiet+ vrachten'!$E$28))/1000</f>
        <v>9.5076902500000013</v>
      </c>
      <c r="D71" s="14">
        <f>('Uitgangspunten debiet+ vrachten'!$E$32*D107+'Uitgangspunten debiet+ vrachten'!$F$32*'ZW Vrachten door de tijd'!C107+C107*'Uitgangspunten debiet+ vrachten'!$F$48+'ZW Vrachten door de tijd'!D107*'Uitgangspunten debiet+ vrachten'!$E$48)/1000</f>
        <v>94.656621739130443</v>
      </c>
      <c r="E71" s="14">
        <f>('Uitgangspunten debiet+ vrachten'!$E$34*D107+'Uitgangspunten debiet+ vrachten'!$F$34*'ZW Vrachten door de tijd'!C107+C107*'Uitgangspunten debiet+ vrachten'!$F$50+'ZW Vrachten door de tijd'!D107*'Uitgangspunten debiet+ vrachten'!$E$50)/1000</f>
        <v>48.367755217391299</v>
      </c>
      <c r="F71" s="14">
        <f>(('Uitgangspunten debiet+ vrachten'!$E$35+'Uitgangspunten debiet+ vrachten'!$E$51)*D107+('Uitgangspunten debiet+ vrachten'!$F$35+'Uitgangspunten debiet+ vrachten'!$F$51)*'ZW Vrachten door de tijd'!C107)/1000</f>
        <v>12.464544849275359</v>
      </c>
      <c r="G71" s="15">
        <f>(('Uitgangspunten debiet+ vrachten'!$E$36+'Uitgangspunten debiet+ vrachten'!$E$52)*D107+('Uitgangspunten debiet+ vrachten'!$F$36+'Uitgangspunten debiet+ vrachten'!$F$52)*'ZW Vrachten door de tijd'!C107)/1000</f>
        <v>1.547159217391304</v>
      </c>
      <c r="H71" s="13">
        <f>(E107*VLOOKUP($F$1,'Uitgangspunten debiet+ vrachten'!$B$23:$F$25,4,)+E107*('Uitgangspunten debiet+ vrachten'!$E$27+'Uitgangspunten debiet+ vrachten'!$E$28))/1000</f>
        <v>0.9331223125</v>
      </c>
      <c r="I71" s="14">
        <f>('Uitgangspunten debiet+ vrachten'!$E$32*'ZW Vrachten door de tijd'!E107+'Uitgangspunten debiet+ vrachten'!$E$48*'ZW Vrachten door de tijd'!E107)/1000</f>
        <v>8.8740171739130442</v>
      </c>
      <c r="J71" s="14">
        <f>'Uitgangspunten debiet+ vrachten'!$E$34*'ZW Vrachten door de tijd'!E107/1000</f>
        <v>2.6064165217391295</v>
      </c>
      <c r="K71" s="14">
        <f>('Uitgangspunten debiet+ vrachten'!$E$35*E107+E107*'Uitgangspunten debiet+ vrachten'!$E$51)/1000</f>
        <v>1.3120701949275357</v>
      </c>
      <c r="L71" s="15">
        <f>('Uitgangspunten debiet+ vrachten'!$E$36*'ZW Vrachten door de tijd'!E107+E107*'Uitgangspunten debiet+ vrachten'!$E$44)/1000</f>
        <v>0.15706577173913042</v>
      </c>
      <c r="M71" s="13">
        <f>(F107*VLOOKUP($F$1,'Uitgangspunten debiet+ vrachten'!$B$23:$F$25,4,)+F107*('Uitgangspunten debiet+ vrachten'!$E$27+'Uitgangspunten debiet+ vrachten'!$E$28))/1000</f>
        <v>9.9976702312499999</v>
      </c>
      <c r="N71" s="14">
        <f>'Uitgangspunten debiet+ vrachten'!$E$32*'ZW Vrachten door de tijd'!F107/1000</f>
        <v>62.832822847826087</v>
      </c>
      <c r="O71" s="14">
        <f>('Uitgangspunten debiet+ vrachten'!$E$34*'ZW Vrachten door de tijd'!F107+F107*'Uitgangspunten debiet+ vrachten'!$E$50)/1000</f>
        <v>47.207503793478253</v>
      </c>
      <c r="P71" s="14">
        <f>('Uitgangspunten debiet+ vrachten'!$E$35*F107+F107*'Uitgangspunten debiet+ vrachten'!$E$51)/1000</f>
        <v>14.057798161521736</v>
      </c>
      <c r="Q71" s="15">
        <f>('Uitgangspunten debiet+ vrachten'!$E$36*'ZW Vrachten door de tijd'!F107+F107*'Uitgangspunten debiet+ vrachten'!$E$52)/1000</f>
        <v>1.7590916934782608</v>
      </c>
      <c r="R71" s="13">
        <f>(G107*VLOOKUP($F$1,'Uitgangspunten debiet+ vrachten'!$B$23:$F$25,4,)+G107*('Uitgangspunten debiet+ vrachten'!$E$27+'Uitgangspunten debiet+ vrachten'!$E$28))/1000</f>
        <v>6.4873453124999996</v>
      </c>
      <c r="S71" s="14">
        <f>('Uitgangspunten debiet+ vrachten'!$E$32*'ZW Vrachten door de tijd'!G107+G107*'Uitgangspunten debiet+ vrachten'!$E$48)/1000</f>
        <v>61.694820652173917</v>
      </c>
      <c r="T71" s="14">
        <f>('Uitgangspunten debiet+ vrachten'!$E$34*'ZW Vrachten door de tijd'!G107+G107*'Uitgangspunten debiet+ vrachten'!$E$50)/1000</f>
        <v>30.632274456521731</v>
      </c>
      <c r="U71" s="14">
        <f>('Uitgangspunten debiet+ vrachten'!$E$35*G107+G107*'Uitgangspunten debiet+ vrachten'!$E$51)/1000</f>
        <v>9.1219042934782593</v>
      </c>
      <c r="V71" s="15">
        <f>('Uitgangspunten debiet+ vrachten'!$E$36*'ZW Vrachten door de tijd'!G107+G107*'Uitgangspunten debiet+ vrachten'!$E$52)/1000</f>
        <v>1.141449456521739</v>
      </c>
    </row>
    <row r="72" spans="1:22" x14ac:dyDescent="0.3">
      <c r="A72" s="171">
        <v>2050</v>
      </c>
      <c r="B72" s="4"/>
      <c r="C72" s="13">
        <f>((C108*VLOOKUP($F$2,'Uitgangspunten debiet+ vrachten'!$B$23:$F$25,5,)+D108*VLOOKUP($F$1,'Uitgangspunten debiet+ vrachten'!$B$23:$F$25,4,))+(C108*('Uitgangspunten debiet+ vrachten'!$D$27+'Uitgangspunten debiet+ vrachten'!$D$28))+'ZW Vrachten door de tijd'!D108*('Uitgangspunten debiet+ vrachten'!$E$27+'Uitgangspunten debiet+ vrachten'!$E$28))/1000</f>
        <v>9.5076902500000013</v>
      </c>
      <c r="D72" s="14">
        <f>('Uitgangspunten debiet+ vrachten'!$E$32*D108+'Uitgangspunten debiet+ vrachten'!$F$32*'ZW Vrachten door de tijd'!C108+C108*'Uitgangspunten debiet+ vrachten'!$F$48+'ZW Vrachten door de tijd'!D108*'Uitgangspunten debiet+ vrachten'!$E$48)/1000</f>
        <v>94.656621739130443</v>
      </c>
      <c r="E72" s="14">
        <f>('Uitgangspunten debiet+ vrachten'!$E$34*D108+'Uitgangspunten debiet+ vrachten'!$F$34*'ZW Vrachten door de tijd'!C108+C108*'Uitgangspunten debiet+ vrachten'!$F$50+'ZW Vrachten door de tijd'!D108*'Uitgangspunten debiet+ vrachten'!$E$50)/1000</f>
        <v>48.367755217391299</v>
      </c>
      <c r="F72" s="14">
        <f>(('Uitgangspunten debiet+ vrachten'!$E$35+'Uitgangspunten debiet+ vrachten'!$E$51)*D108+('Uitgangspunten debiet+ vrachten'!$F$35+'Uitgangspunten debiet+ vrachten'!$F$51)*'ZW Vrachten door de tijd'!C108)/1000</f>
        <v>12.464544849275359</v>
      </c>
      <c r="G72" s="15">
        <f>(('Uitgangspunten debiet+ vrachten'!$E$36+'Uitgangspunten debiet+ vrachten'!$E$52)*D108+('Uitgangspunten debiet+ vrachten'!$F$36+'Uitgangspunten debiet+ vrachten'!$F$52)*'ZW Vrachten door de tijd'!C108)/1000</f>
        <v>1.547159217391304</v>
      </c>
      <c r="H72" s="13">
        <f>(E108*VLOOKUP($F$1,'Uitgangspunten debiet+ vrachten'!$B$23:$F$25,4,)+E108*('Uitgangspunten debiet+ vrachten'!$E$27+'Uitgangspunten debiet+ vrachten'!$E$28))/1000</f>
        <v>0.9331223125</v>
      </c>
      <c r="I72" s="14">
        <f>('Uitgangspunten debiet+ vrachten'!$E$32*'ZW Vrachten door de tijd'!E108+'Uitgangspunten debiet+ vrachten'!$E$48*'ZW Vrachten door de tijd'!E108)/1000</f>
        <v>8.8740171739130442</v>
      </c>
      <c r="J72" s="14">
        <f>'Uitgangspunten debiet+ vrachten'!$E$34*'ZW Vrachten door de tijd'!E108/1000</f>
        <v>2.6064165217391295</v>
      </c>
      <c r="K72" s="14">
        <f>('Uitgangspunten debiet+ vrachten'!$E$35*E108+E108*'Uitgangspunten debiet+ vrachten'!$E$51)/1000</f>
        <v>1.3120701949275357</v>
      </c>
      <c r="L72" s="15">
        <f>('Uitgangspunten debiet+ vrachten'!$E$36*'ZW Vrachten door de tijd'!E108+E108*'Uitgangspunten debiet+ vrachten'!$E$44)/1000</f>
        <v>0.15706577173913042</v>
      </c>
      <c r="M72" s="13">
        <f>(F108*VLOOKUP($F$1,'Uitgangspunten debiet+ vrachten'!$B$23:$F$25,4,)+F108*('Uitgangspunten debiet+ vrachten'!$E$27+'Uitgangspunten debiet+ vrachten'!$E$28))/1000</f>
        <v>9.9976702312499999</v>
      </c>
      <c r="N72" s="14">
        <f>'Uitgangspunten debiet+ vrachten'!$E$32*'ZW Vrachten door de tijd'!F108/1000</f>
        <v>62.832822847826087</v>
      </c>
      <c r="O72" s="14">
        <f>('Uitgangspunten debiet+ vrachten'!$E$34*'ZW Vrachten door de tijd'!F108+F108*'Uitgangspunten debiet+ vrachten'!$E$50)/1000</f>
        <v>47.207503793478253</v>
      </c>
      <c r="P72" s="14">
        <f>('Uitgangspunten debiet+ vrachten'!$E$35*F108+F108*'Uitgangspunten debiet+ vrachten'!$E$51)/1000</f>
        <v>14.057798161521736</v>
      </c>
      <c r="Q72" s="15">
        <f>('Uitgangspunten debiet+ vrachten'!$E$36*'ZW Vrachten door de tijd'!F108+F108*'Uitgangspunten debiet+ vrachten'!$E$52)/1000</f>
        <v>1.7590916934782608</v>
      </c>
      <c r="R72" s="13">
        <f>(G108*VLOOKUP($F$1,'Uitgangspunten debiet+ vrachten'!$B$23:$F$25,4,)+G108*('Uitgangspunten debiet+ vrachten'!$E$27+'Uitgangspunten debiet+ vrachten'!$E$28))/1000</f>
        <v>6.4873453124999996</v>
      </c>
      <c r="S72" s="14">
        <f>('Uitgangspunten debiet+ vrachten'!$E$32*'ZW Vrachten door de tijd'!G108+G108*'Uitgangspunten debiet+ vrachten'!$E$48)/1000</f>
        <v>61.694820652173917</v>
      </c>
      <c r="T72" s="14">
        <f>('Uitgangspunten debiet+ vrachten'!$E$34*'ZW Vrachten door de tijd'!G108+G108*'Uitgangspunten debiet+ vrachten'!$E$50)/1000</f>
        <v>30.632274456521731</v>
      </c>
      <c r="U72" s="14">
        <f>('Uitgangspunten debiet+ vrachten'!$E$35*G108+G108*'Uitgangspunten debiet+ vrachten'!$E$51)/1000</f>
        <v>9.1219042934782593</v>
      </c>
      <c r="V72" s="15">
        <f>('Uitgangspunten debiet+ vrachten'!$E$36*'ZW Vrachten door de tijd'!G108+G108*'Uitgangspunten debiet+ vrachten'!$E$52)/1000</f>
        <v>1.141449456521739</v>
      </c>
    </row>
    <row r="73" spans="1:22" x14ac:dyDescent="0.3">
      <c r="A73" s="171">
        <v>2051</v>
      </c>
      <c r="B73" s="4"/>
      <c r="C73" s="82">
        <f>((C109*VLOOKUP($F$2,'Uitgangspunten debiet+ vrachten'!$B$23:$F$25,5,)+D109*VLOOKUP($F$1,'Uitgangspunten debiet+ vrachten'!$B$23:$F$25,4,))+(C109*('Uitgangspunten debiet+ vrachten'!$D$27+'Uitgangspunten debiet+ vrachten'!$D$28))+'ZW Vrachten door de tijd'!D109*('Uitgangspunten debiet+ vrachten'!$E$27+'Uitgangspunten debiet+ vrachten'!$E$28))/1000</f>
        <v>9.5076902500000013</v>
      </c>
      <c r="D73" s="39">
        <f>('Uitgangspunten debiet+ vrachten'!$E$32*D109+'Uitgangspunten debiet+ vrachten'!$F$32*'ZW Vrachten door de tijd'!C109+C109*'Uitgangspunten debiet+ vrachten'!$F$48+'ZW Vrachten door de tijd'!D109*'Uitgangspunten debiet+ vrachten'!$E$48)/1000</f>
        <v>94.656621739130443</v>
      </c>
      <c r="E73" s="39">
        <f>('Uitgangspunten debiet+ vrachten'!$E$34*D109+'Uitgangspunten debiet+ vrachten'!$F$34*'ZW Vrachten door de tijd'!C109+C109*'Uitgangspunten debiet+ vrachten'!$F$50+'ZW Vrachten door de tijd'!D109*'Uitgangspunten debiet+ vrachten'!$E$50)/1000</f>
        <v>48.367755217391299</v>
      </c>
      <c r="F73" s="39">
        <f>(('Uitgangspunten debiet+ vrachten'!$E$35+'Uitgangspunten debiet+ vrachten'!$E$51)*D109+('Uitgangspunten debiet+ vrachten'!$F$35+'Uitgangspunten debiet+ vrachten'!$F$51)*'ZW Vrachten door de tijd'!C109)/1000</f>
        <v>12.464544849275359</v>
      </c>
      <c r="G73" s="40">
        <f>(('Uitgangspunten debiet+ vrachten'!$E$36+'Uitgangspunten debiet+ vrachten'!$E$52)*D109+('Uitgangspunten debiet+ vrachten'!$F$36+'Uitgangspunten debiet+ vrachten'!$F$52)*'ZW Vrachten door de tijd'!C109)/1000</f>
        <v>1.547159217391304</v>
      </c>
      <c r="H73" s="82">
        <f>(E109*VLOOKUP($F$1,'Uitgangspunten debiet+ vrachten'!$B$23:$F$25,4,)+E109*('Uitgangspunten debiet+ vrachten'!$E$27+'Uitgangspunten debiet+ vrachten'!$E$28))/1000</f>
        <v>0.9331223125</v>
      </c>
      <c r="I73" s="39">
        <f>('Uitgangspunten debiet+ vrachten'!$E$32*'ZW Vrachten door de tijd'!E109+'Uitgangspunten debiet+ vrachten'!$E$48*'ZW Vrachten door de tijd'!E109)/1000</f>
        <v>8.8740171739130442</v>
      </c>
      <c r="J73" s="39">
        <f>'Uitgangspunten debiet+ vrachten'!$E$34*'ZW Vrachten door de tijd'!E109/1000</f>
        <v>2.6064165217391295</v>
      </c>
      <c r="K73" s="39">
        <f>('Uitgangspunten debiet+ vrachten'!$E$35*E109+E109*'Uitgangspunten debiet+ vrachten'!$E$51)/1000</f>
        <v>1.3120701949275357</v>
      </c>
      <c r="L73" s="40">
        <f>('Uitgangspunten debiet+ vrachten'!$E$36*'ZW Vrachten door de tijd'!E109+E109*'Uitgangspunten debiet+ vrachten'!$E$44)/1000</f>
        <v>0.15706577173913042</v>
      </c>
      <c r="M73" s="82">
        <f>(F109*VLOOKUP($F$1,'Uitgangspunten debiet+ vrachten'!$B$23:$F$25,4,)+F109*('Uitgangspunten debiet+ vrachten'!$E$27+'Uitgangspunten debiet+ vrachten'!$E$28))/1000</f>
        <v>9.9976702312499999</v>
      </c>
      <c r="N73" s="39">
        <f>'Uitgangspunten debiet+ vrachten'!$E$32*'ZW Vrachten door de tijd'!F109/1000</f>
        <v>62.832822847826087</v>
      </c>
      <c r="O73" s="39">
        <f>('Uitgangspunten debiet+ vrachten'!$E$34*'ZW Vrachten door de tijd'!F109+F109*'Uitgangspunten debiet+ vrachten'!$E$50)/1000</f>
        <v>47.207503793478253</v>
      </c>
      <c r="P73" s="39">
        <f>('Uitgangspunten debiet+ vrachten'!$E$35*F109+F109*'Uitgangspunten debiet+ vrachten'!$E$51)/1000</f>
        <v>14.057798161521736</v>
      </c>
      <c r="Q73" s="40">
        <f>('Uitgangspunten debiet+ vrachten'!$E$36*'ZW Vrachten door de tijd'!F109+F109*'Uitgangspunten debiet+ vrachten'!$E$52)/1000</f>
        <v>1.7590916934782608</v>
      </c>
      <c r="R73" s="82">
        <f>(G109*VLOOKUP($F$1,'Uitgangspunten debiet+ vrachten'!$B$23:$F$25,4,)+G109*('Uitgangspunten debiet+ vrachten'!$E$27+'Uitgangspunten debiet+ vrachten'!$E$28))/1000</f>
        <v>6.4873453124999996</v>
      </c>
      <c r="S73" s="39">
        <f>('Uitgangspunten debiet+ vrachten'!$E$32*'ZW Vrachten door de tijd'!G109+G109*'Uitgangspunten debiet+ vrachten'!$E$48)/1000</f>
        <v>61.694820652173917</v>
      </c>
      <c r="T73" s="39">
        <f>('Uitgangspunten debiet+ vrachten'!$E$34*'ZW Vrachten door de tijd'!G109+G109*'Uitgangspunten debiet+ vrachten'!$E$50)/1000</f>
        <v>30.632274456521731</v>
      </c>
      <c r="U73" s="39">
        <f>('Uitgangspunten debiet+ vrachten'!$E$35*G109+G109*'Uitgangspunten debiet+ vrachten'!$E$51)/1000</f>
        <v>9.1219042934782593</v>
      </c>
      <c r="V73" s="40">
        <f>('Uitgangspunten debiet+ vrachten'!$E$36*'ZW Vrachten door de tijd'!G109+G109*'Uitgangspunten debiet+ vrachten'!$E$52)/1000</f>
        <v>1.141449456521739</v>
      </c>
    </row>
    <row r="74" spans="1:22" x14ac:dyDescent="0.3">
      <c r="A74" s="3"/>
      <c r="B74" s="3"/>
      <c r="C74" s="78"/>
      <c r="D74" s="3"/>
      <c r="E74" s="3"/>
      <c r="F74" s="3"/>
      <c r="G74" s="3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x14ac:dyDescent="0.3">
      <c r="A75" s="1" t="s">
        <v>107</v>
      </c>
    </row>
    <row r="76" spans="1:22" x14ac:dyDescent="0.3">
      <c r="A76" s="225"/>
      <c r="B76" s="226"/>
      <c r="C76" s="292" t="s">
        <v>76</v>
      </c>
      <c r="D76" s="292"/>
      <c r="E76" s="231" t="s">
        <v>104</v>
      </c>
      <c r="F76" s="231" t="s">
        <v>101</v>
      </c>
      <c r="G76" s="232" t="s">
        <v>36</v>
      </c>
      <c r="H76" s="172"/>
    </row>
    <row r="77" spans="1:22" x14ac:dyDescent="0.3">
      <c r="A77" s="234"/>
      <c r="B77" s="235"/>
      <c r="C77" s="236" t="s">
        <v>102</v>
      </c>
      <c r="D77" s="236" t="s">
        <v>103</v>
      </c>
      <c r="E77" s="236" t="s">
        <v>103</v>
      </c>
      <c r="F77" s="236" t="s">
        <v>103</v>
      </c>
      <c r="G77" s="237" t="s">
        <v>103</v>
      </c>
    </row>
    <row r="78" spans="1:22" x14ac:dyDescent="0.3">
      <c r="A78" s="91" t="s">
        <v>108</v>
      </c>
      <c r="B78" s="192"/>
      <c r="C78" s="65" t="s">
        <v>38</v>
      </c>
      <c r="D78" s="65" t="s">
        <v>3</v>
      </c>
      <c r="E78" s="65" t="s">
        <v>3</v>
      </c>
      <c r="F78" s="65" t="s">
        <v>3</v>
      </c>
      <c r="G78" s="66" t="s">
        <v>3</v>
      </c>
    </row>
    <row r="79" spans="1:22" x14ac:dyDescent="0.3">
      <c r="A79" s="171">
        <v>2021</v>
      </c>
      <c r="B79" s="3"/>
      <c r="C79" s="16"/>
      <c r="D79" s="3"/>
      <c r="E79" s="14">
        <f>'Prognose Deelgebieden '!P5*'Uitgangspunten debiet+ vrachten'!$E$56</f>
        <v>0</v>
      </c>
      <c r="F79" s="14">
        <f>'Prognose Deelgebieden '!Y5*'Uitgangspunten debiet+ vrachten'!$E$57</f>
        <v>0</v>
      </c>
      <c r="G79" s="15">
        <f>'Prognose Deelgebieden '!AF5*'Uitgangspunten debiet+ vrachten'!$E$58</f>
        <v>0</v>
      </c>
    </row>
    <row r="80" spans="1:22" x14ac:dyDescent="0.3">
      <c r="A80" s="171">
        <v>2022</v>
      </c>
      <c r="B80" s="3"/>
      <c r="C80" s="16">
        <f>C79</f>
        <v>0</v>
      </c>
      <c r="D80" s="3">
        <f>D79</f>
        <v>0</v>
      </c>
      <c r="E80" s="14">
        <f>'Prognose Deelgebieden '!P6*'Uitgangspunten debiet+ vrachten'!$E$56</f>
        <v>0</v>
      </c>
      <c r="F80" s="14">
        <f>'Prognose Deelgebieden '!Y6*'Uitgangspunten debiet+ vrachten'!$E$57</f>
        <v>772.63499999999999</v>
      </c>
      <c r="G80" s="15">
        <f>'Prognose Deelgebieden '!AF6*'Uitgangspunten debiet+ vrachten'!$E$58</f>
        <v>0</v>
      </c>
    </row>
    <row r="81" spans="1:7" x14ac:dyDescent="0.3">
      <c r="A81" s="171">
        <v>2023</v>
      </c>
      <c r="B81" s="3"/>
      <c r="C81" s="16">
        <f>C80+'Uitgangspunten debiet+ vrachten'!F66</f>
        <v>280.8</v>
      </c>
      <c r="D81" s="3">
        <f>D80+'Uitgangspunten debiet+ vrachten'!F69</f>
        <v>30</v>
      </c>
      <c r="E81" s="14">
        <f>'Prognose Deelgebieden '!P7*'Uitgangspunten debiet+ vrachten'!$E$56</f>
        <v>75.100000000000009</v>
      </c>
      <c r="F81" s="14">
        <f>'Prognose Deelgebieden '!Y7*'Uitgangspunten debiet+ vrachten'!$E$57</f>
        <v>1717.4849999999999</v>
      </c>
      <c r="G81" s="15">
        <f>'Prognose Deelgebieden '!AF7*'Uitgangspunten debiet+ vrachten'!$E$58</f>
        <v>0</v>
      </c>
    </row>
    <row r="82" spans="1:7" x14ac:dyDescent="0.3">
      <c r="A82" s="171">
        <v>2024</v>
      </c>
      <c r="B82" s="3"/>
      <c r="C82" s="16">
        <f>C81</f>
        <v>280.8</v>
      </c>
      <c r="D82" s="3">
        <f>D81</f>
        <v>30</v>
      </c>
      <c r="E82" s="14">
        <f>'Prognose Deelgebieden '!P8*'Uitgangspunten debiet+ vrachten'!$E$56</f>
        <v>157.35</v>
      </c>
      <c r="F82" s="14">
        <f>'Prognose Deelgebieden '!Y8*'Uitgangspunten debiet+ vrachten'!$E$57</f>
        <v>1809.7349999999999</v>
      </c>
      <c r="G82" s="15">
        <f>'Prognose Deelgebieden '!AF8*'Uitgangspunten debiet+ vrachten'!$E$58</f>
        <v>1023.75</v>
      </c>
    </row>
    <row r="83" spans="1:7" x14ac:dyDescent="0.3">
      <c r="A83" s="171">
        <v>2025</v>
      </c>
      <c r="B83" s="3"/>
      <c r="C83" s="16">
        <f>C82</f>
        <v>280.8</v>
      </c>
      <c r="D83" s="3">
        <f>D82</f>
        <v>30</v>
      </c>
      <c r="E83" s="14">
        <f>'Prognose Deelgebieden '!P9*'Uitgangspunten debiet+ vrachten'!$E$56</f>
        <v>180.35</v>
      </c>
      <c r="F83" s="14">
        <f>'Prognose Deelgebieden '!Y9*'Uitgangspunten debiet+ vrachten'!$E$57</f>
        <v>1994.2349999999999</v>
      </c>
      <c r="G83" s="15">
        <f>'Prognose Deelgebieden '!AF9*'Uitgangspunten debiet+ vrachten'!$E$58</f>
        <v>1121.25</v>
      </c>
    </row>
    <row r="84" spans="1:7" x14ac:dyDescent="0.3">
      <c r="A84" s="171">
        <v>2026</v>
      </c>
      <c r="B84" s="3"/>
      <c r="C84" s="16">
        <f>C83+'Uitgangspunten debiet+ vrachten'!F67+'Uitgangspunten debiet+ vrachten'!F68</f>
        <v>1328.4</v>
      </c>
      <c r="D84" s="3">
        <f>D83+'Uitgangspunten debiet+ vrachten'!F70+'Uitgangspunten debiet+ vrachten'!F71</f>
        <v>115</v>
      </c>
      <c r="E84" s="14">
        <f>'Prognose Deelgebieden '!P10*'Uitgangspunten debiet+ vrachten'!$E$56</f>
        <v>203.35</v>
      </c>
      <c r="F84" s="14">
        <f>'Prognose Deelgebieden '!Y10*'Uitgangspunten debiet+ vrachten'!$E$57</f>
        <v>2178.7350000000001</v>
      </c>
      <c r="G84" s="15">
        <f>'Prognose Deelgebieden '!AF10*'Uitgangspunten debiet+ vrachten'!$E$58</f>
        <v>1218.75</v>
      </c>
    </row>
    <row r="85" spans="1:7" x14ac:dyDescent="0.3">
      <c r="A85" s="171">
        <v>2027</v>
      </c>
      <c r="B85" s="3"/>
      <c r="C85" s="16">
        <f t="shared" ref="C84:C109" si="39">C84</f>
        <v>1328.4</v>
      </c>
      <c r="D85" s="3">
        <f t="shared" ref="D84:D109" si="40">D84</f>
        <v>115</v>
      </c>
      <c r="E85" s="14">
        <f>'Prognose Deelgebieden '!P11*'Uitgangspunten debiet+ vrachten'!$E$56</f>
        <v>203.35</v>
      </c>
      <c r="F85" s="14">
        <f>'Prognose Deelgebieden '!Y11*'Uitgangspunten debiet+ vrachten'!$E$57</f>
        <v>2178.7350000000001</v>
      </c>
      <c r="G85" s="15">
        <f>'Prognose Deelgebieden '!AF11*'Uitgangspunten debiet+ vrachten'!$E$58</f>
        <v>1316.25</v>
      </c>
    </row>
    <row r="86" spans="1:7" x14ac:dyDescent="0.3">
      <c r="A86" s="171">
        <v>2028</v>
      </c>
      <c r="B86" s="3"/>
      <c r="C86" s="16">
        <f t="shared" si="39"/>
        <v>1328.4</v>
      </c>
      <c r="D86" s="3">
        <f t="shared" si="40"/>
        <v>115</v>
      </c>
      <c r="E86" s="14">
        <f>'Prognose Deelgebieden '!P12*'Uitgangspunten debiet+ vrachten'!$E$56</f>
        <v>203.35</v>
      </c>
      <c r="F86" s="14">
        <f>'Prognose Deelgebieden '!Y12*'Uitgangspunten debiet+ vrachten'!$E$57</f>
        <v>2178.7350000000001</v>
      </c>
      <c r="G86" s="15">
        <f>'Prognose Deelgebieden '!AF12*'Uitgangspunten debiet+ vrachten'!$E$58</f>
        <v>1413.75</v>
      </c>
    </row>
    <row r="87" spans="1:7" x14ac:dyDescent="0.3">
      <c r="A87" s="171">
        <v>2029</v>
      </c>
      <c r="B87" s="3"/>
      <c r="C87" s="16">
        <f t="shared" si="39"/>
        <v>1328.4</v>
      </c>
      <c r="D87" s="3">
        <f t="shared" si="40"/>
        <v>115</v>
      </c>
      <c r="E87" s="14">
        <f>'Prognose Deelgebieden '!P13*'Uitgangspunten debiet+ vrachten'!$E$56</f>
        <v>203.35</v>
      </c>
      <c r="F87" s="14">
        <f>'Prognose Deelgebieden '!Y13*'Uitgangspunten debiet+ vrachten'!$E$57</f>
        <v>2178.7350000000001</v>
      </c>
      <c r="G87" s="15">
        <f>'Prognose Deelgebieden '!AF13*'Uitgangspunten debiet+ vrachten'!$E$58</f>
        <v>1413.75</v>
      </c>
    </row>
    <row r="88" spans="1:7" x14ac:dyDescent="0.3">
      <c r="A88" s="171">
        <v>2030</v>
      </c>
      <c r="B88" s="3"/>
      <c r="C88" s="16">
        <f t="shared" si="39"/>
        <v>1328.4</v>
      </c>
      <c r="D88" s="3">
        <f t="shared" si="40"/>
        <v>115</v>
      </c>
      <c r="E88" s="14">
        <f>'Prognose Deelgebieden '!P14*'Uitgangspunten debiet+ vrachten'!$E$56</f>
        <v>203.35</v>
      </c>
      <c r="F88" s="14">
        <f>'Prognose Deelgebieden '!Y14*'Uitgangspunten debiet+ vrachten'!$E$57</f>
        <v>2178.7350000000001</v>
      </c>
      <c r="G88" s="15">
        <f>'Prognose Deelgebieden '!AF14*'Uitgangspunten debiet+ vrachten'!$E$58</f>
        <v>1413.75</v>
      </c>
    </row>
    <row r="89" spans="1:7" x14ac:dyDescent="0.3">
      <c r="A89" s="171">
        <v>2031</v>
      </c>
      <c r="B89" s="3"/>
      <c r="C89" s="16">
        <f t="shared" si="39"/>
        <v>1328.4</v>
      </c>
      <c r="D89" s="3">
        <f t="shared" si="40"/>
        <v>115</v>
      </c>
      <c r="E89" s="14">
        <f>'Prognose Deelgebieden '!P15*'Uitgangspunten debiet+ vrachten'!$E$56</f>
        <v>203.35</v>
      </c>
      <c r="F89" s="14">
        <f>'Prognose Deelgebieden '!Y15*'Uitgangspunten debiet+ vrachten'!$E$57</f>
        <v>2178.7350000000001</v>
      </c>
      <c r="G89" s="15">
        <f>'Prognose Deelgebieden '!AF15*'Uitgangspunten debiet+ vrachten'!$E$58</f>
        <v>1413.75</v>
      </c>
    </row>
    <row r="90" spans="1:7" x14ac:dyDescent="0.3">
      <c r="A90" s="171">
        <v>2032</v>
      </c>
      <c r="B90" s="3"/>
      <c r="C90" s="16">
        <f t="shared" si="39"/>
        <v>1328.4</v>
      </c>
      <c r="D90" s="3">
        <f t="shared" si="40"/>
        <v>115</v>
      </c>
      <c r="E90" s="14">
        <f>'Prognose Deelgebieden '!P16*'Uitgangspunten debiet+ vrachten'!$E$56</f>
        <v>203.35</v>
      </c>
      <c r="F90" s="14">
        <f>'Prognose Deelgebieden '!Y16*'Uitgangspunten debiet+ vrachten'!$E$57</f>
        <v>2178.7350000000001</v>
      </c>
      <c r="G90" s="15">
        <f>'Prognose Deelgebieden '!AF16*'Uitgangspunten debiet+ vrachten'!$E$58</f>
        <v>1413.75</v>
      </c>
    </row>
    <row r="91" spans="1:7" x14ac:dyDescent="0.3">
      <c r="A91" s="171">
        <v>2033</v>
      </c>
      <c r="B91" s="3"/>
      <c r="C91" s="16">
        <f t="shared" si="39"/>
        <v>1328.4</v>
      </c>
      <c r="D91" s="3">
        <f t="shared" si="40"/>
        <v>115</v>
      </c>
      <c r="E91" s="14">
        <f>'Prognose Deelgebieden '!P17*'Uitgangspunten debiet+ vrachten'!$E$56</f>
        <v>203.35</v>
      </c>
      <c r="F91" s="14">
        <f>'Prognose Deelgebieden '!Y17*'Uitgangspunten debiet+ vrachten'!$E$57</f>
        <v>2178.7350000000001</v>
      </c>
      <c r="G91" s="15">
        <f>'Prognose Deelgebieden '!AF17*'Uitgangspunten debiet+ vrachten'!$E$58</f>
        <v>1413.75</v>
      </c>
    </row>
    <row r="92" spans="1:7" x14ac:dyDescent="0.3">
      <c r="A92" s="171">
        <v>2034</v>
      </c>
      <c r="B92" s="3"/>
      <c r="C92" s="16">
        <f t="shared" si="39"/>
        <v>1328.4</v>
      </c>
      <c r="D92" s="3">
        <f t="shared" si="40"/>
        <v>115</v>
      </c>
      <c r="E92" s="14">
        <f>'Prognose Deelgebieden '!P18*'Uitgangspunten debiet+ vrachten'!$E$56</f>
        <v>203.35</v>
      </c>
      <c r="F92" s="14">
        <f>'Prognose Deelgebieden '!Y18*'Uitgangspunten debiet+ vrachten'!$E$57</f>
        <v>2178.7350000000001</v>
      </c>
      <c r="G92" s="15">
        <f>'Prognose Deelgebieden '!AF18*'Uitgangspunten debiet+ vrachten'!$E$58</f>
        <v>1413.75</v>
      </c>
    </row>
    <row r="93" spans="1:7" x14ac:dyDescent="0.3">
      <c r="A93" s="171">
        <v>2035</v>
      </c>
      <c r="B93" s="3"/>
      <c r="C93" s="16">
        <f t="shared" si="39"/>
        <v>1328.4</v>
      </c>
      <c r="D93" s="3">
        <f t="shared" si="40"/>
        <v>115</v>
      </c>
      <c r="E93" s="14">
        <f>'Prognose Deelgebieden '!P19*'Uitgangspunten debiet+ vrachten'!$E$56</f>
        <v>203.35</v>
      </c>
      <c r="F93" s="14">
        <f>'Prognose Deelgebieden '!Y19*'Uitgangspunten debiet+ vrachten'!$E$57</f>
        <v>2178.7350000000001</v>
      </c>
      <c r="G93" s="15">
        <f>'Prognose Deelgebieden '!AF19*'Uitgangspunten debiet+ vrachten'!$E$58</f>
        <v>1413.75</v>
      </c>
    </row>
    <row r="94" spans="1:7" x14ac:dyDescent="0.3">
      <c r="A94" s="171">
        <v>2036</v>
      </c>
      <c r="B94" s="3"/>
      <c r="C94" s="16">
        <f t="shared" si="39"/>
        <v>1328.4</v>
      </c>
      <c r="D94" s="3">
        <f t="shared" si="40"/>
        <v>115</v>
      </c>
      <c r="E94" s="14">
        <f>'Prognose Deelgebieden '!P20*'Uitgangspunten debiet+ vrachten'!$E$56</f>
        <v>203.35</v>
      </c>
      <c r="F94" s="14">
        <f>'Prognose Deelgebieden '!Y20*'Uitgangspunten debiet+ vrachten'!$E$57</f>
        <v>2178.7350000000001</v>
      </c>
      <c r="G94" s="15">
        <f>'Prognose Deelgebieden '!AF20*'Uitgangspunten debiet+ vrachten'!$E$58</f>
        <v>1413.75</v>
      </c>
    </row>
    <row r="95" spans="1:7" x14ac:dyDescent="0.3">
      <c r="A95" s="171">
        <v>2037</v>
      </c>
      <c r="B95" s="3"/>
      <c r="C95" s="16">
        <f t="shared" si="39"/>
        <v>1328.4</v>
      </c>
      <c r="D95" s="3">
        <f t="shared" si="40"/>
        <v>115</v>
      </c>
      <c r="E95" s="14">
        <f>'Prognose Deelgebieden '!P21*'Uitgangspunten debiet+ vrachten'!$E$56</f>
        <v>203.35</v>
      </c>
      <c r="F95" s="14">
        <f>'Prognose Deelgebieden '!Y21*'Uitgangspunten debiet+ vrachten'!$E$57</f>
        <v>2178.7350000000001</v>
      </c>
      <c r="G95" s="15">
        <f>'Prognose Deelgebieden '!AF21*'Uitgangspunten debiet+ vrachten'!$E$58</f>
        <v>1413.75</v>
      </c>
    </row>
    <row r="96" spans="1:7" x14ac:dyDescent="0.3">
      <c r="A96" s="171">
        <v>2038</v>
      </c>
      <c r="B96" s="3"/>
      <c r="C96" s="16">
        <f t="shared" si="39"/>
        <v>1328.4</v>
      </c>
      <c r="D96" s="3">
        <f t="shared" si="40"/>
        <v>115</v>
      </c>
      <c r="E96" s="14">
        <f>'Prognose Deelgebieden '!P22*'Uitgangspunten debiet+ vrachten'!$E$56</f>
        <v>203.35</v>
      </c>
      <c r="F96" s="14">
        <f>'Prognose Deelgebieden '!Y22*'Uitgangspunten debiet+ vrachten'!$E$57</f>
        <v>2178.7350000000001</v>
      </c>
      <c r="G96" s="15">
        <f>'Prognose Deelgebieden '!AF22*'Uitgangspunten debiet+ vrachten'!$E$58</f>
        <v>1413.75</v>
      </c>
    </row>
    <row r="97" spans="1:7" x14ac:dyDescent="0.3">
      <c r="A97" s="171">
        <v>2039</v>
      </c>
      <c r="B97" s="3"/>
      <c r="C97" s="16">
        <f t="shared" si="39"/>
        <v>1328.4</v>
      </c>
      <c r="D97" s="3">
        <f t="shared" si="40"/>
        <v>115</v>
      </c>
      <c r="E97" s="14">
        <f>'Prognose Deelgebieden '!P23*'Uitgangspunten debiet+ vrachten'!$E$56</f>
        <v>203.35</v>
      </c>
      <c r="F97" s="14">
        <f>'Prognose Deelgebieden '!Y23*'Uitgangspunten debiet+ vrachten'!$E$57</f>
        <v>2178.7350000000001</v>
      </c>
      <c r="G97" s="15">
        <f>'Prognose Deelgebieden '!AF23*'Uitgangspunten debiet+ vrachten'!$E$58</f>
        <v>1413.75</v>
      </c>
    </row>
    <row r="98" spans="1:7" x14ac:dyDescent="0.3">
      <c r="A98" s="171">
        <v>2040</v>
      </c>
      <c r="B98" s="3"/>
      <c r="C98" s="16">
        <f t="shared" si="39"/>
        <v>1328.4</v>
      </c>
      <c r="D98" s="3">
        <f t="shared" si="40"/>
        <v>115</v>
      </c>
      <c r="E98" s="14">
        <f>'Prognose Deelgebieden '!P24*'Uitgangspunten debiet+ vrachten'!$E$56</f>
        <v>203.35</v>
      </c>
      <c r="F98" s="14">
        <f>'Prognose Deelgebieden '!Y24*'Uitgangspunten debiet+ vrachten'!$E$57</f>
        <v>2178.7350000000001</v>
      </c>
      <c r="G98" s="15">
        <f>'Prognose Deelgebieden '!AF24*'Uitgangspunten debiet+ vrachten'!$E$58</f>
        <v>1413.75</v>
      </c>
    </row>
    <row r="99" spans="1:7" x14ac:dyDescent="0.3">
      <c r="A99" s="171">
        <v>2041</v>
      </c>
      <c r="B99" s="3"/>
      <c r="C99" s="16">
        <f t="shared" si="39"/>
        <v>1328.4</v>
      </c>
      <c r="D99" s="3">
        <f t="shared" si="40"/>
        <v>115</v>
      </c>
      <c r="E99" s="14">
        <f>'Prognose Deelgebieden '!P25*'Uitgangspunten debiet+ vrachten'!$E$56</f>
        <v>203.35</v>
      </c>
      <c r="F99" s="14">
        <f>'Prognose Deelgebieden '!Y25*'Uitgangspunten debiet+ vrachten'!$E$57</f>
        <v>2178.7350000000001</v>
      </c>
      <c r="G99" s="15">
        <f>'Prognose Deelgebieden '!AF25*'Uitgangspunten debiet+ vrachten'!$E$58</f>
        <v>1413.75</v>
      </c>
    </row>
    <row r="100" spans="1:7" x14ac:dyDescent="0.3">
      <c r="A100" s="171">
        <v>2042</v>
      </c>
      <c r="B100" s="3"/>
      <c r="C100" s="16">
        <f t="shared" si="39"/>
        <v>1328.4</v>
      </c>
      <c r="D100" s="3">
        <f t="shared" si="40"/>
        <v>115</v>
      </c>
      <c r="E100" s="14">
        <f>'Prognose Deelgebieden '!P26*'Uitgangspunten debiet+ vrachten'!$E$56</f>
        <v>203.35</v>
      </c>
      <c r="F100" s="14">
        <f>'Prognose Deelgebieden '!Y26*'Uitgangspunten debiet+ vrachten'!$E$57</f>
        <v>2178.7350000000001</v>
      </c>
      <c r="G100" s="15">
        <f>'Prognose Deelgebieden '!AF26*'Uitgangspunten debiet+ vrachten'!$E$58</f>
        <v>1413.75</v>
      </c>
    </row>
    <row r="101" spans="1:7" x14ac:dyDescent="0.3">
      <c r="A101" s="171">
        <v>2043</v>
      </c>
      <c r="B101" s="3"/>
      <c r="C101" s="16">
        <f t="shared" si="39"/>
        <v>1328.4</v>
      </c>
      <c r="D101" s="3">
        <f t="shared" si="40"/>
        <v>115</v>
      </c>
      <c r="E101" s="14">
        <f>'Prognose Deelgebieden '!P27*'Uitgangspunten debiet+ vrachten'!$E$56</f>
        <v>203.35</v>
      </c>
      <c r="F101" s="14">
        <f>'Prognose Deelgebieden '!Y27*'Uitgangspunten debiet+ vrachten'!$E$57</f>
        <v>2178.7350000000001</v>
      </c>
      <c r="G101" s="15">
        <f>'Prognose Deelgebieden '!AF27*'Uitgangspunten debiet+ vrachten'!$E$58</f>
        <v>1413.75</v>
      </c>
    </row>
    <row r="102" spans="1:7" x14ac:dyDescent="0.3">
      <c r="A102" s="171">
        <v>2044</v>
      </c>
      <c r="B102" s="3"/>
      <c r="C102" s="16">
        <f t="shared" si="39"/>
        <v>1328.4</v>
      </c>
      <c r="D102" s="3">
        <f t="shared" si="40"/>
        <v>115</v>
      </c>
      <c r="E102" s="14">
        <f>'Prognose Deelgebieden '!P28*'Uitgangspunten debiet+ vrachten'!$E$56</f>
        <v>203.35</v>
      </c>
      <c r="F102" s="14">
        <f>'Prognose Deelgebieden '!Y28*'Uitgangspunten debiet+ vrachten'!$E$57</f>
        <v>2178.7350000000001</v>
      </c>
      <c r="G102" s="15">
        <f>'Prognose Deelgebieden '!AF28*'Uitgangspunten debiet+ vrachten'!$E$58</f>
        <v>1413.75</v>
      </c>
    </row>
    <row r="103" spans="1:7" x14ac:dyDescent="0.3">
      <c r="A103" s="171">
        <v>2045</v>
      </c>
      <c r="B103" s="3"/>
      <c r="C103" s="16">
        <f t="shared" si="39"/>
        <v>1328.4</v>
      </c>
      <c r="D103" s="3">
        <f t="shared" si="40"/>
        <v>115</v>
      </c>
      <c r="E103" s="14">
        <f>'Prognose Deelgebieden '!P29*'Uitgangspunten debiet+ vrachten'!$E$56</f>
        <v>203.35</v>
      </c>
      <c r="F103" s="14">
        <f>'Prognose Deelgebieden '!Y29*'Uitgangspunten debiet+ vrachten'!$E$57</f>
        <v>2178.7350000000001</v>
      </c>
      <c r="G103" s="15">
        <f>'Prognose Deelgebieden '!AF29*'Uitgangspunten debiet+ vrachten'!$E$58</f>
        <v>1413.75</v>
      </c>
    </row>
    <row r="104" spans="1:7" x14ac:dyDescent="0.3">
      <c r="A104" s="171">
        <v>2046</v>
      </c>
      <c r="B104" s="3"/>
      <c r="C104" s="16">
        <f t="shared" si="39"/>
        <v>1328.4</v>
      </c>
      <c r="D104" s="3">
        <f t="shared" si="40"/>
        <v>115</v>
      </c>
      <c r="E104" s="14">
        <f>'Prognose Deelgebieden '!P30*'Uitgangspunten debiet+ vrachten'!$E$56</f>
        <v>203.35</v>
      </c>
      <c r="F104" s="14">
        <f>'Prognose Deelgebieden '!Y30*'Uitgangspunten debiet+ vrachten'!$E$57</f>
        <v>2178.7350000000001</v>
      </c>
      <c r="G104" s="15">
        <f>'Prognose Deelgebieden '!AF30*'Uitgangspunten debiet+ vrachten'!$E$58</f>
        <v>1413.75</v>
      </c>
    </row>
    <row r="105" spans="1:7" x14ac:dyDescent="0.3">
      <c r="A105" s="171">
        <v>2047</v>
      </c>
      <c r="B105" s="3"/>
      <c r="C105" s="16">
        <f t="shared" si="39"/>
        <v>1328.4</v>
      </c>
      <c r="D105" s="3">
        <f t="shared" si="40"/>
        <v>115</v>
      </c>
      <c r="E105" s="14">
        <f>'Prognose Deelgebieden '!P31*'Uitgangspunten debiet+ vrachten'!$E$56</f>
        <v>203.35</v>
      </c>
      <c r="F105" s="14">
        <f>'Prognose Deelgebieden '!Y31*'Uitgangspunten debiet+ vrachten'!$E$57</f>
        <v>2178.7350000000001</v>
      </c>
      <c r="G105" s="15">
        <f>'Prognose Deelgebieden '!AF31*'Uitgangspunten debiet+ vrachten'!$E$58</f>
        <v>1413.75</v>
      </c>
    </row>
    <row r="106" spans="1:7" x14ac:dyDescent="0.3">
      <c r="A106" s="171">
        <v>2048</v>
      </c>
      <c r="B106" s="3"/>
      <c r="C106" s="16">
        <f t="shared" si="39"/>
        <v>1328.4</v>
      </c>
      <c r="D106" s="3">
        <f t="shared" si="40"/>
        <v>115</v>
      </c>
      <c r="E106" s="14">
        <f>'Prognose Deelgebieden '!P32*'Uitgangspunten debiet+ vrachten'!$E$56</f>
        <v>203.35</v>
      </c>
      <c r="F106" s="14">
        <f>'Prognose Deelgebieden '!Y32*'Uitgangspunten debiet+ vrachten'!$E$57</f>
        <v>2178.7350000000001</v>
      </c>
      <c r="G106" s="15">
        <f>'Prognose Deelgebieden '!AF32*'Uitgangspunten debiet+ vrachten'!$E$58</f>
        <v>1413.75</v>
      </c>
    </row>
    <row r="107" spans="1:7" x14ac:dyDescent="0.3">
      <c r="A107" s="171">
        <v>2049</v>
      </c>
      <c r="B107" s="3"/>
      <c r="C107" s="16">
        <f t="shared" si="39"/>
        <v>1328.4</v>
      </c>
      <c r="D107" s="3">
        <f t="shared" si="40"/>
        <v>115</v>
      </c>
      <c r="E107" s="14">
        <f>'Prognose Deelgebieden '!P33*'Uitgangspunten debiet+ vrachten'!$E$56</f>
        <v>203.35</v>
      </c>
      <c r="F107" s="14">
        <f>'Prognose Deelgebieden '!Y33*'Uitgangspunten debiet+ vrachten'!$E$57</f>
        <v>2178.7350000000001</v>
      </c>
      <c r="G107" s="15">
        <f>'Prognose Deelgebieden '!AF33*'Uitgangspunten debiet+ vrachten'!$E$58</f>
        <v>1413.75</v>
      </c>
    </row>
    <row r="108" spans="1:7" x14ac:dyDescent="0.3">
      <c r="A108" s="171">
        <v>2050</v>
      </c>
      <c r="B108" s="3"/>
      <c r="C108" s="16">
        <f t="shared" si="39"/>
        <v>1328.4</v>
      </c>
      <c r="D108" s="3">
        <f t="shared" si="40"/>
        <v>115</v>
      </c>
      <c r="E108" s="14">
        <f>'Prognose Deelgebieden '!P34*'Uitgangspunten debiet+ vrachten'!$E$56</f>
        <v>203.35</v>
      </c>
      <c r="F108" s="14">
        <f>'Prognose Deelgebieden '!Y34*'Uitgangspunten debiet+ vrachten'!$E$57</f>
        <v>2178.7350000000001</v>
      </c>
      <c r="G108" s="15">
        <f>'Prognose Deelgebieden '!AF34*'Uitgangspunten debiet+ vrachten'!$E$58</f>
        <v>1413.75</v>
      </c>
    </row>
    <row r="109" spans="1:7" x14ac:dyDescent="0.3">
      <c r="A109" s="171">
        <v>2051</v>
      </c>
      <c r="B109" s="54"/>
      <c r="C109" s="256">
        <f t="shared" si="39"/>
        <v>1328.4</v>
      </c>
      <c r="D109" s="62">
        <f t="shared" si="40"/>
        <v>115</v>
      </c>
      <c r="E109" s="39">
        <f>'Prognose Deelgebieden '!P35*'Uitgangspunten debiet+ vrachten'!$E$56</f>
        <v>203.35</v>
      </c>
      <c r="F109" s="39">
        <f>'Prognose Deelgebieden '!Y35*'Uitgangspunten debiet+ vrachten'!$E$57</f>
        <v>2178.7350000000001</v>
      </c>
      <c r="G109" s="40">
        <f>'Prognose Deelgebieden '!AF35*'Uitgangspunten debiet+ vrachten'!$E$58</f>
        <v>1413.75</v>
      </c>
    </row>
    <row r="111" spans="1:7" x14ac:dyDescent="0.3">
      <c r="A111" s="225"/>
      <c r="B111" s="226"/>
      <c r="C111" s="292" t="s">
        <v>161</v>
      </c>
      <c r="D111" s="292"/>
      <c r="E111" s="231"/>
      <c r="F111" s="231"/>
      <c r="G111" s="232"/>
    </row>
    <row r="112" spans="1:7" x14ac:dyDescent="0.3">
      <c r="A112" s="234"/>
      <c r="B112" s="235"/>
      <c r="C112" s="236" t="s">
        <v>151</v>
      </c>
      <c r="D112" s="236" t="s">
        <v>151</v>
      </c>
      <c r="E112" s="236"/>
      <c r="F112" s="236"/>
      <c r="G112" s="237"/>
    </row>
    <row r="113" spans="1:7" x14ac:dyDescent="0.3">
      <c r="A113" s="91"/>
      <c r="B113" s="192"/>
      <c r="C113" s="65" t="s">
        <v>149</v>
      </c>
      <c r="D113" s="65" t="s">
        <v>137</v>
      </c>
      <c r="E113" s="65"/>
      <c r="F113" s="65"/>
      <c r="G113" s="66"/>
    </row>
    <row r="114" spans="1:7" x14ac:dyDescent="0.3">
      <c r="A114" s="91"/>
      <c r="B114" s="192"/>
      <c r="C114" s="65" t="s">
        <v>150</v>
      </c>
      <c r="D114" s="65" t="s">
        <v>150</v>
      </c>
      <c r="E114" s="65"/>
      <c r="F114" s="65"/>
      <c r="G114" s="66"/>
    </row>
    <row r="115" spans="1:7" x14ac:dyDescent="0.3">
      <c r="A115" s="262">
        <f>A79</f>
        <v>2021</v>
      </c>
      <c r="B115" s="189"/>
      <c r="C115" s="263">
        <f>0.023385*((D7+4.57*F7)/0.15)*(1-0.32722)+0.010311*((D7+4.57*F7)/0.15)*(0.32722)</f>
        <v>0</v>
      </c>
      <c r="D115" s="263">
        <f>0.023385*((K7+4.57*M7)/0.15)*(1-0.32722)+0.010311*((K7+4.57*M7)/0.15)*(0.32722)</f>
        <v>0</v>
      </c>
      <c r="E115" s="264"/>
      <c r="F115" s="265"/>
      <c r="G115" s="257"/>
    </row>
    <row r="116" spans="1:7" x14ac:dyDescent="0.3">
      <c r="A116" s="4">
        <f t="shared" ref="A116:A145" si="41">A80</f>
        <v>2022</v>
      </c>
      <c r="B116" s="94"/>
      <c r="C116" s="266">
        <f t="shared" ref="C116:C145" si="42">0.023385*((D8+4.57*F8)/0.15)*(1-0.32722)+0.010311*((D8+4.57*F8)/0.15)*(0.32722)</f>
        <v>5.7403231560781398</v>
      </c>
      <c r="D116" s="266">
        <f t="shared" ref="D116:D145" si="43">0.023385*((K8+4.57*M8)/0.15)*(1-0.32722)+0.010311*((K8+4.57*M8)/0.15)*(0.32722)</f>
        <v>4.1002308257701001</v>
      </c>
      <c r="E116" s="267"/>
      <c r="F116" s="78"/>
      <c r="G116" s="259"/>
    </row>
    <row r="117" spans="1:7" x14ac:dyDescent="0.3">
      <c r="A117" s="4">
        <f t="shared" si="41"/>
        <v>2023</v>
      </c>
      <c r="B117" s="94"/>
      <c r="C117" s="266">
        <f t="shared" si="42"/>
        <v>17.595144816149688</v>
      </c>
      <c r="D117" s="266">
        <f t="shared" si="43"/>
        <v>13.335978646584506</v>
      </c>
      <c r="E117" s="267"/>
      <c r="F117" s="78"/>
      <c r="G117" s="259"/>
    </row>
    <row r="118" spans="1:7" x14ac:dyDescent="0.3">
      <c r="A118" s="4">
        <f t="shared" si="41"/>
        <v>2024</v>
      </c>
      <c r="B118" s="94"/>
      <c r="C118" s="266">
        <f t="shared" si="42"/>
        <v>28.582641562942541</v>
      </c>
      <c r="D118" s="266">
        <f t="shared" si="43"/>
        <v>21.184190608579403</v>
      </c>
      <c r="E118" s="267"/>
      <c r="F118" s="78"/>
      <c r="G118" s="259"/>
    </row>
    <row r="119" spans="1:7" x14ac:dyDescent="0.3">
      <c r="A119" s="4">
        <f t="shared" si="41"/>
        <v>2025</v>
      </c>
      <c r="B119" s="94"/>
      <c r="C119" s="266">
        <f t="shared" si="42"/>
        <v>31.075820076355249</v>
      </c>
      <c r="D119" s="266">
        <f t="shared" si="43"/>
        <v>22.96503240387419</v>
      </c>
      <c r="E119" s="267"/>
      <c r="F119" s="78"/>
      <c r="G119" s="259"/>
    </row>
    <row r="120" spans="1:7" x14ac:dyDescent="0.3">
      <c r="A120" s="4">
        <f t="shared" si="41"/>
        <v>2026</v>
      </c>
      <c r="B120" s="94"/>
      <c r="C120" s="266">
        <f t="shared" si="42"/>
        <v>48.746745217499608</v>
      </c>
      <c r="D120" s="266">
        <f t="shared" si="43"/>
        <v>38.405846164127475</v>
      </c>
      <c r="E120" s="267"/>
      <c r="F120" s="78"/>
      <c r="G120" s="259"/>
    </row>
    <row r="121" spans="1:7" x14ac:dyDescent="0.3">
      <c r="A121" s="4">
        <f t="shared" si="41"/>
        <v>2027</v>
      </c>
      <c r="B121" s="94"/>
      <c r="C121" s="266">
        <f t="shared" si="42"/>
        <v>49.654934058315703</v>
      </c>
      <c r="D121" s="266">
        <f t="shared" si="43"/>
        <v>39.054552478996115</v>
      </c>
      <c r="E121" s="267"/>
      <c r="F121" s="78"/>
      <c r="G121" s="259"/>
    </row>
    <row r="122" spans="1:7" x14ac:dyDescent="0.3">
      <c r="A122" s="4">
        <f t="shared" si="41"/>
        <v>2028</v>
      </c>
      <c r="B122" s="94"/>
      <c r="C122" s="266">
        <f t="shared" si="42"/>
        <v>50.563122899131798</v>
      </c>
      <c r="D122" s="266">
        <f t="shared" si="43"/>
        <v>39.703258793864748</v>
      </c>
      <c r="E122" s="267"/>
      <c r="F122" s="78"/>
      <c r="G122" s="259"/>
    </row>
    <row r="123" spans="1:7" x14ac:dyDescent="0.3">
      <c r="A123" s="4">
        <f t="shared" si="41"/>
        <v>2029</v>
      </c>
      <c r="B123" s="94"/>
      <c r="C123" s="266">
        <f t="shared" si="42"/>
        <v>50.563122899131798</v>
      </c>
      <c r="D123" s="266">
        <f t="shared" si="43"/>
        <v>39.703258793864748</v>
      </c>
      <c r="E123" s="267"/>
      <c r="F123" s="78"/>
      <c r="G123" s="259"/>
    </row>
    <row r="124" spans="1:7" x14ac:dyDescent="0.3">
      <c r="A124" s="4">
        <f t="shared" si="41"/>
        <v>2030</v>
      </c>
      <c r="B124" s="94"/>
      <c r="C124" s="266">
        <f t="shared" si="42"/>
        <v>50.563122899131798</v>
      </c>
      <c r="D124" s="266">
        <f t="shared" si="43"/>
        <v>39.703258793864748</v>
      </c>
      <c r="E124" s="267"/>
      <c r="F124" s="78"/>
      <c r="G124" s="259"/>
    </row>
    <row r="125" spans="1:7" x14ac:dyDescent="0.3">
      <c r="A125" s="4">
        <f t="shared" si="41"/>
        <v>2031</v>
      </c>
      <c r="B125" s="94"/>
      <c r="C125" s="266">
        <f t="shared" si="42"/>
        <v>50.563122899131798</v>
      </c>
      <c r="D125" s="266">
        <f t="shared" si="43"/>
        <v>39.703258793864748</v>
      </c>
      <c r="E125" s="267"/>
      <c r="F125" s="78"/>
      <c r="G125" s="259"/>
    </row>
    <row r="126" spans="1:7" x14ac:dyDescent="0.3">
      <c r="A126" s="4">
        <f t="shared" si="41"/>
        <v>2032</v>
      </c>
      <c r="B126" s="94"/>
      <c r="C126" s="266">
        <f t="shared" si="42"/>
        <v>50.563122899131798</v>
      </c>
      <c r="D126" s="266">
        <f t="shared" si="43"/>
        <v>39.703258793864748</v>
      </c>
      <c r="E126" s="267"/>
      <c r="F126" s="78"/>
      <c r="G126" s="259"/>
    </row>
    <row r="127" spans="1:7" x14ac:dyDescent="0.3">
      <c r="A127" s="4">
        <f t="shared" si="41"/>
        <v>2033</v>
      </c>
      <c r="B127" s="94"/>
      <c r="C127" s="266">
        <f t="shared" si="42"/>
        <v>50.563122899131798</v>
      </c>
      <c r="D127" s="266">
        <f t="shared" si="43"/>
        <v>39.703258793864748</v>
      </c>
      <c r="E127" s="267"/>
      <c r="F127" s="78"/>
      <c r="G127" s="259"/>
    </row>
    <row r="128" spans="1:7" x14ac:dyDescent="0.3">
      <c r="A128" s="4">
        <f t="shared" si="41"/>
        <v>2034</v>
      </c>
      <c r="B128" s="94"/>
      <c r="C128" s="266">
        <f t="shared" si="42"/>
        <v>50.563122899131798</v>
      </c>
      <c r="D128" s="266">
        <f t="shared" si="43"/>
        <v>39.703258793864748</v>
      </c>
      <c r="E128" s="267"/>
      <c r="F128" s="78"/>
      <c r="G128" s="259"/>
    </row>
    <row r="129" spans="1:7" x14ac:dyDescent="0.3">
      <c r="A129" s="4">
        <f t="shared" si="41"/>
        <v>2035</v>
      </c>
      <c r="B129" s="94"/>
      <c r="C129" s="266">
        <f t="shared" si="42"/>
        <v>50.563122899131798</v>
      </c>
      <c r="D129" s="266">
        <f t="shared" si="43"/>
        <v>39.703258793864748</v>
      </c>
      <c r="E129" s="267"/>
      <c r="F129" s="78"/>
      <c r="G129" s="259"/>
    </row>
    <row r="130" spans="1:7" x14ac:dyDescent="0.3">
      <c r="A130" s="4">
        <f t="shared" si="41"/>
        <v>2036</v>
      </c>
      <c r="B130" s="94"/>
      <c r="C130" s="266">
        <f t="shared" si="42"/>
        <v>50.563122899131798</v>
      </c>
      <c r="D130" s="266">
        <f t="shared" si="43"/>
        <v>39.703258793864748</v>
      </c>
      <c r="E130" s="267"/>
      <c r="F130" s="78"/>
      <c r="G130" s="259"/>
    </row>
    <row r="131" spans="1:7" x14ac:dyDescent="0.3">
      <c r="A131" s="4">
        <f t="shared" si="41"/>
        <v>2037</v>
      </c>
      <c r="B131" s="94"/>
      <c r="C131" s="266">
        <f t="shared" si="42"/>
        <v>50.563122899131798</v>
      </c>
      <c r="D131" s="266">
        <f t="shared" si="43"/>
        <v>39.703258793864748</v>
      </c>
      <c r="E131" s="267"/>
      <c r="F131" s="78"/>
      <c r="G131" s="259"/>
    </row>
    <row r="132" spans="1:7" x14ac:dyDescent="0.3">
      <c r="A132" s="4">
        <f t="shared" si="41"/>
        <v>2038</v>
      </c>
      <c r="B132" s="94"/>
      <c r="C132" s="266">
        <f t="shared" si="42"/>
        <v>50.563122899131798</v>
      </c>
      <c r="D132" s="266">
        <f t="shared" si="43"/>
        <v>39.703258793864748</v>
      </c>
      <c r="E132" s="267"/>
      <c r="F132" s="78"/>
      <c r="G132" s="259"/>
    </row>
    <row r="133" spans="1:7" x14ac:dyDescent="0.3">
      <c r="A133" s="4">
        <f t="shared" si="41"/>
        <v>2039</v>
      </c>
      <c r="B133" s="94"/>
      <c r="C133" s="266">
        <f t="shared" si="42"/>
        <v>50.563122899131798</v>
      </c>
      <c r="D133" s="266">
        <f t="shared" si="43"/>
        <v>39.703258793864748</v>
      </c>
      <c r="E133" s="267"/>
      <c r="F133" s="78"/>
      <c r="G133" s="259"/>
    </row>
    <row r="134" spans="1:7" x14ac:dyDescent="0.3">
      <c r="A134" s="4">
        <f t="shared" si="41"/>
        <v>2040</v>
      </c>
      <c r="B134" s="94"/>
      <c r="C134" s="266">
        <f t="shared" si="42"/>
        <v>50.563122899131798</v>
      </c>
      <c r="D134" s="266">
        <f t="shared" si="43"/>
        <v>39.703258793864748</v>
      </c>
      <c r="E134" s="267"/>
      <c r="F134" s="78"/>
      <c r="G134" s="259"/>
    </row>
    <row r="135" spans="1:7" x14ac:dyDescent="0.3">
      <c r="A135" s="4">
        <f t="shared" si="41"/>
        <v>2041</v>
      </c>
      <c r="B135" s="94"/>
      <c r="C135" s="266">
        <f t="shared" si="42"/>
        <v>50.563122899131798</v>
      </c>
      <c r="D135" s="266">
        <f t="shared" si="43"/>
        <v>39.703258793864748</v>
      </c>
      <c r="E135" s="267"/>
      <c r="F135" s="78"/>
      <c r="G135" s="259"/>
    </row>
    <row r="136" spans="1:7" x14ac:dyDescent="0.3">
      <c r="A136" s="4">
        <f t="shared" si="41"/>
        <v>2042</v>
      </c>
      <c r="B136" s="94"/>
      <c r="C136" s="266">
        <f t="shared" si="42"/>
        <v>50.563122899131798</v>
      </c>
      <c r="D136" s="266">
        <f t="shared" si="43"/>
        <v>39.703258793864748</v>
      </c>
      <c r="E136" s="267"/>
      <c r="F136" s="78"/>
      <c r="G136" s="259"/>
    </row>
    <row r="137" spans="1:7" x14ac:dyDescent="0.3">
      <c r="A137" s="4">
        <f t="shared" si="41"/>
        <v>2043</v>
      </c>
      <c r="B137" s="94"/>
      <c r="C137" s="266">
        <f t="shared" si="42"/>
        <v>50.563122899131798</v>
      </c>
      <c r="D137" s="266">
        <f t="shared" si="43"/>
        <v>39.703258793864748</v>
      </c>
      <c r="E137" s="267"/>
      <c r="F137" s="78"/>
      <c r="G137" s="259"/>
    </row>
    <row r="138" spans="1:7" x14ac:dyDescent="0.3">
      <c r="A138" s="4">
        <f t="shared" si="41"/>
        <v>2044</v>
      </c>
      <c r="B138" s="94"/>
      <c r="C138" s="266">
        <f t="shared" si="42"/>
        <v>50.563122899131798</v>
      </c>
      <c r="D138" s="266">
        <f t="shared" si="43"/>
        <v>39.703258793864748</v>
      </c>
      <c r="E138" s="267"/>
      <c r="F138" s="78"/>
      <c r="G138" s="259"/>
    </row>
    <row r="139" spans="1:7" x14ac:dyDescent="0.3">
      <c r="A139" s="4">
        <f t="shared" si="41"/>
        <v>2045</v>
      </c>
      <c r="B139" s="94"/>
      <c r="C139" s="266">
        <f t="shared" si="42"/>
        <v>50.563122899131798</v>
      </c>
      <c r="D139" s="266">
        <f t="shared" si="43"/>
        <v>39.703258793864748</v>
      </c>
      <c r="E139" s="267"/>
      <c r="F139" s="78"/>
      <c r="G139" s="259"/>
    </row>
    <row r="140" spans="1:7" x14ac:dyDescent="0.3">
      <c r="A140" s="4">
        <f t="shared" si="41"/>
        <v>2046</v>
      </c>
      <c r="B140" s="94"/>
      <c r="C140" s="266">
        <f t="shared" si="42"/>
        <v>50.563122899131798</v>
      </c>
      <c r="D140" s="266">
        <f t="shared" si="43"/>
        <v>39.703258793864748</v>
      </c>
      <c r="E140" s="267"/>
      <c r="F140" s="78"/>
      <c r="G140" s="259"/>
    </row>
    <row r="141" spans="1:7" x14ac:dyDescent="0.3">
      <c r="A141" s="4">
        <f t="shared" si="41"/>
        <v>2047</v>
      </c>
      <c r="B141" s="94"/>
      <c r="C141" s="266">
        <f t="shared" si="42"/>
        <v>50.563122899131798</v>
      </c>
      <c r="D141" s="266">
        <f t="shared" si="43"/>
        <v>39.703258793864748</v>
      </c>
      <c r="E141" s="267"/>
      <c r="F141" s="78"/>
      <c r="G141" s="259"/>
    </row>
    <row r="142" spans="1:7" x14ac:dyDescent="0.3">
      <c r="A142" s="4">
        <f t="shared" si="41"/>
        <v>2048</v>
      </c>
      <c r="B142" s="94"/>
      <c r="C142" s="266">
        <f t="shared" si="42"/>
        <v>50.563122899131798</v>
      </c>
      <c r="D142" s="266">
        <f t="shared" si="43"/>
        <v>39.703258793864748</v>
      </c>
      <c r="E142" s="267"/>
      <c r="F142" s="78"/>
      <c r="G142" s="259"/>
    </row>
    <row r="143" spans="1:7" x14ac:dyDescent="0.3">
      <c r="A143" s="4">
        <f t="shared" si="41"/>
        <v>2049</v>
      </c>
      <c r="B143" s="94"/>
      <c r="C143" s="266">
        <f t="shared" si="42"/>
        <v>50.563122899131798</v>
      </c>
      <c r="D143" s="266">
        <f t="shared" si="43"/>
        <v>39.703258793864748</v>
      </c>
      <c r="E143" s="267"/>
      <c r="F143" s="78"/>
      <c r="G143" s="259"/>
    </row>
    <row r="144" spans="1:7" x14ac:dyDescent="0.3">
      <c r="A144" s="4">
        <f t="shared" si="41"/>
        <v>2050</v>
      </c>
      <c r="B144" s="94"/>
      <c r="C144" s="266">
        <f t="shared" si="42"/>
        <v>50.563122899131798</v>
      </c>
      <c r="D144" s="266">
        <f t="shared" si="43"/>
        <v>39.703258793864748</v>
      </c>
      <c r="E144" s="267"/>
      <c r="F144" s="78"/>
      <c r="G144" s="259"/>
    </row>
    <row r="145" spans="1:7" x14ac:dyDescent="0.3">
      <c r="A145" s="54">
        <f t="shared" si="41"/>
        <v>2051</v>
      </c>
      <c r="B145" s="260"/>
      <c r="C145" s="268">
        <f t="shared" si="42"/>
        <v>50.563122899131798</v>
      </c>
      <c r="D145" s="268">
        <f t="shared" si="43"/>
        <v>39.703258793864748</v>
      </c>
      <c r="E145" s="269"/>
      <c r="F145" s="270"/>
      <c r="G145" s="258"/>
    </row>
  </sheetData>
  <mergeCells count="6">
    <mergeCell ref="R40:V40"/>
    <mergeCell ref="C111:D111"/>
    <mergeCell ref="C76:D76"/>
    <mergeCell ref="C40:G40"/>
    <mergeCell ref="H40:L40"/>
    <mergeCell ref="M40:Q40"/>
  </mergeCells>
  <pageMargins left="0.7" right="0.7" top="0.75" bottom="0.75" header="0.3" footer="0.3"/>
  <pageSetup paperSize="9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AD521F6-5778-46A9-ABB3-EC665A826614}">
          <x14:formula1>
            <xm:f>'Uitgangspunten debiet+ vrachten'!$B$23:$B$25</xm:f>
          </x14:formula1>
          <xm:sqref>F1</xm:sqref>
        </x14:dataValidation>
        <x14:dataValidation type="list" allowBlank="1" showInputMessage="1" showErrorMessage="1" xr:uid="{4441FAFC-EBFF-42BA-901F-06B8894D8A5B}">
          <x14:formula1>
            <xm:f>'Uitgangspunten debiet+ vrachten'!$B$23:$B$24</xm:f>
          </x14:formula1>
          <xm:sqref>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6C5A-F8C7-4A9B-AA0A-B6172F3C466E}">
  <dimension ref="A1:AE109"/>
  <sheetViews>
    <sheetView topLeftCell="A37" zoomScale="85" zoomScaleNormal="85" workbookViewId="0">
      <selection activeCell="C8" sqref="C8"/>
    </sheetView>
  </sheetViews>
  <sheetFormatPr defaultColWidth="9.109375" defaultRowHeight="14.4" x14ac:dyDescent="0.3"/>
  <cols>
    <col min="1" max="1" width="14.33203125" style="1" customWidth="1"/>
    <col min="2" max="2" width="24.44140625" style="1" customWidth="1"/>
    <col min="3" max="3" width="15.109375" style="1" customWidth="1"/>
    <col min="4" max="4" width="17.6640625" style="1" customWidth="1"/>
    <col min="5" max="5" width="21.5546875" style="1" customWidth="1"/>
    <col min="6" max="6" width="18.33203125" style="1" customWidth="1"/>
    <col min="7" max="7" width="15.6640625" style="1" customWidth="1"/>
    <col min="8" max="8" width="12.6640625" style="1" bestFit="1" customWidth="1"/>
    <col min="9" max="9" width="12" style="1" bestFit="1" customWidth="1"/>
    <col min="10" max="10" width="10.6640625" style="1" bestFit="1" customWidth="1"/>
    <col min="11" max="16" width="9.109375" style="1"/>
    <col min="17" max="17" width="12.33203125" style="1" customWidth="1"/>
    <col min="18" max="18" width="9.109375" style="1"/>
    <col min="19" max="19" width="16.33203125" style="1" customWidth="1"/>
    <col min="20" max="20" width="10.6640625" style="1" customWidth="1"/>
    <col min="21" max="26" width="9.109375" style="1"/>
    <col min="27" max="27" width="13.44140625" style="1" bestFit="1" customWidth="1"/>
    <col min="28" max="28" width="8.88671875" style="1" bestFit="1" customWidth="1"/>
    <col min="29" max="29" width="11.44140625" style="1" bestFit="1" customWidth="1"/>
    <col min="30" max="30" width="3.109375" style="1" customWidth="1"/>
    <col min="31" max="31" width="15" style="1" bestFit="1" customWidth="1"/>
    <col min="32" max="16384" width="9.109375" style="1"/>
  </cols>
  <sheetData>
    <row r="1" spans="1:31" x14ac:dyDescent="0.3">
      <c r="I1" s="179" t="s">
        <v>38</v>
      </c>
      <c r="J1" s="173"/>
      <c r="K1" s="173" t="s">
        <v>135</v>
      </c>
      <c r="L1" s="173"/>
      <c r="M1" s="203">
        <f>'ZW Vrachten door de tijd'!M1</f>
        <v>0.9</v>
      </c>
    </row>
    <row r="2" spans="1:31" ht="15" thickBot="1" x14ac:dyDescent="0.35">
      <c r="I2" s="180" t="s">
        <v>138</v>
      </c>
      <c r="J2" s="174"/>
      <c r="K2" s="174" t="s">
        <v>136</v>
      </c>
      <c r="L2" s="174"/>
      <c r="M2" s="204">
        <f>'ZW Vrachten door de tijd'!M2</f>
        <v>0.7142857142857143</v>
      </c>
    </row>
    <row r="3" spans="1:31" x14ac:dyDescent="0.3">
      <c r="I3" s="181"/>
      <c r="J3" s="3"/>
      <c r="K3" s="3"/>
      <c r="L3" s="3"/>
      <c r="M3" s="182"/>
    </row>
    <row r="4" spans="1:31" x14ac:dyDescent="0.3">
      <c r="A4" s="1" t="s">
        <v>105</v>
      </c>
      <c r="E4" s="172" t="s">
        <v>140</v>
      </c>
      <c r="L4" s="172" t="s">
        <v>141</v>
      </c>
    </row>
    <row r="5" spans="1:31" ht="15" thickBot="1" x14ac:dyDescent="0.35">
      <c r="A5" s="233" t="s">
        <v>133</v>
      </c>
      <c r="B5" s="227" t="s">
        <v>146</v>
      </c>
      <c r="C5" s="227" t="s">
        <v>75</v>
      </c>
      <c r="D5" s="227" t="s">
        <v>45</v>
      </c>
      <c r="E5" s="227" t="s">
        <v>47</v>
      </c>
      <c r="F5" s="227" t="s">
        <v>48</v>
      </c>
      <c r="G5" s="228" t="s">
        <v>49</v>
      </c>
      <c r="I5" s="233" t="s">
        <v>133</v>
      </c>
      <c r="J5" s="227" t="s">
        <v>75</v>
      </c>
      <c r="K5" s="227" t="s">
        <v>45</v>
      </c>
      <c r="L5" s="227" t="s">
        <v>47</v>
      </c>
      <c r="M5" s="227" t="s">
        <v>48</v>
      </c>
      <c r="N5" s="228" t="s">
        <v>49</v>
      </c>
    </row>
    <row r="6" spans="1:31" ht="18" x14ac:dyDescent="0.35">
      <c r="A6" s="199"/>
      <c r="B6" s="164" t="s">
        <v>147</v>
      </c>
      <c r="C6" s="164" t="s">
        <v>74</v>
      </c>
      <c r="D6" s="164" t="s">
        <v>73</v>
      </c>
      <c r="E6" s="164" t="s">
        <v>73</v>
      </c>
      <c r="F6" s="164" t="s">
        <v>73</v>
      </c>
      <c r="G6" s="165" t="s">
        <v>73</v>
      </c>
      <c r="I6" s="199"/>
      <c r="J6" s="164" t="s">
        <v>74</v>
      </c>
      <c r="K6" s="164" t="s">
        <v>73</v>
      </c>
      <c r="L6" s="164" t="s">
        <v>73</v>
      </c>
      <c r="M6" s="164" t="s">
        <v>73</v>
      </c>
      <c r="N6" s="165" t="s">
        <v>73</v>
      </c>
      <c r="AA6" s="219" t="s">
        <v>92</v>
      </c>
      <c r="AB6" s="216"/>
      <c r="AC6" s="217"/>
      <c r="AE6" s="220" t="s">
        <v>159</v>
      </c>
    </row>
    <row r="7" spans="1:31" x14ac:dyDescent="0.3">
      <c r="A7" s="170">
        <v>2021</v>
      </c>
      <c r="B7" s="196">
        <f>'ZW Vrachten door de tijd'!B7</f>
        <v>0</v>
      </c>
      <c r="C7" s="14">
        <f>C43+H43+M43+R43</f>
        <v>0</v>
      </c>
      <c r="D7" s="14">
        <f>D43+I43+N43+S43</f>
        <v>0</v>
      </c>
      <c r="E7" s="14">
        <f>E43+J43+O43+T43</f>
        <v>0</v>
      </c>
      <c r="F7" s="14">
        <f>F43+K43+P43+U43</f>
        <v>0</v>
      </c>
      <c r="G7" s="15">
        <f>G43+L43+Q43+V43</f>
        <v>0</v>
      </c>
      <c r="I7" s="170">
        <v>2021</v>
      </c>
      <c r="J7" s="183">
        <f t="shared" ref="J7:N8" si="0">C43*$M$1+H43*$M$2+M43*$M$2+R43*$M$2</f>
        <v>0</v>
      </c>
      <c r="K7" s="183">
        <f t="shared" si="0"/>
        <v>0</v>
      </c>
      <c r="L7" s="183">
        <f t="shared" si="0"/>
        <v>0</v>
      </c>
      <c r="M7" s="183">
        <f t="shared" si="0"/>
        <v>0</v>
      </c>
      <c r="N7" s="184">
        <f t="shared" si="0"/>
        <v>0</v>
      </c>
      <c r="AA7" s="207"/>
      <c r="AB7" s="63" t="s">
        <v>142</v>
      </c>
      <c r="AC7" s="208" t="s">
        <v>137</v>
      </c>
      <c r="AE7" s="221"/>
    </row>
    <row r="8" spans="1:31" x14ac:dyDescent="0.3">
      <c r="A8" s="170">
        <v>2022</v>
      </c>
      <c r="B8" s="196">
        <f>'ZW Vrachten door de tijd'!B8</f>
        <v>772.63499999999999</v>
      </c>
      <c r="C8" s="14">
        <f t="shared" ref="C8:G23" si="1">C44+H44+M44+R44</f>
        <v>2.8394336249999999</v>
      </c>
      <c r="D8" s="14">
        <f t="shared" si="1"/>
        <v>1.3327953750000001</v>
      </c>
      <c r="E8" s="14">
        <f t="shared" si="1"/>
        <v>0.79967722499999994</v>
      </c>
      <c r="F8" s="14">
        <f t="shared" si="1"/>
        <v>1.5452700000000003E-2</v>
      </c>
      <c r="G8" s="15">
        <f t="shared" si="1"/>
        <v>1.1589525E-2</v>
      </c>
      <c r="I8" s="170">
        <v>2022</v>
      </c>
      <c r="J8" s="14">
        <f t="shared" si="0"/>
        <v>2.0281668750000001</v>
      </c>
      <c r="K8" s="14">
        <f t="shared" si="0"/>
        <v>0.95199669642857154</v>
      </c>
      <c r="L8" s="14">
        <f t="shared" si="0"/>
        <v>0.57119801785714286</v>
      </c>
      <c r="M8" s="14">
        <f t="shared" si="0"/>
        <v>1.103764285714286E-2</v>
      </c>
      <c r="N8" s="15">
        <f t="shared" si="0"/>
        <v>8.2782321428571427E-3</v>
      </c>
      <c r="AA8" s="212"/>
      <c r="AB8" s="64" t="s">
        <v>158</v>
      </c>
      <c r="AC8" s="213" t="s">
        <v>158</v>
      </c>
      <c r="AE8" s="222" t="s">
        <v>158</v>
      </c>
    </row>
    <row r="9" spans="1:31" x14ac:dyDescent="0.3">
      <c r="A9" s="170">
        <v>2023</v>
      </c>
      <c r="B9" s="196">
        <f>'ZW Vrachten door de tijd'!B9</f>
        <v>2103.3849999999998</v>
      </c>
      <c r="C9" s="14">
        <f t="shared" si="1"/>
        <v>62.857999874999997</v>
      </c>
      <c r="D9" s="14">
        <f t="shared" si="1"/>
        <v>11.511799125</v>
      </c>
      <c r="E9" s="14">
        <f t="shared" si="1"/>
        <v>6.9070794749999997</v>
      </c>
      <c r="F9" s="14">
        <f t="shared" si="1"/>
        <v>9.2611700000000019E-2</v>
      </c>
      <c r="G9" s="15">
        <f t="shared" si="1"/>
        <v>0.11157877500000001</v>
      </c>
      <c r="I9" s="170">
        <v>2023</v>
      </c>
      <c r="J9" s="14">
        <f t="shared" ref="J9:J37" si="2">C45*$M$1+H45*$M$2+M45*$M$2+R45*$M$2</f>
        <v>55.348760624999997</v>
      </c>
      <c r="K9" s="14">
        <f t="shared" ref="K9:K37" si="3">D45*$M$1+I45*$M$2+N45*$M$2+S45*$M$2</f>
        <v>9.7863518035714279</v>
      </c>
      <c r="L9" s="14">
        <f t="shared" ref="L9:L37" si="4">E45*$M$1+J45*$M$2+O45*$M$2+T45*$M$2</f>
        <v>5.8718110821428571</v>
      </c>
      <c r="M9" s="14">
        <f t="shared" ref="M9:M37" si="5">F45*$M$1+K45*$M$2+P45*$M$2+U45*$M$2</f>
        <v>7.6692357142857159E-2</v>
      </c>
      <c r="N9" s="15">
        <f t="shared" ref="N9:N37" si="6">G45*$M$1+L45*$M$2+Q45*$M$2+V45*$M$2</f>
        <v>9.5427267857142839E-2</v>
      </c>
      <c r="AA9" s="207" t="s">
        <v>154</v>
      </c>
      <c r="AB9" s="210">
        <f>C73+H73</f>
        <v>266.84993624999998</v>
      </c>
      <c r="AC9" s="209">
        <f>C73*M1+H73*M2</f>
        <v>240.02615624999999</v>
      </c>
      <c r="AE9" s="221">
        <v>223.64</v>
      </c>
    </row>
    <row r="10" spans="1:31" x14ac:dyDescent="0.3">
      <c r="A10" s="170">
        <v>2024</v>
      </c>
      <c r="B10" s="196">
        <f>'ZW Vrachten door de tijd'!B10</f>
        <v>3301.6349999999998</v>
      </c>
      <c r="C10" s="14">
        <f t="shared" si="1"/>
        <v>67.261568624999995</v>
      </c>
      <c r="D10" s="14">
        <f t="shared" si="1"/>
        <v>13.578780375000001</v>
      </c>
      <c r="E10" s="14">
        <f t="shared" si="1"/>
        <v>8.1472682249999995</v>
      </c>
      <c r="F10" s="14">
        <f t="shared" si="1"/>
        <v>0.11657670000000002</v>
      </c>
      <c r="G10" s="15">
        <f t="shared" si="1"/>
        <v>0.12955252499999997</v>
      </c>
      <c r="I10" s="170">
        <v>2024</v>
      </c>
      <c r="J10" s="14">
        <f t="shared" si="2"/>
        <v>58.494166875000005</v>
      </c>
      <c r="K10" s="14">
        <f t="shared" si="3"/>
        <v>11.262766982142857</v>
      </c>
      <c r="L10" s="14">
        <f t="shared" si="4"/>
        <v>6.7576601892857138</v>
      </c>
      <c r="M10" s="14">
        <f t="shared" si="5"/>
        <v>9.3810214285714288E-2</v>
      </c>
      <c r="N10" s="15">
        <f t="shared" si="6"/>
        <v>0.1082656607142857</v>
      </c>
      <c r="AA10" s="207" t="s">
        <v>155</v>
      </c>
      <c r="AB10" s="211">
        <f>M73</f>
        <v>8.0068511250000007</v>
      </c>
      <c r="AC10" s="209">
        <f>M73*M2</f>
        <v>5.7191793750000004</v>
      </c>
      <c r="AE10" s="221">
        <v>20.86</v>
      </c>
    </row>
    <row r="11" spans="1:31" x14ac:dyDescent="0.3">
      <c r="A11" s="170">
        <v>2025</v>
      </c>
      <c r="B11" s="196">
        <f>'ZW Vrachten door de tijd'!B11</f>
        <v>3606.6349999999998</v>
      </c>
      <c r="C11" s="14">
        <f t="shared" si="1"/>
        <v>68.382443624999993</v>
      </c>
      <c r="D11" s="14">
        <f t="shared" si="1"/>
        <v>14.104905375000001</v>
      </c>
      <c r="E11" s="14">
        <f t="shared" si="1"/>
        <v>8.4629432250000001</v>
      </c>
      <c r="F11" s="14">
        <f t="shared" si="1"/>
        <v>0.1226767</v>
      </c>
      <c r="G11" s="15">
        <f t="shared" si="1"/>
        <v>0.134127525</v>
      </c>
      <c r="I11" s="170">
        <v>2025</v>
      </c>
      <c r="J11" s="14">
        <f t="shared" si="2"/>
        <v>59.294791875000001</v>
      </c>
      <c r="K11" s="14">
        <f t="shared" si="3"/>
        <v>11.638570553571428</v>
      </c>
      <c r="L11" s="14">
        <f t="shared" si="4"/>
        <v>6.9831423321428572</v>
      </c>
      <c r="M11" s="14">
        <f t="shared" si="5"/>
        <v>9.8167357142857153E-2</v>
      </c>
      <c r="N11" s="15">
        <f t="shared" si="6"/>
        <v>0.11153351785714284</v>
      </c>
      <c r="AA11" s="212" t="s">
        <v>156</v>
      </c>
      <c r="AB11" s="214">
        <f>R73</f>
        <v>5.1955312500000002</v>
      </c>
      <c r="AC11" s="215">
        <f>R73*M2</f>
        <v>3.7110937500000003</v>
      </c>
      <c r="AE11" s="221">
        <v>14.16</v>
      </c>
    </row>
    <row r="12" spans="1:31" ht="15" thickBot="1" x14ac:dyDescent="0.35">
      <c r="A12" s="170">
        <v>2026</v>
      </c>
      <c r="B12" s="196">
        <f>'ZW Vrachten door de tijd'!B12</f>
        <v>5044.2350000000006</v>
      </c>
      <c r="C12" s="14">
        <f t="shared" si="1"/>
        <v>279.33569362500003</v>
      </c>
      <c r="D12" s="14">
        <f t="shared" si="1"/>
        <v>45.996135375000009</v>
      </c>
      <c r="E12" s="14">
        <f t="shared" si="1"/>
        <v>27.597681225000002</v>
      </c>
      <c r="F12" s="14">
        <f t="shared" si="1"/>
        <v>0.33999669999999999</v>
      </c>
      <c r="G12" s="15">
        <f t="shared" si="1"/>
        <v>0.45425752500000005</v>
      </c>
      <c r="I12" s="170">
        <v>2026</v>
      </c>
      <c r="J12" s="14">
        <f t="shared" si="2"/>
        <v>248.944554375</v>
      </c>
      <c r="K12" s="14">
        <f t="shared" si="3"/>
        <v>40.242968625000003</v>
      </c>
      <c r="L12" s="14">
        <f t="shared" si="4"/>
        <v>24.145781175000007</v>
      </c>
      <c r="M12" s="14">
        <f t="shared" si="5"/>
        <v>0.29262250000000001</v>
      </c>
      <c r="N12" s="15">
        <f t="shared" si="6"/>
        <v>0.39880087500000005</v>
      </c>
      <c r="AA12" s="239" t="s">
        <v>157</v>
      </c>
      <c r="AB12" s="240">
        <f>SUM(AB9:AB11)</f>
        <v>280.052318625</v>
      </c>
      <c r="AC12" s="241">
        <f>SUM(AC9:AC11)</f>
        <v>249.456429375</v>
      </c>
      <c r="AE12" s="238">
        <f>SUM(AE9:AE11)</f>
        <v>258.66000000000003</v>
      </c>
    </row>
    <row r="13" spans="1:31" x14ac:dyDescent="0.3">
      <c r="A13" s="170">
        <v>2027</v>
      </c>
      <c r="B13" s="196">
        <f>'ZW Vrachten door de tijd'!B13</f>
        <v>5141.7350000000006</v>
      </c>
      <c r="C13" s="14">
        <f t="shared" si="1"/>
        <v>279.69400612499999</v>
      </c>
      <c r="D13" s="14">
        <f t="shared" si="1"/>
        <v>46.164322875000003</v>
      </c>
      <c r="E13" s="14">
        <f t="shared" si="1"/>
        <v>27.698593725000002</v>
      </c>
      <c r="F13" s="14">
        <f t="shared" si="1"/>
        <v>0.34194669999999999</v>
      </c>
      <c r="G13" s="15">
        <f t="shared" si="1"/>
        <v>0.45572002500000003</v>
      </c>
      <c r="I13" s="170">
        <v>2027</v>
      </c>
      <c r="J13" s="14">
        <f t="shared" si="2"/>
        <v>249.20049187499998</v>
      </c>
      <c r="K13" s="14">
        <f t="shared" si="3"/>
        <v>40.363102553571437</v>
      </c>
      <c r="L13" s="14">
        <f t="shared" si="4"/>
        <v>24.217861532142862</v>
      </c>
      <c r="M13" s="14">
        <f t="shared" si="5"/>
        <v>0.29401535714285715</v>
      </c>
      <c r="N13" s="15">
        <f t="shared" si="6"/>
        <v>0.3998455178571429</v>
      </c>
    </row>
    <row r="14" spans="1:31" x14ac:dyDescent="0.3">
      <c r="A14" s="170">
        <v>2028</v>
      </c>
      <c r="B14" s="196">
        <f>'ZW Vrachten door de tijd'!B14</f>
        <v>5239.2350000000006</v>
      </c>
      <c r="C14" s="14">
        <f t="shared" si="1"/>
        <v>280.052318625</v>
      </c>
      <c r="D14" s="14">
        <f t="shared" si="1"/>
        <v>46.332510375000005</v>
      </c>
      <c r="E14" s="14">
        <f t="shared" si="1"/>
        <v>27.799506225000002</v>
      </c>
      <c r="F14" s="14">
        <f t="shared" si="1"/>
        <v>0.3438967</v>
      </c>
      <c r="G14" s="15">
        <f t="shared" si="1"/>
        <v>0.45718252500000001</v>
      </c>
      <c r="I14" s="170">
        <v>2028</v>
      </c>
      <c r="J14" s="14">
        <f t="shared" si="2"/>
        <v>249.456429375</v>
      </c>
      <c r="K14" s="14">
        <f t="shared" si="3"/>
        <v>40.483236482142864</v>
      </c>
      <c r="L14" s="14">
        <f t="shared" si="4"/>
        <v>24.289941889285718</v>
      </c>
      <c r="M14" s="14">
        <f t="shared" si="5"/>
        <v>0.29540821428571429</v>
      </c>
      <c r="N14" s="15">
        <f t="shared" si="6"/>
        <v>0.40089016071428579</v>
      </c>
    </row>
    <row r="15" spans="1:31" x14ac:dyDescent="0.3">
      <c r="A15" s="170">
        <v>2029</v>
      </c>
      <c r="B15" s="196">
        <f>'ZW Vrachten door de tijd'!B15</f>
        <v>5239.2350000000006</v>
      </c>
      <c r="C15" s="14">
        <f t="shared" si="1"/>
        <v>280.052318625</v>
      </c>
      <c r="D15" s="14">
        <f t="shared" si="1"/>
        <v>46.332510375000005</v>
      </c>
      <c r="E15" s="14">
        <f t="shared" si="1"/>
        <v>27.799506225000002</v>
      </c>
      <c r="F15" s="14">
        <f t="shared" si="1"/>
        <v>0.3438967</v>
      </c>
      <c r="G15" s="15">
        <f t="shared" si="1"/>
        <v>0.45718252500000001</v>
      </c>
      <c r="I15" s="170">
        <v>2029</v>
      </c>
      <c r="J15" s="14">
        <f t="shared" si="2"/>
        <v>249.456429375</v>
      </c>
      <c r="K15" s="14">
        <f t="shared" si="3"/>
        <v>40.483236482142864</v>
      </c>
      <c r="L15" s="14">
        <f t="shared" si="4"/>
        <v>24.289941889285718</v>
      </c>
      <c r="M15" s="14">
        <f t="shared" si="5"/>
        <v>0.29540821428571429</v>
      </c>
      <c r="N15" s="15">
        <f t="shared" si="6"/>
        <v>0.40089016071428579</v>
      </c>
    </row>
    <row r="16" spans="1:31" x14ac:dyDescent="0.3">
      <c r="A16" s="170">
        <v>2030</v>
      </c>
      <c r="B16" s="196">
        <f>'ZW Vrachten door de tijd'!B16</f>
        <v>5239.2350000000006</v>
      </c>
      <c r="C16" s="14">
        <f t="shared" si="1"/>
        <v>280.052318625</v>
      </c>
      <c r="D16" s="14">
        <f t="shared" si="1"/>
        <v>46.332510375000005</v>
      </c>
      <c r="E16" s="14">
        <f t="shared" si="1"/>
        <v>27.799506225000002</v>
      </c>
      <c r="F16" s="14">
        <f t="shared" si="1"/>
        <v>0.3438967</v>
      </c>
      <c r="G16" s="15">
        <f t="shared" si="1"/>
        <v>0.45718252500000001</v>
      </c>
      <c r="I16" s="170">
        <v>2030</v>
      </c>
      <c r="J16" s="14">
        <f t="shared" si="2"/>
        <v>249.456429375</v>
      </c>
      <c r="K16" s="14">
        <f t="shared" si="3"/>
        <v>40.483236482142864</v>
      </c>
      <c r="L16" s="14">
        <f t="shared" si="4"/>
        <v>24.289941889285718</v>
      </c>
      <c r="M16" s="14">
        <f t="shared" si="5"/>
        <v>0.29540821428571429</v>
      </c>
      <c r="N16" s="15">
        <f t="shared" si="6"/>
        <v>0.40089016071428579</v>
      </c>
    </row>
    <row r="17" spans="1:14" x14ac:dyDescent="0.3">
      <c r="A17" s="170">
        <v>2031</v>
      </c>
      <c r="B17" s="196">
        <f>'ZW Vrachten door de tijd'!B17</f>
        <v>5239.2350000000006</v>
      </c>
      <c r="C17" s="14">
        <f t="shared" si="1"/>
        <v>280.052318625</v>
      </c>
      <c r="D17" s="14">
        <f t="shared" si="1"/>
        <v>46.332510375000005</v>
      </c>
      <c r="E17" s="14">
        <f t="shared" si="1"/>
        <v>27.799506225000002</v>
      </c>
      <c r="F17" s="14">
        <f t="shared" si="1"/>
        <v>0.3438967</v>
      </c>
      <c r="G17" s="15">
        <f t="shared" si="1"/>
        <v>0.45718252500000001</v>
      </c>
      <c r="I17" s="170">
        <v>2031</v>
      </c>
      <c r="J17" s="14">
        <f t="shared" si="2"/>
        <v>249.456429375</v>
      </c>
      <c r="K17" s="14">
        <f t="shared" si="3"/>
        <v>40.483236482142864</v>
      </c>
      <c r="L17" s="14">
        <f t="shared" si="4"/>
        <v>24.289941889285718</v>
      </c>
      <c r="M17" s="14">
        <f t="shared" si="5"/>
        <v>0.29540821428571429</v>
      </c>
      <c r="N17" s="15">
        <f t="shared" si="6"/>
        <v>0.40089016071428579</v>
      </c>
    </row>
    <row r="18" spans="1:14" x14ac:dyDescent="0.3">
      <c r="A18" s="170">
        <v>2032</v>
      </c>
      <c r="B18" s="196">
        <f>'ZW Vrachten door de tijd'!B18</f>
        <v>5239.2350000000006</v>
      </c>
      <c r="C18" s="14">
        <f t="shared" si="1"/>
        <v>280.052318625</v>
      </c>
      <c r="D18" s="14">
        <f t="shared" si="1"/>
        <v>46.332510375000005</v>
      </c>
      <c r="E18" s="14">
        <f t="shared" si="1"/>
        <v>27.799506225000002</v>
      </c>
      <c r="F18" s="14">
        <f t="shared" si="1"/>
        <v>0.3438967</v>
      </c>
      <c r="G18" s="15">
        <f t="shared" si="1"/>
        <v>0.45718252500000001</v>
      </c>
      <c r="I18" s="170">
        <v>2032</v>
      </c>
      <c r="J18" s="14">
        <f t="shared" si="2"/>
        <v>249.456429375</v>
      </c>
      <c r="K18" s="14">
        <f t="shared" si="3"/>
        <v>40.483236482142864</v>
      </c>
      <c r="L18" s="14">
        <f t="shared" si="4"/>
        <v>24.289941889285718</v>
      </c>
      <c r="M18" s="14">
        <f t="shared" si="5"/>
        <v>0.29540821428571429</v>
      </c>
      <c r="N18" s="15">
        <f t="shared" si="6"/>
        <v>0.40089016071428579</v>
      </c>
    </row>
    <row r="19" spans="1:14" x14ac:dyDescent="0.3">
      <c r="A19" s="170">
        <v>2033</v>
      </c>
      <c r="B19" s="196">
        <f>'ZW Vrachten door de tijd'!B19</f>
        <v>5239.2350000000006</v>
      </c>
      <c r="C19" s="14">
        <f t="shared" si="1"/>
        <v>280.052318625</v>
      </c>
      <c r="D19" s="14">
        <f t="shared" si="1"/>
        <v>46.332510375000005</v>
      </c>
      <c r="E19" s="14">
        <f t="shared" si="1"/>
        <v>27.799506225000002</v>
      </c>
      <c r="F19" s="14">
        <f t="shared" si="1"/>
        <v>0.3438967</v>
      </c>
      <c r="G19" s="15">
        <f t="shared" si="1"/>
        <v>0.45718252500000001</v>
      </c>
      <c r="I19" s="170">
        <v>2033</v>
      </c>
      <c r="J19" s="14">
        <f t="shared" si="2"/>
        <v>249.456429375</v>
      </c>
      <c r="K19" s="14">
        <f t="shared" si="3"/>
        <v>40.483236482142864</v>
      </c>
      <c r="L19" s="14">
        <f t="shared" si="4"/>
        <v>24.289941889285718</v>
      </c>
      <c r="M19" s="14">
        <f t="shared" si="5"/>
        <v>0.29540821428571429</v>
      </c>
      <c r="N19" s="15">
        <f t="shared" si="6"/>
        <v>0.40089016071428579</v>
      </c>
    </row>
    <row r="20" spans="1:14" x14ac:dyDescent="0.3">
      <c r="A20" s="170">
        <v>2034</v>
      </c>
      <c r="B20" s="196">
        <f>'ZW Vrachten door de tijd'!B20</f>
        <v>5239.2350000000006</v>
      </c>
      <c r="C20" s="14">
        <f t="shared" si="1"/>
        <v>280.052318625</v>
      </c>
      <c r="D20" s="14">
        <f t="shared" si="1"/>
        <v>46.332510375000005</v>
      </c>
      <c r="E20" s="14">
        <f t="shared" si="1"/>
        <v>27.799506225000002</v>
      </c>
      <c r="F20" s="14">
        <f t="shared" si="1"/>
        <v>0.3438967</v>
      </c>
      <c r="G20" s="15">
        <f t="shared" si="1"/>
        <v>0.45718252500000001</v>
      </c>
      <c r="I20" s="170">
        <v>2034</v>
      </c>
      <c r="J20" s="14">
        <f t="shared" si="2"/>
        <v>249.456429375</v>
      </c>
      <c r="K20" s="14">
        <f t="shared" si="3"/>
        <v>40.483236482142864</v>
      </c>
      <c r="L20" s="14">
        <f t="shared" si="4"/>
        <v>24.289941889285718</v>
      </c>
      <c r="M20" s="14">
        <f t="shared" si="5"/>
        <v>0.29540821428571429</v>
      </c>
      <c r="N20" s="15">
        <f t="shared" si="6"/>
        <v>0.40089016071428579</v>
      </c>
    </row>
    <row r="21" spans="1:14" x14ac:dyDescent="0.3">
      <c r="A21" s="170">
        <v>2035</v>
      </c>
      <c r="B21" s="196">
        <f>'ZW Vrachten door de tijd'!B21</f>
        <v>5239.2350000000006</v>
      </c>
      <c r="C21" s="14">
        <f t="shared" si="1"/>
        <v>280.052318625</v>
      </c>
      <c r="D21" s="14">
        <f t="shared" si="1"/>
        <v>46.332510375000005</v>
      </c>
      <c r="E21" s="14">
        <f t="shared" si="1"/>
        <v>27.799506225000002</v>
      </c>
      <c r="F21" s="14">
        <f t="shared" si="1"/>
        <v>0.3438967</v>
      </c>
      <c r="G21" s="15">
        <f t="shared" si="1"/>
        <v>0.45718252500000001</v>
      </c>
      <c r="I21" s="170">
        <v>2035</v>
      </c>
      <c r="J21" s="14">
        <f t="shared" si="2"/>
        <v>249.456429375</v>
      </c>
      <c r="K21" s="14">
        <f t="shared" si="3"/>
        <v>40.483236482142864</v>
      </c>
      <c r="L21" s="14">
        <f t="shared" si="4"/>
        <v>24.289941889285718</v>
      </c>
      <c r="M21" s="14">
        <f t="shared" si="5"/>
        <v>0.29540821428571429</v>
      </c>
      <c r="N21" s="15">
        <f t="shared" si="6"/>
        <v>0.40089016071428579</v>
      </c>
    </row>
    <row r="22" spans="1:14" x14ac:dyDescent="0.3">
      <c r="A22" s="170">
        <v>2036</v>
      </c>
      <c r="B22" s="196">
        <f>'ZW Vrachten door de tijd'!B22</f>
        <v>5239.2350000000006</v>
      </c>
      <c r="C22" s="14">
        <f t="shared" si="1"/>
        <v>280.052318625</v>
      </c>
      <c r="D22" s="14">
        <f t="shared" si="1"/>
        <v>46.332510375000005</v>
      </c>
      <c r="E22" s="14">
        <f t="shared" si="1"/>
        <v>27.799506225000002</v>
      </c>
      <c r="F22" s="14">
        <f t="shared" si="1"/>
        <v>0.3438967</v>
      </c>
      <c r="G22" s="15">
        <f t="shared" si="1"/>
        <v>0.45718252500000001</v>
      </c>
      <c r="I22" s="170">
        <v>2036</v>
      </c>
      <c r="J22" s="14">
        <f t="shared" si="2"/>
        <v>249.456429375</v>
      </c>
      <c r="K22" s="14">
        <f t="shared" si="3"/>
        <v>40.483236482142864</v>
      </c>
      <c r="L22" s="14">
        <f t="shared" si="4"/>
        <v>24.289941889285718</v>
      </c>
      <c r="M22" s="14">
        <f t="shared" si="5"/>
        <v>0.29540821428571429</v>
      </c>
      <c r="N22" s="15">
        <f t="shared" si="6"/>
        <v>0.40089016071428579</v>
      </c>
    </row>
    <row r="23" spans="1:14" x14ac:dyDescent="0.3">
      <c r="A23" s="170">
        <v>2037</v>
      </c>
      <c r="B23" s="196">
        <f>'ZW Vrachten door de tijd'!B23</f>
        <v>5239.2350000000006</v>
      </c>
      <c r="C23" s="14">
        <f t="shared" si="1"/>
        <v>280.052318625</v>
      </c>
      <c r="D23" s="14">
        <f t="shared" si="1"/>
        <v>46.332510375000005</v>
      </c>
      <c r="E23" s="14">
        <f t="shared" si="1"/>
        <v>27.799506225000002</v>
      </c>
      <c r="F23" s="14">
        <f t="shared" si="1"/>
        <v>0.3438967</v>
      </c>
      <c r="G23" s="15">
        <f t="shared" si="1"/>
        <v>0.45718252500000001</v>
      </c>
      <c r="I23" s="170">
        <v>2037</v>
      </c>
      <c r="J23" s="14">
        <f t="shared" si="2"/>
        <v>249.456429375</v>
      </c>
      <c r="K23" s="14">
        <f t="shared" si="3"/>
        <v>40.483236482142864</v>
      </c>
      <c r="L23" s="14">
        <f t="shared" si="4"/>
        <v>24.289941889285718</v>
      </c>
      <c r="M23" s="14">
        <f t="shared" si="5"/>
        <v>0.29540821428571429</v>
      </c>
      <c r="N23" s="15">
        <f t="shared" si="6"/>
        <v>0.40089016071428579</v>
      </c>
    </row>
    <row r="24" spans="1:14" x14ac:dyDescent="0.3">
      <c r="A24" s="170">
        <v>2038</v>
      </c>
      <c r="B24" s="196">
        <f>'ZW Vrachten door de tijd'!B24</f>
        <v>5239.2350000000006</v>
      </c>
      <c r="C24" s="14">
        <f t="shared" ref="C24:G37" si="7">C60+H60+M60+R60</f>
        <v>280.052318625</v>
      </c>
      <c r="D24" s="14">
        <f t="shared" si="7"/>
        <v>46.332510375000005</v>
      </c>
      <c r="E24" s="14">
        <f t="shared" si="7"/>
        <v>27.799506225000002</v>
      </c>
      <c r="F24" s="14">
        <f t="shared" si="7"/>
        <v>0.3438967</v>
      </c>
      <c r="G24" s="15">
        <f t="shared" si="7"/>
        <v>0.45718252500000001</v>
      </c>
      <c r="I24" s="170">
        <v>2038</v>
      </c>
      <c r="J24" s="14">
        <f t="shared" si="2"/>
        <v>249.456429375</v>
      </c>
      <c r="K24" s="14">
        <f t="shared" si="3"/>
        <v>40.483236482142864</v>
      </c>
      <c r="L24" s="14">
        <f t="shared" si="4"/>
        <v>24.289941889285718</v>
      </c>
      <c r="M24" s="14">
        <f t="shared" si="5"/>
        <v>0.29540821428571429</v>
      </c>
      <c r="N24" s="15">
        <f t="shared" si="6"/>
        <v>0.40089016071428579</v>
      </c>
    </row>
    <row r="25" spans="1:14" x14ac:dyDescent="0.3">
      <c r="A25" s="170">
        <v>2039</v>
      </c>
      <c r="B25" s="196">
        <f>'ZW Vrachten door de tijd'!B25</f>
        <v>5239.2350000000006</v>
      </c>
      <c r="C25" s="14">
        <f t="shared" si="7"/>
        <v>280.052318625</v>
      </c>
      <c r="D25" s="14">
        <f t="shared" si="7"/>
        <v>46.332510375000005</v>
      </c>
      <c r="E25" s="14">
        <f t="shared" si="7"/>
        <v>27.799506225000002</v>
      </c>
      <c r="F25" s="14">
        <f t="shared" si="7"/>
        <v>0.3438967</v>
      </c>
      <c r="G25" s="15">
        <f t="shared" si="7"/>
        <v>0.45718252500000001</v>
      </c>
      <c r="I25" s="170">
        <v>2039</v>
      </c>
      <c r="J25" s="14">
        <f t="shared" si="2"/>
        <v>249.456429375</v>
      </c>
      <c r="K25" s="14">
        <f t="shared" si="3"/>
        <v>40.483236482142864</v>
      </c>
      <c r="L25" s="14">
        <f t="shared" si="4"/>
        <v>24.289941889285718</v>
      </c>
      <c r="M25" s="14">
        <f t="shared" si="5"/>
        <v>0.29540821428571429</v>
      </c>
      <c r="N25" s="15">
        <f t="shared" si="6"/>
        <v>0.40089016071428579</v>
      </c>
    </row>
    <row r="26" spans="1:14" x14ac:dyDescent="0.3">
      <c r="A26" s="170">
        <v>2040</v>
      </c>
      <c r="B26" s="196">
        <f>'ZW Vrachten door de tijd'!B26</f>
        <v>5239.2350000000006</v>
      </c>
      <c r="C26" s="14">
        <f t="shared" si="7"/>
        <v>280.052318625</v>
      </c>
      <c r="D26" s="14">
        <f t="shared" si="7"/>
        <v>46.332510375000005</v>
      </c>
      <c r="E26" s="14">
        <f t="shared" si="7"/>
        <v>27.799506225000002</v>
      </c>
      <c r="F26" s="14">
        <f t="shared" si="7"/>
        <v>0.3438967</v>
      </c>
      <c r="G26" s="15">
        <f t="shared" si="7"/>
        <v>0.45718252500000001</v>
      </c>
      <c r="I26" s="170">
        <v>2040</v>
      </c>
      <c r="J26" s="14">
        <f t="shared" si="2"/>
        <v>249.456429375</v>
      </c>
      <c r="K26" s="14">
        <f t="shared" si="3"/>
        <v>40.483236482142864</v>
      </c>
      <c r="L26" s="14">
        <f t="shared" si="4"/>
        <v>24.289941889285718</v>
      </c>
      <c r="M26" s="14">
        <f t="shared" si="5"/>
        <v>0.29540821428571429</v>
      </c>
      <c r="N26" s="15">
        <f t="shared" si="6"/>
        <v>0.40089016071428579</v>
      </c>
    </row>
    <row r="27" spans="1:14" x14ac:dyDescent="0.3">
      <c r="A27" s="170">
        <v>2041</v>
      </c>
      <c r="B27" s="196">
        <f>'ZW Vrachten door de tijd'!B27</f>
        <v>5239.2350000000006</v>
      </c>
      <c r="C27" s="14">
        <f t="shared" si="7"/>
        <v>280.052318625</v>
      </c>
      <c r="D27" s="14">
        <f t="shared" si="7"/>
        <v>46.332510375000005</v>
      </c>
      <c r="E27" s="14">
        <f t="shared" si="7"/>
        <v>27.799506225000002</v>
      </c>
      <c r="F27" s="14">
        <f t="shared" si="7"/>
        <v>0.3438967</v>
      </c>
      <c r="G27" s="15">
        <f t="shared" si="7"/>
        <v>0.45718252500000001</v>
      </c>
      <c r="I27" s="170">
        <v>2041</v>
      </c>
      <c r="J27" s="14">
        <f t="shared" si="2"/>
        <v>249.456429375</v>
      </c>
      <c r="K27" s="14">
        <f t="shared" si="3"/>
        <v>40.483236482142864</v>
      </c>
      <c r="L27" s="14">
        <f t="shared" si="4"/>
        <v>24.289941889285718</v>
      </c>
      <c r="M27" s="14">
        <f t="shared" si="5"/>
        <v>0.29540821428571429</v>
      </c>
      <c r="N27" s="15">
        <f t="shared" si="6"/>
        <v>0.40089016071428579</v>
      </c>
    </row>
    <row r="28" spans="1:14" x14ac:dyDescent="0.3">
      <c r="A28" s="170">
        <v>2042</v>
      </c>
      <c r="B28" s="196">
        <f>'ZW Vrachten door de tijd'!B28</f>
        <v>5239.2350000000006</v>
      </c>
      <c r="C28" s="14">
        <f t="shared" si="7"/>
        <v>280.052318625</v>
      </c>
      <c r="D28" s="14">
        <f t="shared" si="7"/>
        <v>46.332510375000005</v>
      </c>
      <c r="E28" s="14">
        <f t="shared" si="7"/>
        <v>27.799506225000002</v>
      </c>
      <c r="F28" s="14">
        <f t="shared" si="7"/>
        <v>0.3438967</v>
      </c>
      <c r="G28" s="15">
        <f t="shared" si="7"/>
        <v>0.45718252500000001</v>
      </c>
      <c r="I28" s="170">
        <v>2042</v>
      </c>
      <c r="J28" s="14">
        <f t="shared" si="2"/>
        <v>249.456429375</v>
      </c>
      <c r="K28" s="14">
        <f t="shared" si="3"/>
        <v>40.483236482142864</v>
      </c>
      <c r="L28" s="14">
        <f t="shared" si="4"/>
        <v>24.289941889285718</v>
      </c>
      <c r="M28" s="14">
        <f t="shared" si="5"/>
        <v>0.29540821428571429</v>
      </c>
      <c r="N28" s="15">
        <f t="shared" si="6"/>
        <v>0.40089016071428579</v>
      </c>
    </row>
    <row r="29" spans="1:14" x14ac:dyDescent="0.3">
      <c r="A29" s="170">
        <v>2043</v>
      </c>
      <c r="B29" s="196">
        <f>'ZW Vrachten door de tijd'!B29</f>
        <v>5239.2350000000006</v>
      </c>
      <c r="C29" s="14">
        <f t="shared" si="7"/>
        <v>280.052318625</v>
      </c>
      <c r="D29" s="14">
        <f t="shared" si="7"/>
        <v>46.332510375000005</v>
      </c>
      <c r="E29" s="14">
        <f t="shared" si="7"/>
        <v>27.799506225000002</v>
      </c>
      <c r="F29" s="14">
        <f t="shared" si="7"/>
        <v>0.3438967</v>
      </c>
      <c r="G29" s="15">
        <f t="shared" si="7"/>
        <v>0.45718252500000001</v>
      </c>
      <c r="I29" s="170">
        <v>2043</v>
      </c>
      <c r="J29" s="14">
        <f t="shared" si="2"/>
        <v>249.456429375</v>
      </c>
      <c r="K29" s="14">
        <f t="shared" si="3"/>
        <v>40.483236482142864</v>
      </c>
      <c r="L29" s="14">
        <f t="shared" si="4"/>
        <v>24.289941889285718</v>
      </c>
      <c r="M29" s="14">
        <f t="shared" si="5"/>
        <v>0.29540821428571429</v>
      </c>
      <c r="N29" s="15">
        <f t="shared" si="6"/>
        <v>0.40089016071428579</v>
      </c>
    </row>
    <row r="30" spans="1:14" x14ac:dyDescent="0.3">
      <c r="A30" s="170">
        <v>2044</v>
      </c>
      <c r="B30" s="196">
        <f>'ZW Vrachten door de tijd'!B30</f>
        <v>5239.2350000000006</v>
      </c>
      <c r="C30" s="14">
        <f t="shared" si="7"/>
        <v>280.052318625</v>
      </c>
      <c r="D30" s="14">
        <f t="shared" si="7"/>
        <v>46.332510375000005</v>
      </c>
      <c r="E30" s="14">
        <f t="shared" si="7"/>
        <v>27.799506225000002</v>
      </c>
      <c r="F30" s="14">
        <f t="shared" si="7"/>
        <v>0.3438967</v>
      </c>
      <c r="G30" s="15">
        <f t="shared" si="7"/>
        <v>0.45718252500000001</v>
      </c>
      <c r="I30" s="170">
        <v>2044</v>
      </c>
      <c r="J30" s="14">
        <f t="shared" si="2"/>
        <v>249.456429375</v>
      </c>
      <c r="K30" s="14">
        <f t="shared" si="3"/>
        <v>40.483236482142864</v>
      </c>
      <c r="L30" s="14">
        <f t="shared" si="4"/>
        <v>24.289941889285718</v>
      </c>
      <c r="M30" s="14">
        <f t="shared" si="5"/>
        <v>0.29540821428571429</v>
      </c>
      <c r="N30" s="15">
        <f t="shared" si="6"/>
        <v>0.40089016071428579</v>
      </c>
    </row>
    <row r="31" spans="1:14" x14ac:dyDescent="0.3">
      <c r="A31" s="170">
        <v>2045</v>
      </c>
      <c r="B31" s="196">
        <f>'ZW Vrachten door de tijd'!B31</f>
        <v>5239.2350000000006</v>
      </c>
      <c r="C31" s="14">
        <f t="shared" si="7"/>
        <v>280.052318625</v>
      </c>
      <c r="D31" s="14">
        <f t="shared" si="7"/>
        <v>46.332510375000005</v>
      </c>
      <c r="E31" s="14">
        <f t="shared" si="7"/>
        <v>27.799506225000002</v>
      </c>
      <c r="F31" s="14">
        <f t="shared" si="7"/>
        <v>0.3438967</v>
      </c>
      <c r="G31" s="15">
        <f t="shared" si="7"/>
        <v>0.45718252500000001</v>
      </c>
      <c r="I31" s="170">
        <v>2045</v>
      </c>
      <c r="J31" s="14">
        <f t="shared" si="2"/>
        <v>249.456429375</v>
      </c>
      <c r="K31" s="14">
        <f t="shared" si="3"/>
        <v>40.483236482142864</v>
      </c>
      <c r="L31" s="14">
        <f t="shared" si="4"/>
        <v>24.289941889285718</v>
      </c>
      <c r="M31" s="14">
        <f t="shared" si="5"/>
        <v>0.29540821428571429</v>
      </c>
      <c r="N31" s="15">
        <f t="shared" si="6"/>
        <v>0.40089016071428579</v>
      </c>
    </row>
    <row r="32" spans="1:14" x14ac:dyDescent="0.3">
      <c r="A32" s="170">
        <v>2046</v>
      </c>
      <c r="B32" s="196">
        <f>'ZW Vrachten door de tijd'!B32</f>
        <v>5239.2350000000006</v>
      </c>
      <c r="C32" s="14">
        <f t="shared" si="7"/>
        <v>280.052318625</v>
      </c>
      <c r="D32" s="14">
        <f t="shared" si="7"/>
        <v>46.332510375000005</v>
      </c>
      <c r="E32" s="14">
        <f t="shared" si="7"/>
        <v>27.799506225000002</v>
      </c>
      <c r="F32" s="14">
        <f t="shared" si="7"/>
        <v>0.3438967</v>
      </c>
      <c r="G32" s="15">
        <f t="shared" si="7"/>
        <v>0.45718252500000001</v>
      </c>
      <c r="I32" s="170">
        <v>2046</v>
      </c>
      <c r="J32" s="14">
        <f t="shared" si="2"/>
        <v>249.456429375</v>
      </c>
      <c r="K32" s="14">
        <f t="shared" si="3"/>
        <v>40.483236482142864</v>
      </c>
      <c r="L32" s="14">
        <f t="shared" si="4"/>
        <v>24.289941889285718</v>
      </c>
      <c r="M32" s="14">
        <f t="shared" si="5"/>
        <v>0.29540821428571429</v>
      </c>
      <c r="N32" s="15">
        <f t="shared" si="6"/>
        <v>0.40089016071428579</v>
      </c>
    </row>
    <row r="33" spans="1:22" x14ac:dyDescent="0.3">
      <c r="A33" s="170">
        <v>2047</v>
      </c>
      <c r="B33" s="196">
        <f>'ZW Vrachten door de tijd'!B33</f>
        <v>5239.2350000000006</v>
      </c>
      <c r="C33" s="14">
        <f t="shared" si="7"/>
        <v>280.052318625</v>
      </c>
      <c r="D33" s="14">
        <f t="shared" si="7"/>
        <v>46.332510375000005</v>
      </c>
      <c r="E33" s="14">
        <f t="shared" si="7"/>
        <v>27.799506225000002</v>
      </c>
      <c r="F33" s="14">
        <f t="shared" si="7"/>
        <v>0.3438967</v>
      </c>
      <c r="G33" s="15">
        <f t="shared" si="7"/>
        <v>0.45718252500000001</v>
      </c>
      <c r="I33" s="170">
        <v>2047</v>
      </c>
      <c r="J33" s="14">
        <f t="shared" si="2"/>
        <v>249.456429375</v>
      </c>
      <c r="K33" s="14">
        <f t="shared" si="3"/>
        <v>40.483236482142864</v>
      </c>
      <c r="L33" s="14">
        <f t="shared" si="4"/>
        <v>24.289941889285718</v>
      </c>
      <c r="M33" s="14">
        <f t="shared" si="5"/>
        <v>0.29540821428571429</v>
      </c>
      <c r="N33" s="15">
        <f t="shared" si="6"/>
        <v>0.40089016071428579</v>
      </c>
    </row>
    <row r="34" spans="1:22" x14ac:dyDescent="0.3">
      <c r="A34" s="170">
        <v>2048</v>
      </c>
      <c r="B34" s="196">
        <f>'ZW Vrachten door de tijd'!B34</f>
        <v>5239.2350000000006</v>
      </c>
      <c r="C34" s="14">
        <f t="shared" si="7"/>
        <v>280.052318625</v>
      </c>
      <c r="D34" s="14">
        <f t="shared" si="7"/>
        <v>46.332510375000005</v>
      </c>
      <c r="E34" s="14">
        <f t="shared" si="7"/>
        <v>27.799506225000002</v>
      </c>
      <c r="F34" s="14">
        <f t="shared" si="7"/>
        <v>0.3438967</v>
      </c>
      <c r="G34" s="15">
        <f t="shared" si="7"/>
        <v>0.45718252500000001</v>
      </c>
      <c r="I34" s="170">
        <v>2048</v>
      </c>
      <c r="J34" s="14">
        <f t="shared" si="2"/>
        <v>249.456429375</v>
      </c>
      <c r="K34" s="14">
        <f t="shared" si="3"/>
        <v>40.483236482142864</v>
      </c>
      <c r="L34" s="14">
        <f t="shared" si="4"/>
        <v>24.289941889285718</v>
      </c>
      <c r="M34" s="14">
        <f t="shared" si="5"/>
        <v>0.29540821428571429</v>
      </c>
      <c r="N34" s="15">
        <f t="shared" si="6"/>
        <v>0.40089016071428579</v>
      </c>
    </row>
    <row r="35" spans="1:22" x14ac:dyDescent="0.3">
      <c r="A35" s="170">
        <v>2049</v>
      </c>
      <c r="B35" s="196">
        <f>'ZW Vrachten door de tijd'!B35</f>
        <v>5239.2350000000006</v>
      </c>
      <c r="C35" s="14">
        <f t="shared" si="7"/>
        <v>280.052318625</v>
      </c>
      <c r="D35" s="14">
        <f t="shared" si="7"/>
        <v>46.332510375000005</v>
      </c>
      <c r="E35" s="14">
        <f t="shared" si="7"/>
        <v>27.799506225000002</v>
      </c>
      <c r="F35" s="14">
        <f t="shared" si="7"/>
        <v>0.3438967</v>
      </c>
      <c r="G35" s="15">
        <f t="shared" si="7"/>
        <v>0.45718252500000001</v>
      </c>
      <c r="I35" s="170">
        <v>2049</v>
      </c>
      <c r="J35" s="14">
        <f t="shared" si="2"/>
        <v>249.456429375</v>
      </c>
      <c r="K35" s="14">
        <f t="shared" si="3"/>
        <v>40.483236482142864</v>
      </c>
      <c r="L35" s="14">
        <f t="shared" si="4"/>
        <v>24.289941889285718</v>
      </c>
      <c r="M35" s="14">
        <f t="shared" si="5"/>
        <v>0.29540821428571429</v>
      </c>
      <c r="N35" s="15">
        <f t="shared" si="6"/>
        <v>0.40089016071428579</v>
      </c>
    </row>
    <row r="36" spans="1:22" x14ac:dyDescent="0.3">
      <c r="A36" s="170">
        <v>2050</v>
      </c>
      <c r="B36" s="196">
        <f>'ZW Vrachten door de tijd'!B36</f>
        <v>5239.2350000000006</v>
      </c>
      <c r="C36" s="14">
        <f t="shared" si="7"/>
        <v>280.052318625</v>
      </c>
      <c r="D36" s="14">
        <f t="shared" si="7"/>
        <v>46.332510375000005</v>
      </c>
      <c r="E36" s="14">
        <f t="shared" si="7"/>
        <v>27.799506225000002</v>
      </c>
      <c r="F36" s="14">
        <f t="shared" si="7"/>
        <v>0.3438967</v>
      </c>
      <c r="G36" s="15">
        <f t="shared" si="7"/>
        <v>0.45718252500000001</v>
      </c>
      <c r="I36" s="170">
        <v>2050</v>
      </c>
      <c r="J36" s="14">
        <f t="shared" si="2"/>
        <v>249.456429375</v>
      </c>
      <c r="K36" s="14">
        <f t="shared" si="3"/>
        <v>40.483236482142864</v>
      </c>
      <c r="L36" s="14">
        <f t="shared" si="4"/>
        <v>24.289941889285718</v>
      </c>
      <c r="M36" s="14">
        <f t="shared" si="5"/>
        <v>0.29540821428571429</v>
      </c>
      <c r="N36" s="15">
        <f t="shared" si="6"/>
        <v>0.40089016071428579</v>
      </c>
    </row>
    <row r="37" spans="1:22" x14ac:dyDescent="0.3">
      <c r="A37" s="170">
        <v>2051</v>
      </c>
      <c r="B37" s="197">
        <f>'ZW Vrachten door de tijd'!B37</f>
        <v>5239.2350000000006</v>
      </c>
      <c r="C37" s="39">
        <f t="shared" si="7"/>
        <v>280.052318625</v>
      </c>
      <c r="D37" s="39">
        <f t="shared" si="7"/>
        <v>46.332510375000005</v>
      </c>
      <c r="E37" s="39">
        <f t="shared" si="7"/>
        <v>27.799506225000002</v>
      </c>
      <c r="F37" s="39">
        <f t="shared" si="7"/>
        <v>0.3438967</v>
      </c>
      <c r="G37" s="40">
        <f t="shared" si="7"/>
        <v>0.45718252500000001</v>
      </c>
      <c r="I37" s="170">
        <v>2051</v>
      </c>
      <c r="J37" s="39">
        <f t="shared" si="2"/>
        <v>249.456429375</v>
      </c>
      <c r="K37" s="39">
        <f t="shared" si="3"/>
        <v>40.483236482142864</v>
      </c>
      <c r="L37" s="39">
        <f t="shared" si="4"/>
        <v>24.289941889285718</v>
      </c>
      <c r="M37" s="39">
        <f t="shared" si="5"/>
        <v>0.29540821428571429</v>
      </c>
      <c r="N37" s="40">
        <f t="shared" si="6"/>
        <v>0.40089016071428579</v>
      </c>
    </row>
    <row r="38" spans="1:22" x14ac:dyDescent="0.3">
      <c r="A38" s="3"/>
      <c r="B38" s="3"/>
      <c r="C38" s="14"/>
      <c r="D38" s="14"/>
      <c r="E38" s="14"/>
      <c r="F38" s="14"/>
      <c r="G38" s="14"/>
      <c r="I38" s="79" t="s">
        <v>157</v>
      </c>
      <c r="J38" s="271">
        <f>SUM(J7:J37)*365</f>
        <v>2430996.8116874998</v>
      </c>
      <c r="K38" s="79" t="s">
        <v>152</v>
      </c>
    </row>
    <row r="39" spans="1:22" x14ac:dyDescent="0.3">
      <c r="A39" s="1" t="s">
        <v>106</v>
      </c>
    </row>
    <row r="40" spans="1:22" x14ac:dyDescent="0.3">
      <c r="A40" s="83"/>
      <c r="B40" s="191"/>
      <c r="C40" s="290" t="s">
        <v>76</v>
      </c>
      <c r="D40" s="290"/>
      <c r="E40" s="290"/>
      <c r="F40" s="290"/>
      <c r="G40" s="291"/>
      <c r="H40" s="289" t="s">
        <v>77</v>
      </c>
      <c r="I40" s="290"/>
      <c r="J40" s="290"/>
      <c r="K40" s="290"/>
      <c r="L40" s="291"/>
      <c r="M40" s="290" t="s">
        <v>78</v>
      </c>
      <c r="N40" s="290"/>
      <c r="O40" s="290"/>
      <c r="P40" s="290"/>
      <c r="Q40" s="290"/>
      <c r="R40" s="289" t="s">
        <v>139</v>
      </c>
      <c r="S40" s="290"/>
      <c r="T40" s="290"/>
      <c r="U40" s="290"/>
      <c r="V40" s="291"/>
    </row>
    <row r="41" spans="1:22" x14ac:dyDescent="0.3">
      <c r="A41" s="255"/>
      <c r="B41" s="226"/>
      <c r="C41" s="231" t="s">
        <v>75</v>
      </c>
      <c r="D41" s="231" t="s">
        <v>45</v>
      </c>
      <c r="E41" s="231" t="s">
        <v>47</v>
      </c>
      <c r="F41" s="231" t="s">
        <v>48</v>
      </c>
      <c r="G41" s="232" t="s">
        <v>49</v>
      </c>
      <c r="H41" s="230" t="s">
        <v>75</v>
      </c>
      <c r="I41" s="231" t="s">
        <v>45</v>
      </c>
      <c r="J41" s="231" t="s">
        <v>47</v>
      </c>
      <c r="K41" s="231" t="s">
        <v>48</v>
      </c>
      <c r="L41" s="232" t="s">
        <v>49</v>
      </c>
      <c r="M41" s="231" t="s">
        <v>75</v>
      </c>
      <c r="N41" s="231" t="s">
        <v>45</v>
      </c>
      <c r="O41" s="231" t="s">
        <v>47</v>
      </c>
      <c r="P41" s="231" t="s">
        <v>48</v>
      </c>
      <c r="Q41" s="232" t="s">
        <v>49</v>
      </c>
      <c r="R41" s="231" t="s">
        <v>75</v>
      </c>
      <c r="S41" s="231" t="s">
        <v>45</v>
      </c>
      <c r="T41" s="231" t="s">
        <v>47</v>
      </c>
      <c r="U41" s="231" t="s">
        <v>48</v>
      </c>
      <c r="V41" s="232" t="s">
        <v>49</v>
      </c>
    </row>
    <row r="42" spans="1:22" x14ac:dyDescent="0.3">
      <c r="A42" s="58"/>
      <c r="B42" s="58"/>
      <c r="C42" s="58" t="s">
        <v>74</v>
      </c>
      <c r="D42" s="58" t="s">
        <v>73</v>
      </c>
      <c r="E42" s="58" t="s">
        <v>73</v>
      </c>
      <c r="F42" s="58" t="s">
        <v>73</v>
      </c>
      <c r="G42" s="61" t="s">
        <v>73</v>
      </c>
      <c r="H42" s="84" t="s">
        <v>74</v>
      </c>
      <c r="I42" s="58" t="s">
        <v>73</v>
      </c>
      <c r="J42" s="58" t="s">
        <v>73</v>
      </c>
      <c r="K42" s="58" t="s">
        <v>73</v>
      </c>
      <c r="L42" s="61" t="s">
        <v>73</v>
      </c>
      <c r="M42" s="58" t="s">
        <v>74</v>
      </c>
      <c r="N42" s="58" t="s">
        <v>73</v>
      </c>
      <c r="O42" s="58" t="s">
        <v>73</v>
      </c>
      <c r="P42" s="58" t="s">
        <v>73</v>
      </c>
      <c r="Q42" s="61" t="s">
        <v>73</v>
      </c>
      <c r="R42" s="58" t="s">
        <v>74</v>
      </c>
      <c r="S42" s="58" t="s">
        <v>73</v>
      </c>
      <c r="T42" s="58" t="s">
        <v>73</v>
      </c>
      <c r="U42" s="58" t="s">
        <v>73</v>
      </c>
      <c r="V42" s="61" t="s">
        <v>73</v>
      </c>
    </row>
    <row r="43" spans="1:22" x14ac:dyDescent="0.3">
      <c r="A43" s="170">
        <v>2021</v>
      </c>
      <c r="B43" s="3"/>
      <c r="C43" s="16">
        <f>(C79*'Uitgangspunten debiet+ vrachten'!$F$26+'Uitgangspunten debiet+ vrachten'!$E$26*'ZW Vrachten door de tijd'!D79)/1000</f>
        <v>0</v>
      </c>
      <c r="D43" s="14">
        <f>('Uitgangspunten debiet+ vrachten'!$E$40*D79+'Uitgangspunten debiet+ vrachten'!$F$40*C79)/1000</f>
        <v>0</v>
      </c>
      <c r="E43" s="14">
        <f>('Uitgangspunten debiet+ vrachten'!$E$42*D79+'Uitgangspunten debiet+ vrachten'!$F$42*C79)/1000</f>
        <v>0</v>
      </c>
      <c r="F43" s="14">
        <f>('Uitgangspunten debiet+ vrachten'!$E$43*D79+'Uitgangspunten debiet+ vrachten'!$F$43*C79)/1000</f>
        <v>0</v>
      </c>
      <c r="G43" s="15">
        <f>('Uitgangspunten debiet+ vrachten'!$E$44*D79+'Uitgangspunten debiet+ vrachten'!$F$44*C79)/1000</f>
        <v>0</v>
      </c>
      <c r="H43" s="13">
        <f>E79*'Uitgangspunten debiet+ vrachten'!$E$26/1000</f>
        <v>0</v>
      </c>
      <c r="I43" s="14">
        <f>'Uitgangspunten debiet+ vrachten'!$E$40*E79/1000</f>
        <v>0</v>
      </c>
      <c r="J43" s="14">
        <f>'Uitgangspunten debiet+ vrachten'!$E$42*E79/1000</f>
        <v>0</v>
      </c>
      <c r="K43" s="14">
        <f>'Uitgangspunten debiet+ vrachten'!$E$43*E79/1000</f>
        <v>0</v>
      </c>
      <c r="L43" s="15">
        <f>'Uitgangspunten debiet+ vrachten'!$E$44*E79/1000</f>
        <v>0</v>
      </c>
      <c r="M43" s="14">
        <f>F79*'Uitgangspunten debiet+ vrachten'!$E$26/1000</f>
        <v>0</v>
      </c>
      <c r="N43" s="14">
        <f>'Uitgangspunten debiet+ vrachten'!$E$40*F79/1000</f>
        <v>0</v>
      </c>
      <c r="O43" s="14">
        <f>'Uitgangspunten debiet+ vrachten'!$E$42*F79/1000</f>
        <v>0</v>
      </c>
      <c r="P43" s="14">
        <f>'Uitgangspunten debiet+ vrachten'!$E$43*F79/1000</f>
        <v>0</v>
      </c>
      <c r="Q43" s="15">
        <f>'Uitgangspunten debiet+ vrachten'!$E$44*F79/1000</f>
        <v>0</v>
      </c>
      <c r="R43" s="14">
        <f>G79*'Uitgangspunten debiet+ vrachten'!$E$26/1000</f>
        <v>0</v>
      </c>
      <c r="S43" s="14">
        <f>'Uitgangspunten debiet+ vrachten'!$E$40*G79/1000</f>
        <v>0</v>
      </c>
      <c r="T43" s="14">
        <f>'Uitgangspunten debiet+ vrachten'!$E$42*G79/1000</f>
        <v>0</v>
      </c>
      <c r="U43" s="14">
        <f>'Uitgangspunten debiet+ vrachten'!$E$43*G79/1000</f>
        <v>0</v>
      </c>
      <c r="V43" s="15">
        <f>'Uitgangspunten debiet+ vrachten'!$E$44*G79/1000</f>
        <v>0</v>
      </c>
    </row>
    <row r="44" spans="1:22" x14ac:dyDescent="0.3">
      <c r="A44" s="170">
        <v>2022</v>
      </c>
      <c r="B44" s="3"/>
      <c r="C44" s="16">
        <f>(C80*'Uitgangspunten debiet+ vrachten'!$F$26+'Uitgangspunten debiet+ vrachten'!$E$26*'ZW Vrachten door de tijd'!D80)/1000</f>
        <v>0</v>
      </c>
      <c r="D44" s="14">
        <f>('Uitgangspunten debiet+ vrachten'!$E$40*D80+'Uitgangspunten debiet+ vrachten'!$F$40*C80)/1000</f>
        <v>0</v>
      </c>
      <c r="E44" s="14">
        <f>('Uitgangspunten debiet+ vrachten'!$E$42*D80+'Uitgangspunten debiet+ vrachten'!$F$42*C80)/1000</f>
        <v>0</v>
      </c>
      <c r="F44" s="14">
        <f>('Uitgangspunten debiet+ vrachten'!$E$43*D80+'Uitgangspunten debiet+ vrachten'!$F$43*C80)/1000</f>
        <v>0</v>
      </c>
      <c r="G44" s="15">
        <f>('Uitgangspunten debiet+ vrachten'!$E$44*D80+'Uitgangspunten debiet+ vrachten'!$F$44*C80)/1000</f>
        <v>0</v>
      </c>
      <c r="H44" s="13">
        <f>E80*'Uitgangspunten debiet+ vrachten'!$E$26/1000</f>
        <v>0</v>
      </c>
      <c r="I44" s="14">
        <f>'Uitgangspunten debiet+ vrachten'!$E$40*E80/1000</f>
        <v>0</v>
      </c>
      <c r="J44" s="14">
        <f>'Uitgangspunten debiet+ vrachten'!$E$42*E80/1000</f>
        <v>0</v>
      </c>
      <c r="K44" s="14">
        <f>'Uitgangspunten debiet+ vrachten'!$E$43*E80/1000</f>
        <v>0</v>
      </c>
      <c r="L44" s="15">
        <f>'Uitgangspunten debiet+ vrachten'!$E$44*E80/1000</f>
        <v>0</v>
      </c>
      <c r="M44" s="14">
        <f>F80*'Uitgangspunten debiet+ vrachten'!$E$26/1000</f>
        <v>2.8394336249999999</v>
      </c>
      <c r="N44" s="14">
        <f>'Uitgangspunten debiet+ vrachten'!$E$40*F80/1000</f>
        <v>1.3327953750000001</v>
      </c>
      <c r="O44" s="14">
        <f>'Uitgangspunten debiet+ vrachten'!$E$42*F80/1000</f>
        <v>0.79967722499999994</v>
      </c>
      <c r="P44" s="14">
        <f>'Uitgangspunten debiet+ vrachten'!$E$43*F80/1000</f>
        <v>1.5452700000000003E-2</v>
      </c>
      <c r="Q44" s="15">
        <f>'Uitgangspunten debiet+ vrachten'!$E$44*F80/1000</f>
        <v>1.1589525E-2</v>
      </c>
      <c r="R44" s="14">
        <f>G80*'Uitgangspunten debiet+ vrachten'!$E$26/1000</f>
        <v>0</v>
      </c>
      <c r="S44" s="14">
        <f>'Uitgangspunten debiet+ vrachten'!$E$40*G80/1000</f>
        <v>0</v>
      </c>
      <c r="T44" s="14">
        <f>'Uitgangspunten debiet+ vrachten'!$E$42*G80/1000</f>
        <v>0</v>
      </c>
      <c r="U44" s="14">
        <f>'Uitgangspunten debiet+ vrachten'!$E$43*G80/1000</f>
        <v>0</v>
      </c>
      <c r="V44" s="15">
        <f>'Uitgangspunten debiet+ vrachten'!$E$44*G80/1000</f>
        <v>0</v>
      </c>
    </row>
    <row r="45" spans="1:22" x14ac:dyDescent="0.3">
      <c r="A45" s="170">
        <v>2023</v>
      </c>
      <c r="B45" s="3"/>
      <c r="C45" s="16">
        <f>(C81*'Uitgangspunten debiet+ vrachten'!$F$26+'Uitgangspunten debiet+ vrachten'!$E$26*'ZW Vrachten door de tijd'!D81)/1000</f>
        <v>56.270249999999997</v>
      </c>
      <c r="D45" s="14">
        <f>('Uitgangspunten debiet+ vrachten'!$E$40*D81+'Uitgangspunten debiet+ vrachten'!$F$40*C81)/1000</f>
        <v>8.4195899999999995</v>
      </c>
      <c r="E45" s="14">
        <f>('Uitgangspunten debiet+ vrachten'!$E$42*D81+'Uitgangspunten debiet+ vrachten'!$F$42*C81)/1000</f>
        <v>5.0517539999999999</v>
      </c>
      <c r="F45" s="14">
        <f>('Uitgangspunten debiet+ vrachten'!$E$43*D81+'Uitgangspunten debiet+ vrachten'!$F$43*C81)/1000</f>
        <v>5.6760000000000005E-2</v>
      </c>
      <c r="G45" s="15">
        <f>('Uitgangspunten debiet+ vrachten'!$E$44*D81+'Uitgangspunten debiet+ vrachten'!$F$44*C81)/1000</f>
        <v>8.4690000000000001E-2</v>
      </c>
      <c r="H45" s="13">
        <f>E81*'Uitgangspunten debiet+ vrachten'!$E$26/1000</f>
        <v>0.27599250000000003</v>
      </c>
      <c r="I45" s="14">
        <f>'Uitgangspunten debiet+ vrachten'!$E$40*E81/1000</f>
        <v>0.12954750000000001</v>
      </c>
      <c r="J45" s="14">
        <f>'Uitgangspunten debiet+ vrachten'!$E$42*E81/1000</f>
        <v>7.7728499999999992E-2</v>
      </c>
      <c r="K45" s="14">
        <f>'Uitgangspunten debiet+ vrachten'!$E$43*E81/1000</f>
        <v>1.5020000000000005E-3</v>
      </c>
      <c r="L45" s="15">
        <f>'Uitgangspunten debiet+ vrachten'!$E$44*E81/1000</f>
        <v>1.1265000000000001E-3</v>
      </c>
      <c r="M45" s="14">
        <f>F81*'Uitgangspunten debiet+ vrachten'!$E$26/1000</f>
        <v>6.3117573749999991</v>
      </c>
      <c r="N45" s="14">
        <f>'Uitgangspunten debiet+ vrachten'!$E$40*F81/1000</f>
        <v>2.962661625</v>
      </c>
      <c r="O45" s="14">
        <f>'Uitgangspunten debiet+ vrachten'!$E$42*F81/1000</f>
        <v>1.7775969749999998</v>
      </c>
      <c r="P45" s="14">
        <f>'Uitgangspunten debiet+ vrachten'!$E$43*F81/1000</f>
        <v>3.4349700000000004E-2</v>
      </c>
      <c r="Q45" s="15">
        <f>'Uitgangspunten debiet+ vrachten'!$E$44*F81/1000</f>
        <v>2.5762274999999998E-2</v>
      </c>
      <c r="R45" s="14">
        <f>G81*'Uitgangspunten debiet+ vrachten'!$E$26/1000</f>
        <v>0</v>
      </c>
      <c r="S45" s="14">
        <f>'Uitgangspunten debiet+ vrachten'!$E$40*G81/1000</f>
        <v>0</v>
      </c>
      <c r="T45" s="14">
        <f>'Uitgangspunten debiet+ vrachten'!$E$42*G81/1000</f>
        <v>0</v>
      </c>
      <c r="U45" s="14">
        <f>'Uitgangspunten debiet+ vrachten'!$E$43*G81/1000</f>
        <v>0</v>
      </c>
      <c r="V45" s="15">
        <f>'Uitgangspunten debiet+ vrachten'!$E$44*G81/1000</f>
        <v>0</v>
      </c>
    </row>
    <row r="46" spans="1:22" x14ac:dyDescent="0.3">
      <c r="A46" s="170">
        <v>2024</v>
      </c>
      <c r="B46" s="3"/>
      <c r="C46" s="16">
        <f>(C82*'Uitgangspunten debiet+ vrachten'!$F$26+'Uitgangspunten debiet+ vrachten'!$E$26*'ZW Vrachten door de tijd'!D82)/1000</f>
        <v>56.270249999999997</v>
      </c>
      <c r="D46" s="14">
        <f>('Uitgangspunten debiet+ vrachten'!$E$40*D82+'Uitgangspunten debiet+ vrachten'!$F$40*C82)/1000</f>
        <v>8.4195899999999995</v>
      </c>
      <c r="E46" s="14">
        <f>('Uitgangspunten debiet+ vrachten'!$E$42*D82+'Uitgangspunten debiet+ vrachten'!$F$42*C82)/1000</f>
        <v>5.0517539999999999</v>
      </c>
      <c r="F46" s="14">
        <f>('Uitgangspunten debiet+ vrachten'!$E$43*D82+'Uitgangspunten debiet+ vrachten'!$F$43*C82)/1000</f>
        <v>5.6760000000000005E-2</v>
      </c>
      <c r="G46" s="15">
        <f>('Uitgangspunten debiet+ vrachten'!$E$44*D82+'Uitgangspunten debiet+ vrachten'!$F$44*C82)/1000</f>
        <v>8.4690000000000001E-2</v>
      </c>
      <c r="H46" s="13">
        <f>E82*'Uitgangspunten debiet+ vrachten'!$E$26/1000</f>
        <v>0.57826124999999995</v>
      </c>
      <c r="I46" s="14">
        <f>'Uitgangspunten debiet+ vrachten'!$E$40*E82/1000</f>
        <v>0.27142875</v>
      </c>
      <c r="J46" s="14">
        <f>'Uitgangspunten debiet+ vrachten'!$E$42*E82/1000</f>
        <v>0.16285724999999998</v>
      </c>
      <c r="K46" s="14">
        <f>'Uitgangspunten debiet+ vrachten'!$E$43*E82/1000</f>
        <v>3.1470000000000005E-3</v>
      </c>
      <c r="L46" s="15">
        <f>'Uitgangspunten debiet+ vrachten'!$E$44*E82/1000</f>
        <v>2.3602499999999999E-3</v>
      </c>
      <c r="M46" s="14">
        <f>F82*'Uitgangspunten debiet+ vrachten'!$E$26/1000</f>
        <v>6.6507761249999993</v>
      </c>
      <c r="N46" s="14">
        <f>'Uitgangspunten debiet+ vrachten'!$E$40*F82/1000</f>
        <v>3.1217928750000001</v>
      </c>
      <c r="O46" s="14">
        <f>'Uitgangspunten debiet+ vrachten'!$E$42*F82/1000</f>
        <v>1.8730757249999996</v>
      </c>
      <c r="P46" s="14">
        <f>'Uitgangspunten debiet+ vrachten'!$E$43*F82/1000</f>
        <v>3.6194700000000003E-2</v>
      </c>
      <c r="Q46" s="15">
        <f>'Uitgangspunten debiet+ vrachten'!$E$44*F82/1000</f>
        <v>2.7146024999999997E-2</v>
      </c>
      <c r="R46" s="14">
        <f>G82*'Uitgangspunten debiet+ vrachten'!$E$26/1000</f>
        <v>3.76228125</v>
      </c>
      <c r="S46" s="14">
        <f>'Uitgangspunten debiet+ vrachten'!$E$40*G82/1000</f>
        <v>1.7659687500000001</v>
      </c>
      <c r="T46" s="14">
        <f>'Uitgangspunten debiet+ vrachten'!$E$42*G82/1000</f>
        <v>1.0595812499999999</v>
      </c>
      <c r="U46" s="14">
        <f>'Uitgangspunten debiet+ vrachten'!$E$43*G82/1000</f>
        <v>2.0475000000000004E-2</v>
      </c>
      <c r="V46" s="15">
        <f>'Uitgangspunten debiet+ vrachten'!$E$44*G82/1000</f>
        <v>1.535625E-2</v>
      </c>
    </row>
    <row r="47" spans="1:22" x14ac:dyDescent="0.3">
      <c r="A47" s="170">
        <v>2025</v>
      </c>
      <c r="B47" s="3"/>
      <c r="C47" s="16">
        <f>(C83*'Uitgangspunten debiet+ vrachten'!$F$26+'Uitgangspunten debiet+ vrachten'!$E$26*'ZW Vrachten door de tijd'!D83)/1000</f>
        <v>56.270249999999997</v>
      </c>
      <c r="D47" s="14">
        <f>('Uitgangspunten debiet+ vrachten'!$E$40*D83+'Uitgangspunten debiet+ vrachten'!$F$40*C83)/1000</f>
        <v>8.4195899999999995</v>
      </c>
      <c r="E47" s="14">
        <f>('Uitgangspunten debiet+ vrachten'!$E$42*D83+'Uitgangspunten debiet+ vrachten'!$F$42*C83)/1000</f>
        <v>5.0517539999999999</v>
      </c>
      <c r="F47" s="14">
        <f>('Uitgangspunten debiet+ vrachten'!$E$43*D83+'Uitgangspunten debiet+ vrachten'!$F$43*C83)/1000</f>
        <v>5.6760000000000005E-2</v>
      </c>
      <c r="G47" s="15">
        <f>('Uitgangspunten debiet+ vrachten'!$E$44*D83+'Uitgangspunten debiet+ vrachten'!$F$44*C83)/1000</f>
        <v>8.4690000000000001E-2</v>
      </c>
      <c r="H47" s="13">
        <f>E83*'Uitgangspunten debiet+ vrachten'!$E$26/1000</f>
        <v>0.66278625000000002</v>
      </c>
      <c r="I47" s="14">
        <f>'Uitgangspunten debiet+ vrachten'!$E$40*E83/1000</f>
        <v>0.31110375000000001</v>
      </c>
      <c r="J47" s="14">
        <f>'Uitgangspunten debiet+ vrachten'!$E$42*E83/1000</f>
        <v>0.18666224999999997</v>
      </c>
      <c r="K47" s="14">
        <f>'Uitgangspunten debiet+ vrachten'!$E$43*E83/1000</f>
        <v>3.6070000000000008E-3</v>
      </c>
      <c r="L47" s="15">
        <f>'Uitgangspunten debiet+ vrachten'!$E$44*E83/1000</f>
        <v>2.7052499999999998E-3</v>
      </c>
      <c r="M47" s="14">
        <f>F83*'Uitgangspunten debiet+ vrachten'!$E$26/1000</f>
        <v>7.3288136249999987</v>
      </c>
      <c r="N47" s="14">
        <f>'Uitgangspunten debiet+ vrachten'!$E$40*F83/1000</f>
        <v>3.440055375</v>
      </c>
      <c r="O47" s="14">
        <f>'Uitgangspunten debiet+ vrachten'!$E$42*F83/1000</f>
        <v>2.0640332249999997</v>
      </c>
      <c r="P47" s="14">
        <f>'Uitgangspunten debiet+ vrachten'!$E$43*F83/1000</f>
        <v>3.9884700000000002E-2</v>
      </c>
      <c r="Q47" s="15">
        <f>'Uitgangspunten debiet+ vrachten'!$E$44*F83/1000</f>
        <v>2.9913524999999996E-2</v>
      </c>
      <c r="R47" s="14">
        <f>G83*'Uitgangspunten debiet+ vrachten'!$E$26/1000</f>
        <v>4.1205937500000003</v>
      </c>
      <c r="S47" s="14">
        <f>'Uitgangspunten debiet+ vrachten'!$E$40*G83/1000</f>
        <v>1.93415625</v>
      </c>
      <c r="T47" s="14">
        <f>'Uitgangspunten debiet+ vrachten'!$E$42*G83/1000</f>
        <v>1.1604937499999999</v>
      </c>
      <c r="U47" s="14">
        <f>'Uitgangspunten debiet+ vrachten'!$E$43*G83/1000</f>
        <v>2.2425000000000004E-2</v>
      </c>
      <c r="V47" s="15">
        <f>'Uitgangspunten debiet+ vrachten'!$E$44*G83/1000</f>
        <v>1.6818749999999997E-2</v>
      </c>
    </row>
    <row r="48" spans="1:22" x14ac:dyDescent="0.3">
      <c r="A48" s="170">
        <v>2026</v>
      </c>
      <c r="B48" s="3"/>
      <c r="C48" s="16">
        <f>(C84*'Uitgangspunten debiet+ vrachten'!$F$26+'Uitgangspunten debiet+ vrachten'!$E$26*'ZW Vrachten door de tijd'!D84)/1000</f>
        <v>266.10262499999999</v>
      </c>
      <c r="D48" s="14">
        <f>('Uitgangspunten debiet+ vrachten'!$E$40*D84+'Uitgangspunten debiet+ vrachten'!$F$40*C84)/1000</f>
        <v>39.784694999999999</v>
      </c>
      <c r="E48" s="14">
        <f>('Uitgangspunten debiet+ vrachten'!$E$42*D84+'Uitgangspunten debiet+ vrachten'!$F$42*C84)/1000</f>
        <v>23.870817000000002</v>
      </c>
      <c r="F48" s="14">
        <f>('Uitgangspunten debiet+ vrachten'!$E$43*D84+'Uitgangspunten debiet+ vrachten'!$F$43*C84)/1000</f>
        <v>0.26798</v>
      </c>
      <c r="G48" s="15">
        <f>('Uitgangspunten debiet+ vrachten'!$E$44*D84+'Uitgangspunten debiet+ vrachten'!$F$44*C84)/1000</f>
        <v>0.40024500000000007</v>
      </c>
      <c r="H48" s="13">
        <f>E84*'Uitgangspunten debiet+ vrachten'!$E$26/1000</f>
        <v>0.74731124999999998</v>
      </c>
      <c r="I48" s="14">
        <f>'Uitgangspunten debiet+ vrachten'!$E$40*E84/1000</f>
        <v>0.35077875000000003</v>
      </c>
      <c r="J48" s="14">
        <f>'Uitgangspunten debiet+ vrachten'!$E$42*E84/1000</f>
        <v>0.21046724999999997</v>
      </c>
      <c r="K48" s="14">
        <f>'Uitgangspunten debiet+ vrachten'!$E$43*E84/1000</f>
        <v>4.0670000000000012E-3</v>
      </c>
      <c r="L48" s="15">
        <f>'Uitgangspunten debiet+ vrachten'!$E$44*E84/1000</f>
        <v>3.0502499999999996E-3</v>
      </c>
      <c r="M48" s="14">
        <f>F84*'Uitgangspunten debiet+ vrachten'!$E$26/1000</f>
        <v>8.0068511250000007</v>
      </c>
      <c r="N48" s="14">
        <f>'Uitgangspunten debiet+ vrachten'!$E$40*F84/1000</f>
        <v>3.7583178750000008</v>
      </c>
      <c r="O48" s="14">
        <f>'Uitgangspunten debiet+ vrachten'!$E$42*F84/1000</f>
        <v>2.2549907250000003</v>
      </c>
      <c r="P48" s="14">
        <f>'Uitgangspunten debiet+ vrachten'!$E$43*F84/1000</f>
        <v>4.3574700000000015E-2</v>
      </c>
      <c r="Q48" s="15">
        <f>'Uitgangspunten debiet+ vrachten'!$E$44*F84/1000</f>
        <v>3.2681024999999995E-2</v>
      </c>
      <c r="R48" s="14">
        <f>G84*'Uitgangspunten debiet+ vrachten'!$E$26/1000</f>
        <v>4.4789062499999996</v>
      </c>
      <c r="S48" s="14">
        <f>'Uitgangspunten debiet+ vrachten'!$E$40*G84/1000</f>
        <v>2.1023437500000002</v>
      </c>
      <c r="T48" s="14">
        <f>'Uitgangspunten debiet+ vrachten'!$E$42*G84/1000</f>
        <v>1.2614062500000001</v>
      </c>
      <c r="U48" s="14">
        <f>'Uitgangspunten debiet+ vrachten'!$E$43*G84/1000</f>
        <v>2.4375000000000004E-2</v>
      </c>
      <c r="V48" s="15">
        <f>'Uitgangspunten debiet+ vrachten'!$E$44*G84/1000</f>
        <v>1.8281249999999999E-2</v>
      </c>
    </row>
    <row r="49" spans="1:22" x14ac:dyDescent="0.3">
      <c r="A49" s="170">
        <v>2027</v>
      </c>
      <c r="B49" s="3"/>
      <c r="C49" s="16">
        <f>(C85*'Uitgangspunten debiet+ vrachten'!$F$26+'Uitgangspunten debiet+ vrachten'!$E$26*'ZW Vrachten door de tijd'!D85)/1000</f>
        <v>266.10262499999999</v>
      </c>
      <c r="D49" s="14">
        <f>('Uitgangspunten debiet+ vrachten'!$E$40*D85+'Uitgangspunten debiet+ vrachten'!$F$40*C85)/1000</f>
        <v>39.784694999999999</v>
      </c>
      <c r="E49" s="14">
        <f>('Uitgangspunten debiet+ vrachten'!$E$42*D85+'Uitgangspunten debiet+ vrachten'!$F$42*C85)/1000</f>
        <v>23.870817000000002</v>
      </c>
      <c r="F49" s="14">
        <f>('Uitgangspunten debiet+ vrachten'!$E$43*D85+'Uitgangspunten debiet+ vrachten'!$F$43*C85)/1000</f>
        <v>0.26798</v>
      </c>
      <c r="G49" s="15">
        <f>('Uitgangspunten debiet+ vrachten'!$E$44*D85+'Uitgangspunten debiet+ vrachten'!$F$44*C85)/1000</f>
        <v>0.40024500000000007</v>
      </c>
      <c r="H49" s="13">
        <f>E85*'Uitgangspunten debiet+ vrachten'!$E$26/1000</f>
        <v>0.74731124999999998</v>
      </c>
      <c r="I49" s="14">
        <f>'Uitgangspunten debiet+ vrachten'!$E$40*E85/1000</f>
        <v>0.35077875000000003</v>
      </c>
      <c r="J49" s="14">
        <f>'Uitgangspunten debiet+ vrachten'!$E$42*E85/1000</f>
        <v>0.21046724999999997</v>
      </c>
      <c r="K49" s="14">
        <f>'Uitgangspunten debiet+ vrachten'!$E$43*E85/1000</f>
        <v>4.0670000000000012E-3</v>
      </c>
      <c r="L49" s="15">
        <f>'Uitgangspunten debiet+ vrachten'!$E$44*E85/1000</f>
        <v>3.0502499999999996E-3</v>
      </c>
      <c r="M49" s="14">
        <f>F85*'Uitgangspunten debiet+ vrachten'!$E$26/1000</f>
        <v>8.0068511250000007</v>
      </c>
      <c r="N49" s="14">
        <f>'Uitgangspunten debiet+ vrachten'!$E$40*F85/1000</f>
        <v>3.7583178750000008</v>
      </c>
      <c r="O49" s="14">
        <f>'Uitgangspunten debiet+ vrachten'!$E$42*F85/1000</f>
        <v>2.2549907250000003</v>
      </c>
      <c r="P49" s="14">
        <f>'Uitgangspunten debiet+ vrachten'!$E$43*F85/1000</f>
        <v>4.3574700000000015E-2</v>
      </c>
      <c r="Q49" s="15">
        <f>'Uitgangspunten debiet+ vrachten'!$E$44*F85/1000</f>
        <v>3.2681024999999995E-2</v>
      </c>
      <c r="R49" s="14">
        <f>G85*'Uitgangspunten debiet+ vrachten'!$E$26/1000</f>
        <v>4.8372187499999999</v>
      </c>
      <c r="S49" s="14">
        <f>'Uitgangspunten debiet+ vrachten'!$E$40*G85/1000</f>
        <v>2.2705312499999999</v>
      </c>
      <c r="T49" s="14">
        <f>'Uitgangspunten debiet+ vrachten'!$E$42*G85/1000</f>
        <v>1.3623187499999998</v>
      </c>
      <c r="U49" s="14">
        <f>'Uitgangspunten debiet+ vrachten'!$E$43*G85/1000</f>
        <v>2.6325000000000008E-2</v>
      </c>
      <c r="V49" s="15">
        <f>'Uitgangspunten debiet+ vrachten'!$E$44*G85/1000</f>
        <v>1.9743749999999997E-2</v>
      </c>
    </row>
    <row r="50" spans="1:22" x14ac:dyDescent="0.3">
      <c r="A50" s="170">
        <v>2028</v>
      </c>
      <c r="B50" s="3"/>
      <c r="C50" s="16">
        <f>(C86*'Uitgangspunten debiet+ vrachten'!$F$26+'Uitgangspunten debiet+ vrachten'!$E$26*'ZW Vrachten door de tijd'!D86)/1000</f>
        <v>266.10262499999999</v>
      </c>
      <c r="D50" s="14">
        <f>('Uitgangspunten debiet+ vrachten'!$E$40*D86+'Uitgangspunten debiet+ vrachten'!$F$40*C86)/1000</f>
        <v>39.784694999999999</v>
      </c>
      <c r="E50" s="14">
        <f>('Uitgangspunten debiet+ vrachten'!$E$42*D86+'Uitgangspunten debiet+ vrachten'!$F$42*C86)/1000</f>
        <v>23.870817000000002</v>
      </c>
      <c r="F50" s="14">
        <f>('Uitgangspunten debiet+ vrachten'!$E$43*D86+'Uitgangspunten debiet+ vrachten'!$F$43*C86)/1000</f>
        <v>0.26798</v>
      </c>
      <c r="G50" s="15">
        <f>('Uitgangspunten debiet+ vrachten'!$E$44*D86+'Uitgangspunten debiet+ vrachten'!$F$44*C86)/1000</f>
        <v>0.40024500000000007</v>
      </c>
      <c r="H50" s="13">
        <f>E86*'Uitgangspunten debiet+ vrachten'!$E$26/1000</f>
        <v>0.74731124999999998</v>
      </c>
      <c r="I50" s="14">
        <f>'Uitgangspunten debiet+ vrachten'!$E$40*E86/1000</f>
        <v>0.35077875000000003</v>
      </c>
      <c r="J50" s="14">
        <f>'Uitgangspunten debiet+ vrachten'!$E$42*E86/1000</f>
        <v>0.21046724999999997</v>
      </c>
      <c r="K50" s="14">
        <f>'Uitgangspunten debiet+ vrachten'!$E$43*E86/1000</f>
        <v>4.0670000000000012E-3</v>
      </c>
      <c r="L50" s="15">
        <f>'Uitgangspunten debiet+ vrachten'!$E$44*E86/1000</f>
        <v>3.0502499999999996E-3</v>
      </c>
      <c r="M50" s="14">
        <f>F86*'Uitgangspunten debiet+ vrachten'!$E$26/1000</f>
        <v>8.0068511250000007</v>
      </c>
      <c r="N50" s="14">
        <f>'Uitgangspunten debiet+ vrachten'!$E$40*F86/1000</f>
        <v>3.7583178750000008</v>
      </c>
      <c r="O50" s="14">
        <f>'Uitgangspunten debiet+ vrachten'!$E$42*F86/1000</f>
        <v>2.2549907250000003</v>
      </c>
      <c r="P50" s="14">
        <f>'Uitgangspunten debiet+ vrachten'!$E$43*F86/1000</f>
        <v>4.3574700000000015E-2</v>
      </c>
      <c r="Q50" s="15">
        <f>'Uitgangspunten debiet+ vrachten'!$E$44*F86/1000</f>
        <v>3.2681024999999995E-2</v>
      </c>
      <c r="R50" s="14">
        <f>G86*'Uitgangspunten debiet+ vrachten'!$E$26/1000</f>
        <v>5.1955312500000002</v>
      </c>
      <c r="S50" s="14">
        <f>'Uitgangspunten debiet+ vrachten'!$E$40*G86/1000</f>
        <v>2.43871875</v>
      </c>
      <c r="T50" s="14">
        <f>'Uitgangspunten debiet+ vrachten'!$E$42*G86/1000</f>
        <v>1.4632312499999998</v>
      </c>
      <c r="U50" s="14">
        <f>'Uitgangspunten debiet+ vrachten'!$E$43*G86/1000</f>
        <v>2.8275000000000005E-2</v>
      </c>
      <c r="V50" s="15">
        <f>'Uitgangspunten debiet+ vrachten'!$E$44*G86/1000</f>
        <v>2.1206249999999999E-2</v>
      </c>
    </row>
    <row r="51" spans="1:22" x14ac:dyDescent="0.3">
      <c r="A51" s="170">
        <v>2029</v>
      </c>
      <c r="B51" s="3"/>
      <c r="C51" s="16">
        <f>(C87*'Uitgangspunten debiet+ vrachten'!$F$26+'Uitgangspunten debiet+ vrachten'!$E$26*'ZW Vrachten door de tijd'!D87)/1000</f>
        <v>266.10262499999999</v>
      </c>
      <c r="D51" s="14">
        <f>('Uitgangspunten debiet+ vrachten'!$E$40*D87+'Uitgangspunten debiet+ vrachten'!$F$40*C87)/1000</f>
        <v>39.784694999999999</v>
      </c>
      <c r="E51" s="14">
        <f>('Uitgangspunten debiet+ vrachten'!$E$42*D87+'Uitgangspunten debiet+ vrachten'!$F$42*C87)/1000</f>
        <v>23.870817000000002</v>
      </c>
      <c r="F51" s="14">
        <f>('Uitgangspunten debiet+ vrachten'!$E$43*D87+'Uitgangspunten debiet+ vrachten'!$F$43*C87)/1000</f>
        <v>0.26798</v>
      </c>
      <c r="G51" s="15">
        <f>('Uitgangspunten debiet+ vrachten'!$E$44*D87+'Uitgangspunten debiet+ vrachten'!$F$44*C87)/1000</f>
        <v>0.40024500000000007</v>
      </c>
      <c r="H51" s="13">
        <f>E87*'Uitgangspunten debiet+ vrachten'!$E$26/1000</f>
        <v>0.74731124999999998</v>
      </c>
      <c r="I51" s="14">
        <f>'Uitgangspunten debiet+ vrachten'!$E$40*E87/1000</f>
        <v>0.35077875000000003</v>
      </c>
      <c r="J51" s="14">
        <f>'Uitgangspunten debiet+ vrachten'!$E$42*E87/1000</f>
        <v>0.21046724999999997</v>
      </c>
      <c r="K51" s="14">
        <f>'Uitgangspunten debiet+ vrachten'!$E$43*E87/1000</f>
        <v>4.0670000000000012E-3</v>
      </c>
      <c r="L51" s="15">
        <f>'Uitgangspunten debiet+ vrachten'!$E$44*E87/1000</f>
        <v>3.0502499999999996E-3</v>
      </c>
      <c r="M51" s="14">
        <f>F87*'Uitgangspunten debiet+ vrachten'!$E$26/1000</f>
        <v>8.0068511250000007</v>
      </c>
      <c r="N51" s="14">
        <f>'Uitgangspunten debiet+ vrachten'!$E$40*F87/1000</f>
        <v>3.7583178750000008</v>
      </c>
      <c r="O51" s="14">
        <f>'Uitgangspunten debiet+ vrachten'!$E$42*F87/1000</f>
        <v>2.2549907250000003</v>
      </c>
      <c r="P51" s="14">
        <f>'Uitgangspunten debiet+ vrachten'!$E$43*F87/1000</f>
        <v>4.3574700000000015E-2</v>
      </c>
      <c r="Q51" s="15">
        <f>'Uitgangspunten debiet+ vrachten'!$E$44*F87/1000</f>
        <v>3.2681024999999995E-2</v>
      </c>
      <c r="R51" s="14">
        <f>G87*'Uitgangspunten debiet+ vrachten'!$E$26/1000</f>
        <v>5.1955312500000002</v>
      </c>
      <c r="S51" s="14">
        <f>'Uitgangspunten debiet+ vrachten'!$E$40*G87/1000</f>
        <v>2.43871875</v>
      </c>
      <c r="T51" s="14">
        <f>'Uitgangspunten debiet+ vrachten'!$E$42*G87/1000</f>
        <v>1.4632312499999998</v>
      </c>
      <c r="U51" s="14">
        <f>'Uitgangspunten debiet+ vrachten'!$E$43*G87/1000</f>
        <v>2.8275000000000005E-2</v>
      </c>
      <c r="V51" s="15">
        <f>'Uitgangspunten debiet+ vrachten'!$E$44*G87/1000</f>
        <v>2.1206249999999999E-2</v>
      </c>
    </row>
    <row r="52" spans="1:22" x14ac:dyDescent="0.3">
      <c r="A52" s="170">
        <v>2030</v>
      </c>
      <c r="B52" s="3"/>
      <c r="C52" s="16">
        <f>(C88*'Uitgangspunten debiet+ vrachten'!$F$26+'Uitgangspunten debiet+ vrachten'!$E$26*'ZW Vrachten door de tijd'!D88)/1000</f>
        <v>266.10262499999999</v>
      </c>
      <c r="D52" s="14">
        <f>('Uitgangspunten debiet+ vrachten'!$E$40*D88+'Uitgangspunten debiet+ vrachten'!$F$40*C88)/1000</f>
        <v>39.784694999999999</v>
      </c>
      <c r="E52" s="14">
        <f>('Uitgangspunten debiet+ vrachten'!$E$42*D88+'Uitgangspunten debiet+ vrachten'!$F$42*C88)/1000</f>
        <v>23.870817000000002</v>
      </c>
      <c r="F52" s="14">
        <f>('Uitgangspunten debiet+ vrachten'!$E$43*D88+'Uitgangspunten debiet+ vrachten'!$F$43*C88)/1000</f>
        <v>0.26798</v>
      </c>
      <c r="G52" s="15">
        <f>('Uitgangspunten debiet+ vrachten'!$E$44*D88+'Uitgangspunten debiet+ vrachten'!$F$44*C88)/1000</f>
        <v>0.40024500000000007</v>
      </c>
      <c r="H52" s="13">
        <f>E88*'Uitgangspunten debiet+ vrachten'!$E$26/1000</f>
        <v>0.74731124999999998</v>
      </c>
      <c r="I52" s="14">
        <f>'Uitgangspunten debiet+ vrachten'!$E$40*E88/1000</f>
        <v>0.35077875000000003</v>
      </c>
      <c r="J52" s="14">
        <f>'Uitgangspunten debiet+ vrachten'!$E$42*E88/1000</f>
        <v>0.21046724999999997</v>
      </c>
      <c r="K52" s="14">
        <f>'Uitgangspunten debiet+ vrachten'!$E$43*E88/1000</f>
        <v>4.0670000000000012E-3</v>
      </c>
      <c r="L52" s="15">
        <f>'Uitgangspunten debiet+ vrachten'!$E$44*E88/1000</f>
        <v>3.0502499999999996E-3</v>
      </c>
      <c r="M52" s="14">
        <f>F88*'Uitgangspunten debiet+ vrachten'!$E$26/1000</f>
        <v>8.0068511250000007</v>
      </c>
      <c r="N52" s="14">
        <f>'Uitgangspunten debiet+ vrachten'!$E$40*F88/1000</f>
        <v>3.7583178750000008</v>
      </c>
      <c r="O52" s="14">
        <f>'Uitgangspunten debiet+ vrachten'!$E$42*F88/1000</f>
        <v>2.2549907250000003</v>
      </c>
      <c r="P52" s="14">
        <f>'Uitgangspunten debiet+ vrachten'!$E$43*F88/1000</f>
        <v>4.3574700000000015E-2</v>
      </c>
      <c r="Q52" s="15">
        <f>'Uitgangspunten debiet+ vrachten'!$E$44*F88/1000</f>
        <v>3.2681024999999995E-2</v>
      </c>
      <c r="R52" s="14">
        <f>G88*'Uitgangspunten debiet+ vrachten'!$E$26/1000</f>
        <v>5.1955312500000002</v>
      </c>
      <c r="S52" s="14">
        <f>'Uitgangspunten debiet+ vrachten'!$E$40*G88/1000</f>
        <v>2.43871875</v>
      </c>
      <c r="T52" s="14">
        <f>'Uitgangspunten debiet+ vrachten'!$E$42*G88/1000</f>
        <v>1.4632312499999998</v>
      </c>
      <c r="U52" s="14">
        <f>'Uitgangspunten debiet+ vrachten'!$E$43*G88/1000</f>
        <v>2.8275000000000005E-2</v>
      </c>
      <c r="V52" s="15">
        <f>'Uitgangspunten debiet+ vrachten'!$E$44*G88/1000</f>
        <v>2.1206249999999999E-2</v>
      </c>
    </row>
    <row r="53" spans="1:22" x14ac:dyDescent="0.3">
      <c r="A53" s="170">
        <v>2031</v>
      </c>
      <c r="B53" s="3"/>
      <c r="C53" s="16">
        <f>(C89*'Uitgangspunten debiet+ vrachten'!$F$26+'Uitgangspunten debiet+ vrachten'!$E$26*'ZW Vrachten door de tijd'!D89)/1000</f>
        <v>266.10262499999999</v>
      </c>
      <c r="D53" s="14">
        <f>('Uitgangspunten debiet+ vrachten'!$E$40*D89+'Uitgangspunten debiet+ vrachten'!$F$40*C89)/1000</f>
        <v>39.784694999999999</v>
      </c>
      <c r="E53" s="14">
        <f>('Uitgangspunten debiet+ vrachten'!$E$42*D89+'Uitgangspunten debiet+ vrachten'!$F$42*C89)/1000</f>
        <v>23.870817000000002</v>
      </c>
      <c r="F53" s="14">
        <f>('Uitgangspunten debiet+ vrachten'!$E$43*D89+'Uitgangspunten debiet+ vrachten'!$F$43*C89)/1000</f>
        <v>0.26798</v>
      </c>
      <c r="G53" s="15">
        <f>('Uitgangspunten debiet+ vrachten'!$E$44*D89+'Uitgangspunten debiet+ vrachten'!$F$44*C89)/1000</f>
        <v>0.40024500000000007</v>
      </c>
      <c r="H53" s="13">
        <f>E89*'Uitgangspunten debiet+ vrachten'!$E$26/1000</f>
        <v>0.74731124999999998</v>
      </c>
      <c r="I53" s="14">
        <f>'Uitgangspunten debiet+ vrachten'!$E$40*E89/1000</f>
        <v>0.35077875000000003</v>
      </c>
      <c r="J53" s="14">
        <f>'Uitgangspunten debiet+ vrachten'!$E$42*E89/1000</f>
        <v>0.21046724999999997</v>
      </c>
      <c r="K53" s="14">
        <f>'Uitgangspunten debiet+ vrachten'!$E$43*E89/1000</f>
        <v>4.0670000000000012E-3</v>
      </c>
      <c r="L53" s="15">
        <f>'Uitgangspunten debiet+ vrachten'!$E$44*E89/1000</f>
        <v>3.0502499999999996E-3</v>
      </c>
      <c r="M53" s="14">
        <f>F89*'Uitgangspunten debiet+ vrachten'!$E$26/1000</f>
        <v>8.0068511250000007</v>
      </c>
      <c r="N53" s="14">
        <f>'Uitgangspunten debiet+ vrachten'!$E$40*F89/1000</f>
        <v>3.7583178750000008</v>
      </c>
      <c r="O53" s="14">
        <f>'Uitgangspunten debiet+ vrachten'!$E$42*F89/1000</f>
        <v>2.2549907250000003</v>
      </c>
      <c r="P53" s="14">
        <f>'Uitgangspunten debiet+ vrachten'!$E$43*F89/1000</f>
        <v>4.3574700000000015E-2</v>
      </c>
      <c r="Q53" s="15">
        <f>'Uitgangspunten debiet+ vrachten'!$E$44*F89/1000</f>
        <v>3.2681024999999995E-2</v>
      </c>
      <c r="R53" s="14">
        <f>G89*'Uitgangspunten debiet+ vrachten'!$E$26/1000</f>
        <v>5.1955312500000002</v>
      </c>
      <c r="S53" s="14">
        <f>'Uitgangspunten debiet+ vrachten'!$E$40*G89/1000</f>
        <v>2.43871875</v>
      </c>
      <c r="T53" s="14">
        <f>'Uitgangspunten debiet+ vrachten'!$E$42*G89/1000</f>
        <v>1.4632312499999998</v>
      </c>
      <c r="U53" s="14">
        <f>'Uitgangspunten debiet+ vrachten'!$E$43*G89/1000</f>
        <v>2.8275000000000005E-2</v>
      </c>
      <c r="V53" s="15">
        <f>'Uitgangspunten debiet+ vrachten'!$E$44*G89/1000</f>
        <v>2.1206249999999999E-2</v>
      </c>
    </row>
    <row r="54" spans="1:22" x14ac:dyDescent="0.3">
      <c r="A54" s="170">
        <v>2032</v>
      </c>
      <c r="B54" s="3"/>
      <c r="C54" s="16">
        <f>(C90*'Uitgangspunten debiet+ vrachten'!$F$26+'Uitgangspunten debiet+ vrachten'!$E$26*'ZW Vrachten door de tijd'!D90)/1000</f>
        <v>266.10262499999999</v>
      </c>
      <c r="D54" s="14">
        <f>('Uitgangspunten debiet+ vrachten'!$E$40*D90+'Uitgangspunten debiet+ vrachten'!$F$40*C90)/1000</f>
        <v>39.784694999999999</v>
      </c>
      <c r="E54" s="14">
        <f>('Uitgangspunten debiet+ vrachten'!$E$42*D90+'Uitgangspunten debiet+ vrachten'!$F$42*C90)/1000</f>
        <v>23.870817000000002</v>
      </c>
      <c r="F54" s="14">
        <f>('Uitgangspunten debiet+ vrachten'!$E$43*D90+'Uitgangspunten debiet+ vrachten'!$F$43*C90)/1000</f>
        <v>0.26798</v>
      </c>
      <c r="G54" s="15">
        <f>('Uitgangspunten debiet+ vrachten'!$E$44*D90+'Uitgangspunten debiet+ vrachten'!$F$44*C90)/1000</f>
        <v>0.40024500000000007</v>
      </c>
      <c r="H54" s="13">
        <f>E90*'Uitgangspunten debiet+ vrachten'!$E$26/1000</f>
        <v>0.74731124999999998</v>
      </c>
      <c r="I54" s="14">
        <f>'Uitgangspunten debiet+ vrachten'!$E$40*E90/1000</f>
        <v>0.35077875000000003</v>
      </c>
      <c r="J54" s="14">
        <f>'Uitgangspunten debiet+ vrachten'!$E$42*E90/1000</f>
        <v>0.21046724999999997</v>
      </c>
      <c r="K54" s="14">
        <f>'Uitgangspunten debiet+ vrachten'!$E$43*E90/1000</f>
        <v>4.0670000000000012E-3</v>
      </c>
      <c r="L54" s="15">
        <f>'Uitgangspunten debiet+ vrachten'!$E$44*E90/1000</f>
        <v>3.0502499999999996E-3</v>
      </c>
      <c r="M54" s="14">
        <f>F90*'Uitgangspunten debiet+ vrachten'!$E$26/1000</f>
        <v>8.0068511250000007</v>
      </c>
      <c r="N54" s="14">
        <f>'Uitgangspunten debiet+ vrachten'!$E$40*F90/1000</f>
        <v>3.7583178750000008</v>
      </c>
      <c r="O54" s="14">
        <f>'Uitgangspunten debiet+ vrachten'!$E$42*F90/1000</f>
        <v>2.2549907250000003</v>
      </c>
      <c r="P54" s="14">
        <f>'Uitgangspunten debiet+ vrachten'!$E$43*F90/1000</f>
        <v>4.3574700000000015E-2</v>
      </c>
      <c r="Q54" s="15">
        <f>'Uitgangspunten debiet+ vrachten'!$E$44*F90/1000</f>
        <v>3.2681024999999995E-2</v>
      </c>
      <c r="R54" s="14">
        <f>G90*'Uitgangspunten debiet+ vrachten'!$E$26/1000</f>
        <v>5.1955312500000002</v>
      </c>
      <c r="S54" s="14">
        <f>'Uitgangspunten debiet+ vrachten'!$E$40*G90/1000</f>
        <v>2.43871875</v>
      </c>
      <c r="T54" s="14">
        <f>'Uitgangspunten debiet+ vrachten'!$E$42*G90/1000</f>
        <v>1.4632312499999998</v>
      </c>
      <c r="U54" s="14">
        <f>'Uitgangspunten debiet+ vrachten'!$E$43*G90/1000</f>
        <v>2.8275000000000005E-2</v>
      </c>
      <c r="V54" s="15">
        <f>'Uitgangspunten debiet+ vrachten'!$E$44*G90/1000</f>
        <v>2.1206249999999999E-2</v>
      </c>
    </row>
    <row r="55" spans="1:22" x14ac:dyDescent="0.3">
      <c r="A55" s="170">
        <v>2033</v>
      </c>
      <c r="B55" s="3"/>
      <c r="C55" s="16">
        <f>(C91*'Uitgangspunten debiet+ vrachten'!$F$26+'Uitgangspunten debiet+ vrachten'!$E$26*'ZW Vrachten door de tijd'!D91)/1000</f>
        <v>266.10262499999999</v>
      </c>
      <c r="D55" s="14">
        <f>('Uitgangspunten debiet+ vrachten'!$E$40*D91+'Uitgangspunten debiet+ vrachten'!$F$40*C91)/1000</f>
        <v>39.784694999999999</v>
      </c>
      <c r="E55" s="14">
        <f>('Uitgangspunten debiet+ vrachten'!$E$42*D91+'Uitgangspunten debiet+ vrachten'!$F$42*C91)/1000</f>
        <v>23.870817000000002</v>
      </c>
      <c r="F55" s="14">
        <f>('Uitgangspunten debiet+ vrachten'!$E$43*D91+'Uitgangspunten debiet+ vrachten'!$F$43*C91)/1000</f>
        <v>0.26798</v>
      </c>
      <c r="G55" s="15">
        <f>('Uitgangspunten debiet+ vrachten'!$E$44*D91+'Uitgangspunten debiet+ vrachten'!$F$44*C91)/1000</f>
        <v>0.40024500000000007</v>
      </c>
      <c r="H55" s="13">
        <f>E91*'Uitgangspunten debiet+ vrachten'!$E$26/1000</f>
        <v>0.74731124999999998</v>
      </c>
      <c r="I55" s="14">
        <f>'Uitgangspunten debiet+ vrachten'!$E$40*E91/1000</f>
        <v>0.35077875000000003</v>
      </c>
      <c r="J55" s="14">
        <f>'Uitgangspunten debiet+ vrachten'!$E$42*E91/1000</f>
        <v>0.21046724999999997</v>
      </c>
      <c r="K55" s="14">
        <f>'Uitgangspunten debiet+ vrachten'!$E$43*E91/1000</f>
        <v>4.0670000000000012E-3</v>
      </c>
      <c r="L55" s="15">
        <f>'Uitgangspunten debiet+ vrachten'!$E$44*E91/1000</f>
        <v>3.0502499999999996E-3</v>
      </c>
      <c r="M55" s="14">
        <f>F91*'Uitgangspunten debiet+ vrachten'!$E$26/1000</f>
        <v>8.0068511250000007</v>
      </c>
      <c r="N55" s="14">
        <f>'Uitgangspunten debiet+ vrachten'!$E$40*F91/1000</f>
        <v>3.7583178750000008</v>
      </c>
      <c r="O55" s="14">
        <f>'Uitgangspunten debiet+ vrachten'!$E$42*F91/1000</f>
        <v>2.2549907250000003</v>
      </c>
      <c r="P55" s="14">
        <f>'Uitgangspunten debiet+ vrachten'!$E$43*F91/1000</f>
        <v>4.3574700000000015E-2</v>
      </c>
      <c r="Q55" s="15">
        <f>'Uitgangspunten debiet+ vrachten'!$E$44*F91/1000</f>
        <v>3.2681024999999995E-2</v>
      </c>
      <c r="R55" s="14">
        <f>G91*'Uitgangspunten debiet+ vrachten'!$E$26/1000</f>
        <v>5.1955312500000002</v>
      </c>
      <c r="S55" s="14">
        <f>'Uitgangspunten debiet+ vrachten'!$E$40*G91/1000</f>
        <v>2.43871875</v>
      </c>
      <c r="T55" s="14">
        <f>'Uitgangspunten debiet+ vrachten'!$E$42*G91/1000</f>
        <v>1.4632312499999998</v>
      </c>
      <c r="U55" s="14">
        <f>'Uitgangspunten debiet+ vrachten'!$E$43*G91/1000</f>
        <v>2.8275000000000005E-2</v>
      </c>
      <c r="V55" s="15">
        <f>'Uitgangspunten debiet+ vrachten'!$E$44*G91/1000</f>
        <v>2.1206249999999999E-2</v>
      </c>
    </row>
    <row r="56" spans="1:22" x14ac:dyDescent="0.3">
      <c r="A56" s="170">
        <v>2034</v>
      </c>
      <c r="B56" s="3"/>
      <c r="C56" s="16">
        <f>(C92*'Uitgangspunten debiet+ vrachten'!$F$26+'Uitgangspunten debiet+ vrachten'!$E$26*'ZW Vrachten door de tijd'!D92)/1000</f>
        <v>266.10262499999999</v>
      </c>
      <c r="D56" s="14">
        <f>('Uitgangspunten debiet+ vrachten'!$E$40*D92+'Uitgangspunten debiet+ vrachten'!$F$40*C92)/1000</f>
        <v>39.784694999999999</v>
      </c>
      <c r="E56" s="14">
        <f>('Uitgangspunten debiet+ vrachten'!$E$42*D92+'Uitgangspunten debiet+ vrachten'!$F$42*C92)/1000</f>
        <v>23.870817000000002</v>
      </c>
      <c r="F56" s="14">
        <f>('Uitgangspunten debiet+ vrachten'!$E$43*D92+'Uitgangspunten debiet+ vrachten'!$F$43*C92)/1000</f>
        <v>0.26798</v>
      </c>
      <c r="G56" s="15">
        <f>('Uitgangspunten debiet+ vrachten'!$E$44*D92+'Uitgangspunten debiet+ vrachten'!$F$44*C92)/1000</f>
        <v>0.40024500000000007</v>
      </c>
      <c r="H56" s="13">
        <f>E92*'Uitgangspunten debiet+ vrachten'!$E$26/1000</f>
        <v>0.74731124999999998</v>
      </c>
      <c r="I56" s="14">
        <f>'Uitgangspunten debiet+ vrachten'!$E$40*E92/1000</f>
        <v>0.35077875000000003</v>
      </c>
      <c r="J56" s="14">
        <f>'Uitgangspunten debiet+ vrachten'!$E$42*E92/1000</f>
        <v>0.21046724999999997</v>
      </c>
      <c r="K56" s="14">
        <f>'Uitgangspunten debiet+ vrachten'!$E$43*E92/1000</f>
        <v>4.0670000000000012E-3</v>
      </c>
      <c r="L56" s="15">
        <f>'Uitgangspunten debiet+ vrachten'!$E$44*E92/1000</f>
        <v>3.0502499999999996E-3</v>
      </c>
      <c r="M56" s="14">
        <f>F92*'Uitgangspunten debiet+ vrachten'!$E$26/1000</f>
        <v>8.0068511250000007</v>
      </c>
      <c r="N56" s="14">
        <f>'Uitgangspunten debiet+ vrachten'!$E$40*F92/1000</f>
        <v>3.7583178750000008</v>
      </c>
      <c r="O56" s="14">
        <f>'Uitgangspunten debiet+ vrachten'!$E$42*F92/1000</f>
        <v>2.2549907250000003</v>
      </c>
      <c r="P56" s="14">
        <f>'Uitgangspunten debiet+ vrachten'!$E$43*F92/1000</f>
        <v>4.3574700000000015E-2</v>
      </c>
      <c r="Q56" s="15">
        <f>'Uitgangspunten debiet+ vrachten'!$E$44*F92/1000</f>
        <v>3.2681024999999995E-2</v>
      </c>
      <c r="R56" s="14">
        <f>G92*'Uitgangspunten debiet+ vrachten'!$E$26/1000</f>
        <v>5.1955312500000002</v>
      </c>
      <c r="S56" s="14">
        <f>'Uitgangspunten debiet+ vrachten'!$E$40*G92/1000</f>
        <v>2.43871875</v>
      </c>
      <c r="T56" s="14">
        <f>'Uitgangspunten debiet+ vrachten'!$E$42*G92/1000</f>
        <v>1.4632312499999998</v>
      </c>
      <c r="U56" s="14">
        <f>'Uitgangspunten debiet+ vrachten'!$E$43*G92/1000</f>
        <v>2.8275000000000005E-2</v>
      </c>
      <c r="V56" s="15">
        <f>'Uitgangspunten debiet+ vrachten'!$E$44*G92/1000</f>
        <v>2.1206249999999999E-2</v>
      </c>
    </row>
    <row r="57" spans="1:22" x14ac:dyDescent="0.3">
      <c r="A57" s="170">
        <v>2035</v>
      </c>
      <c r="B57" s="3"/>
      <c r="C57" s="16">
        <f>(C93*'Uitgangspunten debiet+ vrachten'!$F$26+'Uitgangspunten debiet+ vrachten'!$E$26*'ZW Vrachten door de tijd'!D93)/1000</f>
        <v>266.10262499999999</v>
      </c>
      <c r="D57" s="14">
        <f>('Uitgangspunten debiet+ vrachten'!$E$40*D93+'Uitgangspunten debiet+ vrachten'!$F$40*C93)/1000</f>
        <v>39.784694999999999</v>
      </c>
      <c r="E57" s="14">
        <f>('Uitgangspunten debiet+ vrachten'!$E$42*D93+'Uitgangspunten debiet+ vrachten'!$F$42*C93)/1000</f>
        <v>23.870817000000002</v>
      </c>
      <c r="F57" s="14">
        <f>('Uitgangspunten debiet+ vrachten'!$E$43*D93+'Uitgangspunten debiet+ vrachten'!$F$43*C93)/1000</f>
        <v>0.26798</v>
      </c>
      <c r="G57" s="15">
        <f>('Uitgangspunten debiet+ vrachten'!$E$44*D93+'Uitgangspunten debiet+ vrachten'!$F$44*C93)/1000</f>
        <v>0.40024500000000007</v>
      </c>
      <c r="H57" s="13">
        <f>E93*'Uitgangspunten debiet+ vrachten'!$E$26/1000</f>
        <v>0.74731124999999998</v>
      </c>
      <c r="I57" s="14">
        <f>'Uitgangspunten debiet+ vrachten'!$E$40*E93/1000</f>
        <v>0.35077875000000003</v>
      </c>
      <c r="J57" s="14">
        <f>'Uitgangspunten debiet+ vrachten'!$E$42*E93/1000</f>
        <v>0.21046724999999997</v>
      </c>
      <c r="K57" s="14">
        <f>'Uitgangspunten debiet+ vrachten'!$E$43*E93/1000</f>
        <v>4.0670000000000012E-3</v>
      </c>
      <c r="L57" s="15">
        <f>'Uitgangspunten debiet+ vrachten'!$E$44*E93/1000</f>
        <v>3.0502499999999996E-3</v>
      </c>
      <c r="M57" s="14">
        <f>F93*'Uitgangspunten debiet+ vrachten'!$E$26/1000</f>
        <v>8.0068511250000007</v>
      </c>
      <c r="N57" s="14">
        <f>'Uitgangspunten debiet+ vrachten'!$E$40*F93/1000</f>
        <v>3.7583178750000008</v>
      </c>
      <c r="O57" s="14">
        <f>'Uitgangspunten debiet+ vrachten'!$E$42*F93/1000</f>
        <v>2.2549907250000003</v>
      </c>
      <c r="P57" s="14">
        <f>'Uitgangspunten debiet+ vrachten'!$E$43*F93/1000</f>
        <v>4.3574700000000015E-2</v>
      </c>
      <c r="Q57" s="15">
        <f>'Uitgangspunten debiet+ vrachten'!$E$44*F93/1000</f>
        <v>3.2681024999999995E-2</v>
      </c>
      <c r="R57" s="14">
        <f>G93*'Uitgangspunten debiet+ vrachten'!$E$26/1000</f>
        <v>5.1955312500000002</v>
      </c>
      <c r="S57" s="14">
        <f>'Uitgangspunten debiet+ vrachten'!$E$40*G93/1000</f>
        <v>2.43871875</v>
      </c>
      <c r="T57" s="14">
        <f>'Uitgangspunten debiet+ vrachten'!$E$42*G93/1000</f>
        <v>1.4632312499999998</v>
      </c>
      <c r="U57" s="14">
        <f>'Uitgangspunten debiet+ vrachten'!$E$43*G93/1000</f>
        <v>2.8275000000000005E-2</v>
      </c>
      <c r="V57" s="15">
        <f>'Uitgangspunten debiet+ vrachten'!$E$44*G93/1000</f>
        <v>2.1206249999999999E-2</v>
      </c>
    </row>
    <row r="58" spans="1:22" x14ac:dyDescent="0.3">
      <c r="A58" s="170">
        <v>2036</v>
      </c>
      <c r="B58" s="3"/>
      <c r="C58" s="16">
        <f>(C94*'Uitgangspunten debiet+ vrachten'!$F$26+'Uitgangspunten debiet+ vrachten'!$E$26*'ZW Vrachten door de tijd'!D94)/1000</f>
        <v>266.10262499999999</v>
      </c>
      <c r="D58" s="14">
        <f>('Uitgangspunten debiet+ vrachten'!$E$40*D94+'Uitgangspunten debiet+ vrachten'!$F$40*C94)/1000</f>
        <v>39.784694999999999</v>
      </c>
      <c r="E58" s="14">
        <f>('Uitgangspunten debiet+ vrachten'!$E$42*D94+'Uitgangspunten debiet+ vrachten'!$F$42*C94)/1000</f>
        <v>23.870817000000002</v>
      </c>
      <c r="F58" s="14">
        <f>('Uitgangspunten debiet+ vrachten'!$E$43*D94+'Uitgangspunten debiet+ vrachten'!$F$43*C94)/1000</f>
        <v>0.26798</v>
      </c>
      <c r="G58" s="15">
        <f>('Uitgangspunten debiet+ vrachten'!$E$44*D94+'Uitgangspunten debiet+ vrachten'!$F$44*C94)/1000</f>
        <v>0.40024500000000007</v>
      </c>
      <c r="H58" s="13">
        <f>E94*'Uitgangspunten debiet+ vrachten'!$E$26/1000</f>
        <v>0.74731124999999998</v>
      </c>
      <c r="I58" s="14">
        <f>'Uitgangspunten debiet+ vrachten'!$E$40*E94/1000</f>
        <v>0.35077875000000003</v>
      </c>
      <c r="J58" s="14">
        <f>'Uitgangspunten debiet+ vrachten'!$E$42*E94/1000</f>
        <v>0.21046724999999997</v>
      </c>
      <c r="K58" s="14">
        <f>'Uitgangspunten debiet+ vrachten'!$E$43*E94/1000</f>
        <v>4.0670000000000012E-3</v>
      </c>
      <c r="L58" s="15">
        <f>'Uitgangspunten debiet+ vrachten'!$E$44*E94/1000</f>
        <v>3.0502499999999996E-3</v>
      </c>
      <c r="M58" s="14">
        <f>F94*'Uitgangspunten debiet+ vrachten'!$E$26/1000</f>
        <v>8.0068511250000007</v>
      </c>
      <c r="N58" s="14">
        <f>'Uitgangspunten debiet+ vrachten'!$E$40*F94/1000</f>
        <v>3.7583178750000008</v>
      </c>
      <c r="O58" s="14">
        <f>'Uitgangspunten debiet+ vrachten'!$E$42*F94/1000</f>
        <v>2.2549907250000003</v>
      </c>
      <c r="P58" s="14">
        <f>'Uitgangspunten debiet+ vrachten'!$E$43*F94/1000</f>
        <v>4.3574700000000015E-2</v>
      </c>
      <c r="Q58" s="15">
        <f>'Uitgangspunten debiet+ vrachten'!$E$44*F94/1000</f>
        <v>3.2681024999999995E-2</v>
      </c>
      <c r="R58" s="14">
        <f>G94*'Uitgangspunten debiet+ vrachten'!$E$26/1000</f>
        <v>5.1955312500000002</v>
      </c>
      <c r="S58" s="14">
        <f>'Uitgangspunten debiet+ vrachten'!$E$40*G94/1000</f>
        <v>2.43871875</v>
      </c>
      <c r="T58" s="14">
        <f>'Uitgangspunten debiet+ vrachten'!$E$42*G94/1000</f>
        <v>1.4632312499999998</v>
      </c>
      <c r="U58" s="14">
        <f>'Uitgangspunten debiet+ vrachten'!$E$43*G94/1000</f>
        <v>2.8275000000000005E-2</v>
      </c>
      <c r="V58" s="15">
        <f>'Uitgangspunten debiet+ vrachten'!$E$44*G94/1000</f>
        <v>2.1206249999999999E-2</v>
      </c>
    </row>
    <row r="59" spans="1:22" x14ac:dyDescent="0.3">
      <c r="A59" s="170">
        <v>2037</v>
      </c>
      <c r="B59" s="3"/>
      <c r="C59" s="16">
        <f>(C95*'Uitgangspunten debiet+ vrachten'!$F$26+'Uitgangspunten debiet+ vrachten'!$E$26*'ZW Vrachten door de tijd'!D95)/1000</f>
        <v>266.10262499999999</v>
      </c>
      <c r="D59" s="14">
        <f>('Uitgangspunten debiet+ vrachten'!$E$40*D95+'Uitgangspunten debiet+ vrachten'!$F$40*C95)/1000</f>
        <v>39.784694999999999</v>
      </c>
      <c r="E59" s="14">
        <f>('Uitgangspunten debiet+ vrachten'!$E$42*D95+'Uitgangspunten debiet+ vrachten'!$F$42*C95)/1000</f>
        <v>23.870817000000002</v>
      </c>
      <c r="F59" s="14">
        <f>('Uitgangspunten debiet+ vrachten'!$E$43*D95+'Uitgangspunten debiet+ vrachten'!$F$43*C95)/1000</f>
        <v>0.26798</v>
      </c>
      <c r="G59" s="15">
        <f>('Uitgangspunten debiet+ vrachten'!$E$44*D95+'Uitgangspunten debiet+ vrachten'!$F$44*C95)/1000</f>
        <v>0.40024500000000007</v>
      </c>
      <c r="H59" s="13">
        <f>E95*'Uitgangspunten debiet+ vrachten'!$E$26/1000</f>
        <v>0.74731124999999998</v>
      </c>
      <c r="I59" s="14">
        <f>'Uitgangspunten debiet+ vrachten'!$E$40*E95/1000</f>
        <v>0.35077875000000003</v>
      </c>
      <c r="J59" s="14">
        <f>'Uitgangspunten debiet+ vrachten'!$E$42*E95/1000</f>
        <v>0.21046724999999997</v>
      </c>
      <c r="K59" s="14">
        <f>'Uitgangspunten debiet+ vrachten'!$E$43*E95/1000</f>
        <v>4.0670000000000012E-3</v>
      </c>
      <c r="L59" s="15">
        <f>'Uitgangspunten debiet+ vrachten'!$E$44*E95/1000</f>
        <v>3.0502499999999996E-3</v>
      </c>
      <c r="M59" s="14">
        <f>F95*'Uitgangspunten debiet+ vrachten'!$E$26/1000</f>
        <v>8.0068511250000007</v>
      </c>
      <c r="N59" s="14">
        <f>'Uitgangspunten debiet+ vrachten'!$E$40*F95/1000</f>
        <v>3.7583178750000008</v>
      </c>
      <c r="O59" s="14">
        <f>'Uitgangspunten debiet+ vrachten'!$E$42*F95/1000</f>
        <v>2.2549907250000003</v>
      </c>
      <c r="P59" s="14">
        <f>'Uitgangspunten debiet+ vrachten'!$E$43*F95/1000</f>
        <v>4.3574700000000015E-2</v>
      </c>
      <c r="Q59" s="15">
        <f>'Uitgangspunten debiet+ vrachten'!$E$44*F95/1000</f>
        <v>3.2681024999999995E-2</v>
      </c>
      <c r="R59" s="14">
        <f>G95*'Uitgangspunten debiet+ vrachten'!$E$26/1000</f>
        <v>5.1955312500000002</v>
      </c>
      <c r="S59" s="14">
        <f>'Uitgangspunten debiet+ vrachten'!$E$40*G95/1000</f>
        <v>2.43871875</v>
      </c>
      <c r="T59" s="14">
        <f>'Uitgangspunten debiet+ vrachten'!$E$42*G95/1000</f>
        <v>1.4632312499999998</v>
      </c>
      <c r="U59" s="14">
        <f>'Uitgangspunten debiet+ vrachten'!$E$43*G95/1000</f>
        <v>2.8275000000000005E-2</v>
      </c>
      <c r="V59" s="15">
        <f>'Uitgangspunten debiet+ vrachten'!$E$44*G95/1000</f>
        <v>2.1206249999999999E-2</v>
      </c>
    </row>
    <row r="60" spans="1:22" x14ac:dyDescent="0.3">
      <c r="A60" s="170">
        <v>2038</v>
      </c>
      <c r="B60" s="3"/>
      <c r="C60" s="16">
        <f>(C96*'Uitgangspunten debiet+ vrachten'!$F$26+'Uitgangspunten debiet+ vrachten'!$E$26*'ZW Vrachten door de tijd'!D96)/1000</f>
        <v>266.10262499999999</v>
      </c>
      <c r="D60" s="14">
        <f>('Uitgangspunten debiet+ vrachten'!$E$40*D96+'Uitgangspunten debiet+ vrachten'!$F$40*C96)/1000</f>
        <v>39.784694999999999</v>
      </c>
      <c r="E60" s="14">
        <f>('Uitgangspunten debiet+ vrachten'!$E$42*D96+'Uitgangspunten debiet+ vrachten'!$F$42*C96)/1000</f>
        <v>23.870817000000002</v>
      </c>
      <c r="F60" s="14">
        <f>('Uitgangspunten debiet+ vrachten'!$E$43*D96+'Uitgangspunten debiet+ vrachten'!$F$43*C96)/1000</f>
        <v>0.26798</v>
      </c>
      <c r="G60" s="15">
        <f>('Uitgangspunten debiet+ vrachten'!$E$44*D96+'Uitgangspunten debiet+ vrachten'!$F$44*C96)/1000</f>
        <v>0.40024500000000007</v>
      </c>
      <c r="H60" s="13">
        <f>E96*'Uitgangspunten debiet+ vrachten'!$E$26/1000</f>
        <v>0.74731124999999998</v>
      </c>
      <c r="I60" s="14">
        <f>'Uitgangspunten debiet+ vrachten'!$E$40*E96/1000</f>
        <v>0.35077875000000003</v>
      </c>
      <c r="J60" s="14">
        <f>'Uitgangspunten debiet+ vrachten'!$E$42*E96/1000</f>
        <v>0.21046724999999997</v>
      </c>
      <c r="K60" s="14">
        <f>'Uitgangspunten debiet+ vrachten'!$E$43*E96/1000</f>
        <v>4.0670000000000012E-3</v>
      </c>
      <c r="L60" s="15">
        <f>'Uitgangspunten debiet+ vrachten'!$E$44*E96/1000</f>
        <v>3.0502499999999996E-3</v>
      </c>
      <c r="M60" s="14">
        <f>F96*'Uitgangspunten debiet+ vrachten'!$E$26/1000</f>
        <v>8.0068511250000007</v>
      </c>
      <c r="N60" s="14">
        <f>'Uitgangspunten debiet+ vrachten'!$E$40*F96/1000</f>
        <v>3.7583178750000008</v>
      </c>
      <c r="O60" s="14">
        <f>'Uitgangspunten debiet+ vrachten'!$E$42*F96/1000</f>
        <v>2.2549907250000003</v>
      </c>
      <c r="P60" s="14">
        <f>'Uitgangspunten debiet+ vrachten'!$E$43*F96/1000</f>
        <v>4.3574700000000015E-2</v>
      </c>
      <c r="Q60" s="15">
        <f>'Uitgangspunten debiet+ vrachten'!$E$44*F96/1000</f>
        <v>3.2681024999999995E-2</v>
      </c>
      <c r="R60" s="14">
        <f>G96*'Uitgangspunten debiet+ vrachten'!$E$26/1000</f>
        <v>5.1955312500000002</v>
      </c>
      <c r="S60" s="14">
        <f>'Uitgangspunten debiet+ vrachten'!$E$40*G96/1000</f>
        <v>2.43871875</v>
      </c>
      <c r="T60" s="14">
        <f>'Uitgangspunten debiet+ vrachten'!$E$42*G96/1000</f>
        <v>1.4632312499999998</v>
      </c>
      <c r="U60" s="14">
        <f>'Uitgangspunten debiet+ vrachten'!$E$43*G96/1000</f>
        <v>2.8275000000000005E-2</v>
      </c>
      <c r="V60" s="15">
        <f>'Uitgangspunten debiet+ vrachten'!$E$44*G96/1000</f>
        <v>2.1206249999999999E-2</v>
      </c>
    </row>
    <row r="61" spans="1:22" x14ac:dyDescent="0.3">
      <c r="A61" s="170">
        <v>2039</v>
      </c>
      <c r="B61" s="3"/>
      <c r="C61" s="16">
        <f>(C97*'Uitgangspunten debiet+ vrachten'!$F$26+'Uitgangspunten debiet+ vrachten'!$E$26*'ZW Vrachten door de tijd'!D97)/1000</f>
        <v>266.10262499999999</v>
      </c>
      <c r="D61" s="14">
        <f>('Uitgangspunten debiet+ vrachten'!$E$40*D97+'Uitgangspunten debiet+ vrachten'!$F$40*C97)/1000</f>
        <v>39.784694999999999</v>
      </c>
      <c r="E61" s="14">
        <f>('Uitgangspunten debiet+ vrachten'!$E$42*D97+'Uitgangspunten debiet+ vrachten'!$F$42*C97)/1000</f>
        <v>23.870817000000002</v>
      </c>
      <c r="F61" s="14">
        <f>('Uitgangspunten debiet+ vrachten'!$E$43*D97+'Uitgangspunten debiet+ vrachten'!$F$43*C97)/1000</f>
        <v>0.26798</v>
      </c>
      <c r="G61" s="15">
        <f>('Uitgangspunten debiet+ vrachten'!$E$44*D97+'Uitgangspunten debiet+ vrachten'!$F$44*C97)/1000</f>
        <v>0.40024500000000007</v>
      </c>
      <c r="H61" s="13">
        <f>E97*'Uitgangspunten debiet+ vrachten'!$E$26/1000</f>
        <v>0.74731124999999998</v>
      </c>
      <c r="I61" s="14">
        <f>'Uitgangspunten debiet+ vrachten'!$E$40*E97/1000</f>
        <v>0.35077875000000003</v>
      </c>
      <c r="J61" s="14">
        <f>'Uitgangspunten debiet+ vrachten'!$E$42*E97/1000</f>
        <v>0.21046724999999997</v>
      </c>
      <c r="K61" s="14">
        <f>'Uitgangspunten debiet+ vrachten'!$E$43*E97/1000</f>
        <v>4.0670000000000012E-3</v>
      </c>
      <c r="L61" s="15">
        <f>'Uitgangspunten debiet+ vrachten'!$E$44*E97/1000</f>
        <v>3.0502499999999996E-3</v>
      </c>
      <c r="M61" s="14">
        <f>F97*'Uitgangspunten debiet+ vrachten'!$E$26/1000</f>
        <v>8.0068511250000007</v>
      </c>
      <c r="N61" s="14">
        <f>'Uitgangspunten debiet+ vrachten'!$E$40*F97/1000</f>
        <v>3.7583178750000008</v>
      </c>
      <c r="O61" s="14">
        <f>'Uitgangspunten debiet+ vrachten'!$E$42*F97/1000</f>
        <v>2.2549907250000003</v>
      </c>
      <c r="P61" s="14">
        <f>'Uitgangspunten debiet+ vrachten'!$E$43*F97/1000</f>
        <v>4.3574700000000015E-2</v>
      </c>
      <c r="Q61" s="15">
        <f>'Uitgangspunten debiet+ vrachten'!$E$44*F97/1000</f>
        <v>3.2681024999999995E-2</v>
      </c>
      <c r="R61" s="14">
        <f>G97*'Uitgangspunten debiet+ vrachten'!$E$26/1000</f>
        <v>5.1955312500000002</v>
      </c>
      <c r="S61" s="14">
        <f>'Uitgangspunten debiet+ vrachten'!$E$40*G97/1000</f>
        <v>2.43871875</v>
      </c>
      <c r="T61" s="14">
        <f>'Uitgangspunten debiet+ vrachten'!$E$42*G97/1000</f>
        <v>1.4632312499999998</v>
      </c>
      <c r="U61" s="14">
        <f>'Uitgangspunten debiet+ vrachten'!$E$43*G97/1000</f>
        <v>2.8275000000000005E-2</v>
      </c>
      <c r="V61" s="15">
        <f>'Uitgangspunten debiet+ vrachten'!$E$44*G97/1000</f>
        <v>2.1206249999999999E-2</v>
      </c>
    </row>
    <row r="62" spans="1:22" x14ac:dyDescent="0.3">
      <c r="A62" s="170">
        <v>2040</v>
      </c>
      <c r="B62" s="3"/>
      <c r="C62" s="16">
        <f>(C98*'Uitgangspunten debiet+ vrachten'!$F$26+'Uitgangspunten debiet+ vrachten'!$E$26*'ZW Vrachten door de tijd'!D98)/1000</f>
        <v>266.10262499999999</v>
      </c>
      <c r="D62" s="14">
        <f>('Uitgangspunten debiet+ vrachten'!$E$40*D98+'Uitgangspunten debiet+ vrachten'!$F$40*C98)/1000</f>
        <v>39.784694999999999</v>
      </c>
      <c r="E62" s="14">
        <f>('Uitgangspunten debiet+ vrachten'!$E$42*D98+'Uitgangspunten debiet+ vrachten'!$F$42*C98)/1000</f>
        <v>23.870817000000002</v>
      </c>
      <c r="F62" s="14">
        <f>('Uitgangspunten debiet+ vrachten'!$E$43*D98+'Uitgangspunten debiet+ vrachten'!$F$43*C98)/1000</f>
        <v>0.26798</v>
      </c>
      <c r="G62" s="15">
        <f>('Uitgangspunten debiet+ vrachten'!$E$44*D98+'Uitgangspunten debiet+ vrachten'!$F$44*C98)/1000</f>
        <v>0.40024500000000007</v>
      </c>
      <c r="H62" s="13">
        <f>E98*'Uitgangspunten debiet+ vrachten'!$E$26/1000</f>
        <v>0.74731124999999998</v>
      </c>
      <c r="I62" s="14">
        <f>'Uitgangspunten debiet+ vrachten'!$E$40*E98/1000</f>
        <v>0.35077875000000003</v>
      </c>
      <c r="J62" s="14">
        <f>'Uitgangspunten debiet+ vrachten'!$E$42*E98/1000</f>
        <v>0.21046724999999997</v>
      </c>
      <c r="K62" s="14">
        <f>'Uitgangspunten debiet+ vrachten'!$E$43*E98/1000</f>
        <v>4.0670000000000012E-3</v>
      </c>
      <c r="L62" s="15">
        <f>'Uitgangspunten debiet+ vrachten'!$E$44*E98/1000</f>
        <v>3.0502499999999996E-3</v>
      </c>
      <c r="M62" s="14">
        <f>F98*'Uitgangspunten debiet+ vrachten'!$E$26/1000</f>
        <v>8.0068511250000007</v>
      </c>
      <c r="N62" s="14">
        <f>'Uitgangspunten debiet+ vrachten'!$E$40*F98/1000</f>
        <v>3.7583178750000008</v>
      </c>
      <c r="O62" s="14">
        <f>'Uitgangspunten debiet+ vrachten'!$E$42*F98/1000</f>
        <v>2.2549907250000003</v>
      </c>
      <c r="P62" s="14">
        <f>'Uitgangspunten debiet+ vrachten'!$E$43*F98/1000</f>
        <v>4.3574700000000015E-2</v>
      </c>
      <c r="Q62" s="15">
        <f>'Uitgangspunten debiet+ vrachten'!$E$44*F98/1000</f>
        <v>3.2681024999999995E-2</v>
      </c>
      <c r="R62" s="14">
        <f>G98*'Uitgangspunten debiet+ vrachten'!$E$26/1000</f>
        <v>5.1955312500000002</v>
      </c>
      <c r="S62" s="14">
        <f>'Uitgangspunten debiet+ vrachten'!$E$40*G98/1000</f>
        <v>2.43871875</v>
      </c>
      <c r="T62" s="14">
        <f>'Uitgangspunten debiet+ vrachten'!$E$42*G98/1000</f>
        <v>1.4632312499999998</v>
      </c>
      <c r="U62" s="14">
        <f>'Uitgangspunten debiet+ vrachten'!$E$43*G98/1000</f>
        <v>2.8275000000000005E-2</v>
      </c>
      <c r="V62" s="15">
        <f>'Uitgangspunten debiet+ vrachten'!$E$44*G98/1000</f>
        <v>2.1206249999999999E-2</v>
      </c>
    </row>
    <row r="63" spans="1:22" x14ac:dyDescent="0.3">
      <c r="A63" s="170">
        <v>2041</v>
      </c>
      <c r="B63" s="3"/>
      <c r="C63" s="16">
        <f>(C99*'Uitgangspunten debiet+ vrachten'!$F$26+'Uitgangspunten debiet+ vrachten'!$E$26*'ZW Vrachten door de tijd'!D99)/1000</f>
        <v>266.10262499999999</v>
      </c>
      <c r="D63" s="14">
        <f>('Uitgangspunten debiet+ vrachten'!$E$40*D99+'Uitgangspunten debiet+ vrachten'!$F$40*C99)/1000</f>
        <v>39.784694999999999</v>
      </c>
      <c r="E63" s="14">
        <f>('Uitgangspunten debiet+ vrachten'!$E$42*D99+'Uitgangspunten debiet+ vrachten'!$F$42*C99)/1000</f>
        <v>23.870817000000002</v>
      </c>
      <c r="F63" s="14">
        <f>('Uitgangspunten debiet+ vrachten'!$E$43*D99+'Uitgangspunten debiet+ vrachten'!$F$43*C99)/1000</f>
        <v>0.26798</v>
      </c>
      <c r="G63" s="15">
        <f>('Uitgangspunten debiet+ vrachten'!$E$44*D99+'Uitgangspunten debiet+ vrachten'!$F$44*C99)/1000</f>
        <v>0.40024500000000007</v>
      </c>
      <c r="H63" s="13">
        <f>E99*'Uitgangspunten debiet+ vrachten'!$E$26/1000</f>
        <v>0.74731124999999998</v>
      </c>
      <c r="I63" s="14">
        <f>'Uitgangspunten debiet+ vrachten'!$E$40*E99/1000</f>
        <v>0.35077875000000003</v>
      </c>
      <c r="J63" s="14">
        <f>'Uitgangspunten debiet+ vrachten'!$E$42*E99/1000</f>
        <v>0.21046724999999997</v>
      </c>
      <c r="K63" s="14">
        <f>'Uitgangspunten debiet+ vrachten'!$E$43*E99/1000</f>
        <v>4.0670000000000012E-3</v>
      </c>
      <c r="L63" s="15">
        <f>'Uitgangspunten debiet+ vrachten'!$E$44*E99/1000</f>
        <v>3.0502499999999996E-3</v>
      </c>
      <c r="M63" s="14">
        <f>F99*'Uitgangspunten debiet+ vrachten'!$E$26/1000</f>
        <v>8.0068511250000007</v>
      </c>
      <c r="N63" s="14">
        <f>'Uitgangspunten debiet+ vrachten'!$E$40*F99/1000</f>
        <v>3.7583178750000008</v>
      </c>
      <c r="O63" s="14">
        <f>'Uitgangspunten debiet+ vrachten'!$E$42*F99/1000</f>
        <v>2.2549907250000003</v>
      </c>
      <c r="P63" s="14">
        <f>'Uitgangspunten debiet+ vrachten'!$E$43*F99/1000</f>
        <v>4.3574700000000015E-2</v>
      </c>
      <c r="Q63" s="15">
        <f>'Uitgangspunten debiet+ vrachten'!$E$44*F99/1000</f>
        <v>3.2681024999999995E-2</v>
      </c>
      <c r="R63" s="14">
        <f>G99*'Uitgangspunten debiet+ vrachten'!$E$26/1000</f>
        <v>5.1955312500000002</v>
      </c>
      <c r="S63" s="14">
        <f>'Uitgangspunten debiet+ vrachten'!$E$40*G99/1000</f>
        <v>2.43871875</v>
      </c>
      <c r="T63" s="14">
        <f>'Uitgangspunten debiet+ vrachten'!$E$42*G99/1000</f>
        <v>1.4632312499999998</v>
      </c>
      <c r="U63" s="14">
        <f>'Uitgangspunten debiet+ vrachten'!$E$43*G99/1000</f>
        <v>2.8275000000000005E-2</v>
      </c>
      <c r="V63" s="15">
        <f>'Uitgangspunten debiet+ vrachten'!$E$44*G99/1000</f>
        <v>2.1206249999999999E-2</v>
      </c>
    </row>
    <row r="64" spans="1:22" x14ac:dyDescent="0.3">
      <c r="A64" s="170">
        <v>2042</v>
      </c>
      <c r="B64" s="3"/>
      <c r="C64" s="16">
        <f>(C100*'Uitgangspunten debiet+ vrachten'!$F$26+'Uitgangspunten debiet+ vrachten'!$E$26*'ZW Vrachten door de tijd'!D100)/1000</f>
        <v>266.10262499999999</v>
      </c>
      <c r="D64" s="14">
        <f>('Uitgangspunten debiet+ vrachten'!$E$40*D100+'Uitgangspunten debiet+ vrachten'!$F$40*C100)/1000</f>
        <v>39.784694999999999</v>
      </c>
      <c r="E64" s="14">
        <f>('Uitgangspunten debiet+ vrachten'!$E$42*D100+'Uitgangspunten debiet+ vrachten'!$F$42*C100)/1000</f>
        <v>23.870817000000002</v>
      </c>
      <c r="F64" s="14">
        <f>('Uitgangspunten debiet+ vrachten'!$E$43*D100+'Uitgangspunten debiet+ vrachten'!$F$43*C100)/1000</f>
        <v>0.26798</v>
      </c>
      <c r="G64" s="15">
        <f>('Uitgangspunten debiet+ vrachten'!$E$44*D100+'Uitgangspunten debiet+ vrachten'!$F$44*C100)/1000</f>
        <v>0.40024500000000007</v>
      </c>
      <c r="H64" s="13">
        <f>E100*'Uitgangspunten debiet+ vrachten'!$E$26/1000</f>
        <v>0.74731124999999998</v>
      </c>
      <c r="I64" s="14">
        <f>'Uitgangspunten debiet+ vrachten'!$E$40*E100/1000</f>
        <v>0.35077875000000003</v>
      </c>
      <c r="J64" s="14">
        <f>'Uitgangspunten debiet+ vrachten'!$E$42*E100/1000</f>
        <v>0.21046724999999997</v>
      </c>
      <c r="K64" s="14">
        <f>'Uitgangspunten debiet+ vrachten'!$E$43*E100/1000</f>
        <v>4.0670000000000012E-3</v>
      </c>
      <c r="L64" s="15">
        <f>'Uitgangspunten debiet+ vrachten'!$E$44*E100/1000</f>
        <v>3.0502499999999996E-3</v>
      </c>
      <c r="M64" s="14">
        <f>F100*'Uitgangspunten debiet+ vrachten'!$E$26/1000</f>
        <v>8.0068511250000007</v>
      </c>
      <c r="N64" s="14">
        <f>'Uitgangspunten debiet+ vrachten'!$E$40*F100/1000</f>
        <v>3.7583178750000008</v>
      </c>
      <c r="O64" s="14">
        <f>'Uitgangspunten debiet+ vrachten'!$E$42*F100/1000</f>
        <v>2.2549907250000003</v>
      </c>
      <c r="P64" s="14">
        <f>'Uitgangspunten debiet+ vrachten'!$E$43*F100/1000</f>
        <v>4.3574700000000015E-2</v>
      </c>
      <c r="Q64" s="15">
        <f>'Uitgangspunten debiet+ vrachten'!$E$44*F100/1000</f>
        <v>3.2681024999999995E-2</v>
      </c>
      <c r="R64" s="14">
        <f>G100*'Uitgangspunten debiet+ vrachten'!$E$26/1000</f>
        <v>5.1955312500000002</v>
      </c>
      <c r="S64" s="14">
        <f>'Uitgangspunten debiet+ vrachten'!$E$40*G100/1000</f>
        <v>2.43871875</v>
      </c>
      <c r="T64" s="14">
        <f>'Uitgangspunten debiet+ vrachten'!$E$42*G100/1000</f>
        <v>1.4632312499999998</v>
      </c>
      <c r="U64" s="14">
        <f>'Uitgangspunten debiet+ vrachten'!$E$43*G100/1000</f>
        <v>2.8275000000000005E-2</v>
      </c>
      <c r="V64" s="15">
        <f>'Uitgangspunten debiet+ vrachten'!$E$44*G100/1000</f>
        <v>2.1206249999999999E-2</v>
      </c>
    </row>
    <row r="65" spans="1:22" x14ac:dyDescent="0.3">
      <c r="A65" s="170">
        <v>2043</v>
      </c>
      <c r="B65" s="3"/>
      <c r="C65" s="16">
        <f>(C101*'Uitgangspunten debiet+ vrachten'!$F$26+'Uitgangspunten debiet+ vrachten'!$E$26*'ZW Vrachten door de tijd'!D101)/1000</f>
        <v>266.10262499999999</v>
      </c>
      <c r="D65" s="14">
        <f>('Uitgangspunten debiet+ vrachten'!$E$40*D101+'Uitgangspunten debiet+ vrachten'!$F$40*C101)/1000</f>
        <v>39.784694999999999</v>
      </c>
      <c r="E65" s="14">
        <f>('Uitgangspunten debiet+ vrachten'!$E$42*D101+'Uitgangspunten debiet+ vrachten'!$F$42*C101)/1000</f>
        <v>23.870817000000002</v>
      </c>
      <c r="F65" s="14">
        <f>('Uitgangspunten debiet+ vrachten'!$E$43*D101+'Uitgangspunten debiet+ vrachten'!$F$43*C101)/1000</f>
        <v>0.26798</v>
      </c>
      <c r="G65" s="15">
        <f>('Uitgangspunten debiet+ vrachten'!$E$44*D101+'Uitgangspunten debiet+ vrachten'!$F$44*C101)/1000</f>
        <v>0.40024500000000007</v>
      </c>
      <c r="H65" s="13">
        <f>E101*'Uitgangspunten debiet+ vrachten'!$E$26/1000</f>
        <v>0.74731124999999998</v>
      </c>
      <c r="I65" s="14">
        <f>'Uitgangspunten debiet+ vrachten'!$E$40*E101/1000</f>
        <v>0.35077875000000003</v>
      </c>
      <c r="J65" s="14">
        <f>'Uitgangspunten debiet+ vrachten'!$E$42*E101/1000</f>
        <v>0.21046724999999997</v>
      </c>
      <c r="K65" s="14">
        <f>'Uitgangspunten debiet+ vrachten'!$E$43*E101/1000</f>
        <v>4.0670000000000012E-3</v>
      </c>
      <c r="L65" s="15">
        <f>'Uitgangspunten debiet+ vrachten'!$E$44*E101/1000</f>
        <v>3.0502499999999996E-3</v>
      </c>
      <c r="M65" s="14">
        <f>F101*'Uitgangspunten debiet+ vrachten'!$E$26/1000</f>
        <v>8.0068511250000007</v>
      </c>
      <c r="N65" s="14">
        <f>'Uitgangspunten debiet+ vrachten'!$E$40*F101/1000</f>
        <v>3.7583178750000008</v>
      </c>
      <c r="O65" s="14">
        <f>'Uitgangspunten debiet+ vrachten'!$E$42*F101/1000</f>
        <v>2.2549907250000003</v>
      </c>
      <c r="P65" s="14">
        <f>'Uitgangspunten debiet+ vrachten'!$E$43*F101/1000</f>
        <v>4.3574700000000015E-2</v>
      </c>
      <c r="Q65" s="15">
        <f>'Uitgangspunten debiet+ vrachten'!$E$44*F101/1000</f>
        <v>3.2681024999999995E-2</v>
      </c>
      <c r="R65" s="14">
        <f>G101*'Uitgangspunten debiet+ vrachten'!$E$26/1000</f>
        <v>5.1955312500000002</v>
      </c>
      <c r="S65" s="14">
        <f>'Uitgangspunten debiet+ vrachten'!$E$40*G101/1000</f>
        <v>2.43871875</v>
      </c>
      <c r="T65" s="14">
        <f>'Uitgangspunten debiet+ vrachten'!$E$42*G101/1000</f>
        <v>1.4632312499999998</v>
      </c>
      <c r="U65" s="14">
        <f>'Uitgangspunten debiet+ vrachten'!$E$43*G101/1000</f>
        <v>2.8275000000000005E-2</v>
      </c>
      <c r="V65" s="15">
        <f>'Uitgangspunten debiet+ vrachten'!$E$44*G101/1000</f>
        <v>2.1206249999999999E-2</v>
      </c>
    </row>
    <row r="66" spans="1:22" x14ac:dyDescent="0.3">
      <c r="A66" s="170">
        <v>2044</v>
      </c>
      <c r="B66" s="3"/>
      <c r="C66" s="16">
        <f>(C102*'Uitgangspunten debiet+ vrachten'!$F$26+'Uitgangspunten debiet+ vrachten'!$E$26*'ZW Vrachten door de tijd'!D102)/1000</f>
        <v>266.10262499999999</v>
      </c>
      <c r="D66" s="14">
        <f>('Uitgangspunten debiet+ vrachten'!$E$40*D102+'Uitgangspunten debiet+ vrachten'!$F$40*C102)/1000</f>
        <v>39.784694999999999</v>
      </c>
      <c r="E66" s="14">
        <f>('Uitgangspunten debiet+ vrachten'!$E$42*D102+'Uitgangspunten debiet+ vrachten'!$F$42*C102)/1000</f>
        <v>23.870817000000002</v>
      </c>
      <c r="F66" s="14">
        <f>('Uitgangspunten debiet+ vrachten'!$E$43*D102+'Uitgangspunten debiet+ vrachten'!$F$43*C102)/1000</f>
        <v>0.26798</v>
      </c>
      <c r="G66" s="15">
        <f>('Uitgangspunten debiet+ vrachten'!$E$44*D102+'Uitgangspunten debiet+ vrachten'!$F$44*C102)/1000</f>
        <v>0.40024500000000007</v>
      </c>
      <c r="H66" s="13">
        <f>E102*'Uitgangspunten debiet+ vrachten'!$E$26/1000</f>
        <v>0.74731124999999998</v>
      </c>
      <c r="I66" s="14">
        <f>'Uitgangspunten debiet+ vrachten'!$E$40*E102/1000</f>
        <v>0.35077875000000003</v>
      </c>
      <c r="J66" s="14">
        <f>'Uitgangspunten debiet+ vrachten'!$E$42*E102/1000</f>
        <v>0.21046724999999997</v>
      </c>
      <c r="K66" s="14">
        <f>'Uitgangspunten debiet+ vrachten'!$E$43*E102/1000</f>
        <v>4.0670000000000012E-3</v>
      </c>
      <c r="L66" s="15">
        <f>'Uitgangspunten debiet+ vrachten'!$E$44*E102/1000</f>
        <v>3.0502499999999996E-3</v>
      </c>
      <c r="M66" s="14">
        <f>F102*'Uitgangspunten debiet+ vrachten'!$E$26/1000</f>
        <v>8.0068511250000007</v>
      </c>
      <c r="N66" s="14">
        <f>'Uitgangspunten debiet+ vrachten'!$E$40*F102/1000</f>
        <v>3.7583178750000008</v>
      </c>
      <c r="O66" s="14">
        <f>'Uitgangspunten debiet+ vrachten'!$E$42*F102/1000</f>
        <v>2.2549907250000003</v>
      </c>
      <c r="P66" s="14">
        <f>'Uitgangspunten debiet+ vrachten'!$E$43*F102/1000</f>
        <v>4.3574700000000015E-2</v>
      </c>
      <c r="Q66" s="15">
        <f>'Uitgangspunten debiet+ vrachten'!$E$44*F102/1000</f>
        <v>3.2681024999999995E-2</v>
      </c>
      <c r="R66" s="14">
        <f>G102*'Uitgangspunten debiet+ vrachten'!$E$26/1000</f>
        <v>5.1955312500000002</v>
      </c>
      <c r="S66" s="14">
        <f>'Uitgangspunten debiet+ vrachten'!$E$40*G102/1000</f>
        <v>2.43871875</v>
      </c>
      <c r="T66" s="14">
        <f>'Uitgangspunten debiet+ vrachten'!$E$42*G102/1000</f>
        <v>1.4632312499999998</v>
      </c>
      <c r="U66" s="14">
        <f>'Uitgangspunten debiet+ vrachten'!$E$43*G102/1000</f>
        <v>2.8275000000000005E-2</v>
      </c>
      <c r="V66" s="15">
        <f>'Uitgangspunten debiet+ vrachten'!$E$44*G102/1000</f>
        <v>2.1206249999999999E-2</v>
      </c>
    </row>
    <row r="67" spans="1:22" x14ac:dyDescent="0.3">
      <c r="A67" s="170">
        <v>2045</v>
      </c>
      <c r="B67" s="3"/>
      <c r="C67" s="16">
        <f>(C103*'Uitgangspunten debiet+ vrachten'!$F$26+'Uitgangspunten debiet+ vrachten'!$E$26*'ZW Vrachten door de tijd'!D103)/1000</f>
        <v>266.10262499999999</v>
      </c>
      <c r="D67" s="14">
        <f>('Uitgangspunten debiet+ vrachten'!$E$40*D103+'Uitgangspunten debiet+ vrachten'!$F$40*C103)/1000</f>
        <v>39.784694999999999</v>
      </c>
      <c r="E67" s="14">
        <f>('Uitgangspunten debiet+ vrachten'!$E$42*D103+'Uitgangspunten debiet+ vrachten'!$F$42*C103)/1000</f>
        <v>23.870817000000002</v>
      </c>
      <c r="F67" s="14">
        <f>('Uitgangspunten debiet+ vrachten'!$E$43*D103+'Uitgangspunten debiet+ vrachten'!$F$43*C103)/1000</f>
        <v>0.26798</v>
      </c>
      <c r="G67" s="15">
        <f>('Uitgangspunten debiet+ vrachten'!$E$44*D103+'Uitgangspunten debiet+ vrachten'!$F$44*C103)/1000</f>
        <v>0.40024500000000007</v>
      </c>
      <c r="H67" s="13">
        <f>E103*'Uitgangspunten debiet+ vrachten'!$E$26/1000</f>
        <v>0.74731124999999998</v>
      </c>
      <c r="I67" s="14">
        <f>'Uitgangspunten debiet+ vrachten'!$E$40*E103/1000</f>
        <v>0.35077875000000003</v>
      </c>
      <c r="J67" s="14">
        <f>'Uitgangspunten debiet+ vrachten'!$E$42*E103/1000</f>
        <v>0.21046724999999997</v>
      </c>
      <c r="K67" s="14">
        <f>'Uitgangspunten debiet+ vrachten'!$E$43*E103/1000</f>
        <v>4.0670000000000012E-3</v>
      </c>
      <c r="L67" s="15">
        <f>'Uitgangspunten debiet+ vrachten'!$E$44*E103/1000</f>
        <v>3.0502499999999996E-3</v>
      </c>
      <c r="M67" s="14">
        <f>F103*'Uitgangspunten debiet+ vrachten'!$E$26/1000</f>
        <v>8.0068511250000007</v>
      </c>
      <c r="N67" s="14">
        <f>'Uitgangspunten debiet+ vrachten'!$E$40*F103/1000</f>
        <v>3.7583178750000008</v>
      </c>
      <c r="O67" s="14">
        <f>'Uitgangspunten debiet+ vrachten'!$E$42*F103/1000</f>
        <v>2.2549907250000003</v>
      </c>
      <c r="P67" s="14">
        <f>'Uitgangspunten debiet+ vrachten'!$E$43*F103/1000</f>
        <v>4.3574700000000015E-2</v>
      </c>
      <c r="Q67" s="15">
        <f>'Uitgangspunten debiet+ vrachten'!$E$44*F103/1000</f>
        <v>3.2681024999999995E-2</v>
      </c>
      <c r="R67" s="14">
        <f>G103*'Uitgangspunten debiet+ vrachten'!$E$26/1000</f>
        <v>5.1955312500000002</v>
      </c>
      <c r="S67" s="14">
        <f>'Uitgangspunten debiet+ vrachten'!$E$40*G103/1000</f>
        <v>2.43871875</v>
      </c>
      <c r="T67" s="14">
        <f>'Uitgangspunten debiet+ vrachten'!$E$42*G103/1000</f>
        <v>1.4632312499999998</v>
      </c>
      <c r="U67" s="14">
        <f>'Uitgangspunten debiet+ vrachten'!$E$43*G103/1000</f>
        <v>2.8275000000000005E-2</v>
      </c>
      <c r="V67" s="15">
        <f>'Uitgangspunten debiet+ vrachten'!$E$44*G103/1000</f>
        <v>2.1206249999999999E-2</v>
      </c>
    </row>
    <row r="68" spans="1:22" x14ac:dyDescent="0.3">
      <c r="A68" s="170">
        <v>2046</v>
      </c>
      <c r="B68" s="3"/>
      <c r="C68" s="16">
        <f>(C104*'Uitgangspunten debiet+ vrachten'!$F$26+'Uitgangspunten debiet+ vrachten'!$E$26*'ZW Vrachten door de tijd'!D104)/1000</f>
        <v>266.10262499999999</v>
      </c>
      <c r="D68" s="14">
        <f>('Uitgangspunten debiet+ vrachten'!$E$40*D104+'Uitgangspunten debiet+ vrachten'!$F$40*C104)/1000</f>
        <v>39.784694999999999</v>
      </c>
      <c r="E68" s="14">
        <f>('Uitgangspunten debiet+ vrachten'!$E$42*D104+'Uitgangspunten debiet+ vrachten'!$F$42*C104)/1000</f>
        <v>23.870817000000002</v>
      </c>
      <c r="F68" s="14">
        <f>('Uitgangspunten debiet+ vrachten'!$E$43*D104+'Uitgangspunten debiet+ vrachten'!$F$43*C104)/1000</f>
        <v>0.26798</v>
      </c>
      <c r="G68" s="15">
        <f>('Uitgangspunten debiet+ vrachten'!$E$44*D104+'Uitgangspunten debiet+ vrachten'!$F$44*C104)/1000</f>
        <v>0.40024500000000007</v>
      </c>
      <c r="H68" s="13">
        <f>E104*'Uitgangspunten debiet+ vrachten'!$E$26/1000</f>
        <v>0.74731124999999998</v>
      </c>
      <c r="I68" s="14">
        <f>'Uitgangspunten debiet+ vrachten'!$E$40*E104/1000</f>
        <v>0.35077875000000003</v>
      </c>
      <c r="J68" s="14">
        <f>'Uitgangspunten debiet+ vrachten'!$E$42*E104/1000</f>
        <v>0.21046724999999997</v>
      </c>
      <c r="K68" s="14">
        <f>'Uitgangspunten debiet+ vrachten'!$E$43*E104/1000</f>
        <v>4.0670000000000012E-3</v>
      </c>
      <c r="L68" s="15">
        <f>'Uitgangspunten debiet+ vrachten'!$E$44*E104/1000</f>
        <v>3.0502499999999996E-3</v>
      </c>
      <c r="M68" s="14">
        <f>F104*'Uitgangspunten debiet+ vrachten'!$E$26/1000</f>
        <v>8.0068511250000007</v>
      </c>
      <c r="N68" s="14">
        <f>'Uitgangspunten debiet+ vrachten'!$E$40*F104/1000</f>
        <v>3.7583178750000008</v>
      </c>
      <c r="O68" s="14">
        <f>'Uitgangspunten debiet+ vrachten'!$E$42*F104/1000</f>
        <v>2.2549907250000003</v>
      </c>
      <c r="P68" s="14">
        <f>'Uitgangspunten debiet+ vrachten'!$E$43*F104/1000</f>
        <v>4.3574700000000015E-2</v>
      </c>
      <c r="Q68" s="15">
        <f>'Uitgangspunten debiet+ vrachten'!$E$44*F104/1000</f>
        <v>3.2681024999999995E-2</v>
      </c>
      <c r="R68" s="14">
        <f>G104*'Uitgangspunten debiet+ vrachten'!$E$26/1000</f>
        <v>5.1955312500000002</v>
      </c>
      <c r="S68" s="14">
        <f>'Uitgangspunten debiet+ vrachten'!$E$40*G104/1000</f>
        <v>2.43871875</v>
      </c>
      <c r="T68" s="14">
        <f>'Uitgangspunten debiet+ vrachten'!$E$42*G104/1000</f>
        <v>1.4632312499999998</v>
      </c>
      <c r="U68" s="14">
        <f>'Uitgangspunten debiet+ vrachten'!$E$43*G104/1000</f>
        <v>2.8275000000000005E-2</v>
      </c>
      <c r="V68" s="15">
        <f>'Uitgangspunten debiet+ vrachten'!$E$44*G104/1000</f>
        <v>2.1206249999999999E-2</v>
      </c>
    </row>
    <row r="69" spans="1:22" x14ac:dyDescent="0.3">
      <c r="A69" s="170">
        <v>2047</v>
      </c>
      <c r="B69" s="3"/>
      <c r="C69" s="16">
        <f>(C105*'Uitgangspunten debiet+ vrachten'!$F$26+'Uitgangspunten debiet+ vrachten'!$E$26*'ZW Vrachten door de tijd'!D105)/1000</f>
        <v>266.10262499999999</v>
      </c>
      <c r="D69" s="14">
        <f>('Uitgangspunten debiet+ vrachten'!$E$40*D105+'Uitgangspunten debiet+ vrachten'!$F$40*C105)/1000</f>
        <v>39.784694999999999</v>
      </c>
      <c r="E69" s="14">
        <f>('Uitgangspunten debiet+ vrachten'!$E$42*D105+'Uitgangspunten debiet+ vrachten'!$F$42*C105)/1000</f>
        <v>23.870817000000002</v>
      </c>
      <c r="F69" s="14">
        <f>('Uitgangspunten debiet+ vrachten'!$E$43*D105+'Uitgangspunten debiet+ vrachten'!$F$43*C105)/1000</f>
        <v>0.26798</v>
      </c>
      <c r="G69" s="15">
        <f>('Uitgangspunten debiet+ vrachten'!$E$44*D105+'Uitgangspunten debiet+ vrachten'!$F$44*C105)/1000</f>
        <v>0.40024500000000007</v>
      </c>
      <c r="H69" s="13">
        <f>E105*'Uitgangspunten debiet+ vrachten'!$E$26/1000</f>
        <v>0.74731124999999998</v>
      </c>
      <c r="I69" s="14">
        <f>'Uitgangspunten debiet+ vrachten'!$E$40*E105/1000</f>
        <v>0.35077875000000003</v>
      </c>
      <c r="J69" s="14">
        <f>'Uitgangspunten debiet+ vrachten'!$E$42*E105/1000</f>
        <v>0.21046724999999997</v>
      </c>
      <c r="K69" s="14">
        <f>'Uitgangspunten debiet+ vrachten'!$E$43*E105/1000</f>
        <v>4.0670000000000012E-3</v>
      </c>
      <c r="L69" s="15">
        <f>'Uitgangspunten debiet+ vrachten'!$E$44*E105/1000</f>
        <v>3.0502499999999996E-3</v>
      </c>
      <c r="M69" s="14">
        <f>F105*'Uitgangspunten debiet+ vrachten'!$E$26/1000</f>
        <v>8.0068511250000007</v>
      </c>
      <c r="N69" s="14">
        <f>'Uitgangspunten debiet+ vrachten'!$E$40*F105/1000</f>
        <v>3.7583178750000008</v>
      </c>
      <c r="O69" s="14">
        <f>'Uitgangspunten debiet+ vrachten'!$E$42*F105/1000</f>
        <v>2.2549907250000003</v>
      </c>
      <c r="P69" s="14">
        <f>'Uitgangspunten debiet+ vrachten'!$E$43*F105/1000</f>
        <v>4.3574700000000015E-2</v>
      </c>
      <c r="Q69" s="15">
        <f>'Uitgangspunten debiet+ vrachten'!$E$44*F105/1000</f>
        <v>3.2681024999999995E-2</v>
      </c>
      <c r="R69" s="14">
        <f>G105*'Uitgangspunten debiet+ vrachten'!$E$26/1000</f>
        <v>5.1955312500000002</v>
      </c>
      <c r="S69" s="14">
        <f>'Uitgangspunten debiet+ vrachten'!$E$40*G105/1000</f>
        <v>2.43871875</v>
      </c>
      <c r="T69" s="14">
        <f>'Uitgangspunten debiet+ vrachten'!$E$42*G105/1000</f>
        <v>1.4632312499999998</v>
      </c>
      <c r="U69" s="14">
        <f>'Uitgangspunten debiet+ vrachten'!$E$43*G105/1000</f>
        <v>2.8275000000000005E-2</v>
      </c>
      <c r="V69" s="15">
        <f>'Uitgangspunten debiet+ vrachten'!$E$44*G105/1000</f>
        <v>2.1206249999999999E-2</v>
      </c>
    </row>
    <row r="70" spans="1:22" x14ac:dyDescent="0.3">
      <c r="A70" s="170">
        <v>2048</v>
      </c>
      <c r="B70" s="3"/>
      <c r="C70" s="16">
        <f>(C106*'Uitgangspunten debiet+ vrachten'!$F$26+'Uitgangspunten debiet+ vrachten'!$E$26*'ZW Vrachten door de tijd'!D106)/1000</f>
        <v>266.10262499999999</v>
      </c>
      <c r="D70" s="14">
        <f>('Uitgangspunten debiet+ vrachten'!$E$40*D106+'Uitgangspunten debiet+ vrachten'!$F$40*C106)/1000</f>
        <v>39.784694999999999</v>
      </c>
      <c r="E70" s="14">
        <f>('Uitgangspunten debiet+ vrachten'!$E$42*D106+'Uitgangspunten debiet+ vrachten'!$F$42*C106)/1000</f>
        <v>23.870817000000002</v>
      </c>
      <c r="F70" s="14">
        <f>('Uitgangspunten debiet+ vrachten'!$E$43*D106+'Uitgangspunten debiet+ vrachten'!$F$43*C106)/1000</f>
        <v>0.26798</v>
      </c>
      <c r="G70" s="15">
        <f>('Uitgangspunten debiet+ vrachten'!$E$44*D106+'Uitgangspunten debiet+ vrachten'!$F$44*C106)/1000</f>
        <v>0.40024500000000007</v>
      </c>
      <c r="H70" s="13">
        <f>E106*'Uitgangspunten debiet+ vrachten'!$E$26/1000</f>
        <v>0.74731124999999998</v>
      </c>
      <c r="I70" s="14">
        <f>'Uitgangspunten debiet+ vrachten'!$E$40*E106/1000</f>
        <v>0.35077875000000003</v>
      </c>
      <c r="J70" s="14">
        <f>'Uitgangspunten debiet+ vrachten'!$E$42*E106/1000</f>
        <v>0.21046724999999997</v>
      </c>
      <c r="K70" s="14">
        <f>'Uitgangspunten debiet+ vrachten'!$E$43*E106/1000</f>
        <v>4.0670000000000012E-3</v>
      </c>
      <c r="L70" s="15">
        <f>'Uitgangspunten debiet+ vrachten'!$E$44*E106/1000</f>
        <v>3.0502499999999996E-3</v>
      </c>
      <c r="M70" s="14">
        <f>F106*'Uitgangspunten debiet+ vrachten'!$E$26/1000</f>
        <v>8.0068511250000007</v>
      </c>
      <c r="N70" s="14">
        <f>'Uitgangspunten debiet+ vrachten'!$E$40*F106/1000</f>
        <v>3.7583178750000008</v>
      </c>
      <c r="O70" s="14">
        <f>'Uitgangspunten debiet+ vrachten'!$E$42*F106/1000</f>
        <v>2.2549907250000003</v>
      </c>
      <c r="P70" s="14">
        <f>'Uitgangspunten debiet+ vrachten'!$E$43*F106/1000</f>
        <v>4.3574700000000015E-2</v>
      </c>
      <c r="Q70" s="15">
        <f>'Uitgangspunten debiet+ vrachten'!$E$44*F106/1000</f>
        <v>3.2681024999999995E-2</v>
      </c>
      <c r="R70" s="14">
        <f>G106*'Uitgangspunten debiet+ vrachten'!$E$26/1000</f>
        <v>5.1955312500000002</v>
      </c>
      <c r="S70" s="14">
        <f>'Uitgangspunten debiet+ vrachten'!$E$40*G106/1000</f>
        <v>2.43871875</v>
      </c>
      <c r="T70" s="14">
        <f>'Uitgangspunten debiet+ vrachten'!$E$42*G106/1000</f>
        <v>1.4632312499999998</v>
      </c>
      <c r="U70" s="14">
        <f>'Uitgangspunten debiet+ vrachten'!$E$43*G106/1000</f>
        <v>2.8275000000000005E-2</v>
      </c>
      <c r="V70" s="15">
        <f>'Uitgangspunten debiet+ vrachten'!$E$44*G106/1000</f>
        <v>2.1206249999999999E-2</v>
      </c>
    </row>
    <row r="71" spans="1:22" x14ac:dyDescent="0.3">
      <c r="A71" s="170">
        <v>2049</v>
      </c>
      <c r="B71" s="3"/>
      <c r="C71" s="16">
        <f>(C107*'Uitgangspunten debiet+ vrachten'!$F$26+'Uitgangspunten debiet+ vrachten'!$E$26*'ZW Vrachten door de tijd'!D107)/1000</f>
        <v>266.10262499999999</v>
      </c>
      <c r="D71" s="14">
        <f>('Uitgangspunten debiet+ vrachten'!$E$40*D107+'Uitgangspunten debiet+ vrachten'!$F$40*C107)/1000</f>
        <v>39.784694999999999</v>
      </c>
      <c r="E71" s="14">
        <f>('Uitgangspunten debiet+ vrachten'!$E$42*D107+'Uitgangspunten debiet+ vrachten'!$F$42*C107)/1000</f>
        <v>23.870817000000002</v>
      </c>
      <c r="F71" s="14">
        <f>('Uitgangspunten debiet+ vrachten'!$E$43*D107+'Uitgangspunten debiet+ vrachten'!$F$43*C107)/1000</f>
        <v>0.26798</v>
      </c>
      <c r="G71" s="15">
        <f>('Uitgangspunten debiet+ vrachten'!$E$44*D107+'Uitgangspunten debiet+ vrachten'!$F$44*C107)/1000</f>
        <v>0.40024500000000007</v>
      </c>
      <c r="H71" s="13">
        <f>E107*'Uitgangspunten debiet+ vrachten'!$E$26/1000</f>
        <v>0.74731124999999998</v>
      </c>
      <c r="I71" s="14">
        <f>'Uitgangspunten debiet+ vrachten'!$E$40*E107/1000</f>
        <v>0.35077875000000003</v>
      </c>
      <c r="J71" s="14">
        <f>'Uitgangspunten debiet+ vrachten'!$E$42*E107/1000</f>
        <v>0.21046724999999997</v>
      </c>
      <c r="K71" s="14">
        <f>'Uitgangspunten debiet+ vrachten'!$E$43*E107/1000</f>
        <v>4.0670000000000012E-3</v>
      </c>
      <c r="L71" s="15">
        <f>'Uitgangspunten debiet+ vrachten'!$E$44*E107/1000</f>
        <v>3.0502499999999996E-3</v>
      </c>
      <c r="M71" s="14">
        <f>F107*'Uitgangspunten debiet+ vrachten'!$E$26/1000</f>
        <v>8.0068511250000007</v>
      </c>
      <c r="N71" s="14">
        <f>'Uitgangspunten debiet+ vrachten'!$E$40*F107/1000</f>
        <v>3.7583178750000008</v>
      </c>
      <c r="O71" s="14">
        <f>'Uitgangspunten debiet+ vrachten'!$E$42*F107/1000</f>
        <v>2.2549907250000003</v>
      </c>
      <c r="P71" s="14">
        <f>'Uitgangspunten debiet+ vrachten'!$E$43*F107/1000</f>
        <v>4.3574700000000015E-2</v>
      </c>
      <c r="Q71" s="15">
        <f>'Uitgangspunten debiet+ vrachten'!$E$44*F107/1000</f>
        <v>3.2681024999999995E-2</v>
      </c>
      <c r="R71" s="14">
        <f>G107*'Uitgangspunten debiet+ vrachten'!$E$26/1000</f>
        <v>5.1955312500000002</v>
      </c>
      <c r="S71" s="14">
        <f>'Uitgangspunten debiet+ vrachten'!$E$40*G107/1000</f>
        <v>2.43871875</v>
      </c>
      <c r="T71" s="14">
        <f>'Uitgangspunten debiet+ vrachten'!$E$42*G107/1000</f>
        <v>1.4632312499999998</v>
      </c>
      <c r="U71" s="14">
        <f>'Uitgangspunten debiet+ vrachten'!$E$43*G107/1000</f>
        <v>2.8275000000000005E-2</v>
      </c>
      <c r="V71" s="15">
        <f>'Uitgangspunten debiet+ vrachten'!$E$44*G107/1000</f>
        <v>2.1206249999999999E-2</v>
      </c>
    </row>
    <row r="72" spans="1:22" x14ac:dyDescent="0.3">
      <c r="A72" s="170">
        <v>2050</v>
      </c>
      <c r="B72" s="3"/>
      <c r="C72" s="16">
        <f>(C108*'Uitgangspunten debiet+ vrachten'!$F$26+'Uitgangspunten debiet+ vrachten'!$E$26*'ZW Vrachten door de tijd'!D108)/1000</f>
        <v>266.10262499999999</v>
      </c>
      <c r="D72" s="14">
        <f>('Uitgangspunten debiet+ vrachten'!$E$40*D108+'Uitgangspunten debiet+ vrachten'!$F$40*C108)/1000</f>
        <v>39.784694999999999</v>
      </c>
      <c r="E72" s="14">
        <f>('Uitgangspunten debiet+ vrachten'!$E$42*D108+'Uitgangspunten debiet+ vrachten'!$F$42*C108)/1000</f>
        <v>23.870817000000002</v>
      </c>
      <c r="F72" s="14">
        <f>('Uitgangspunten debiet+ vrachten'!$E$43*D108+'Uitgangspunten debiet+ vrachten'!$F$43*C108)/1000</f>
        <v>0.26798</v>
      </c>
      <c r="G72" s="15">
        <f>('Uitgangspunten debiet+ vrachten'!$E$44*D108+'Uitgangspunten debiet+ vrachten'!$F$44*C108)/1000</f>
        <v>0.40024500000000007</v>
      </c>
      <c r="H72" s="13">
        <f>E108*'Uitgangspunten debiet+ vrachten'!$E$26/1000</f>
        <v>0.74731124999999998</v>
      </c>
      <c r="I72" s="14">
        <f>'Uitgangspunten debiet+ vrachten'!$E$40*E108/1000</f>
        <v>0.35077875000000003</v>
      </c>
      <c r="J72" s="14">
        <f>'Uitgangspunten debiet+ vrachten'!$E$42*E108/1000</f>
        <v>0.21046724999999997</v>
      </c>
      <c r="K72" s="14">
        <f>'Uitgangspunten debiet+ vrachten'!$E$43*E108/1000</f>
        <v>4.0670000000000012E-3</v>
      </c>
      <c r="L72" s="15">
        <f>'Uitgangspunten debiet+ vrachten'!$E$44*E108/1000</f>
        <v>3.0502499999999996E-3</v>
      </c>
      <c r="M72" s="14">
        <f>F108*'Uitgangspunten debiet+ vrachten'!$E$26/1000</f>
        <v>8.0068511250000007</v>
      </c>
      <c r="N72" s="14">
        <f>'Uitgangspunten debiet+ vrachten'!$E$40*F108/1000</f>
        <v>3.7583178750000008</v>
      </c>
      <c r="O72" s="14">
        <f>'Uitgangspunten debiet+ vrachten'!$E$42*F108/1000</f>
        <v>2.2549907250000003</v>
      </c>
      <c r="P72" s="14">
        <f>'Uitgangspunten debiet+ vrachten'!$E$43*F108/1000</f>
        <v>4.3574700000000015E-2</v>
      </c>
      <c r="Q72" s="15">
        <f>'Uitgangspunten debiet+ vrachten'!$E$44*F108/1000</f>
        <v>3.2681024999999995E-2</v>
      </c>
      <c r="R72" s="14">
        <f>G108*'Uitgangspunten debiet+ vrachten'!$E$26/1000</f>
        <v>5.1955312500000002</v>
      </c>
      <c r="S72" s="14">
        <f>'Uitgangspunten debiet+ vrachten'!$E$40*G108/1000</f>
        <v>2.43871875</v>
      </c>
      <c r="T72" s="14">
        <f>'Uitgangspunten debiet+ vrachten'!$E$42*G108/1000</f>
        <v>1.4632312499999998</v>
      </c>
      <c r="U72" s="14">
        <f>'Uitgangspunten debiet+ vrachten'!$E$43*G108/1000</f>
        <v>2.8275000000000005E-2</v>
      </c>
      <c r="V72" s="15">
        <f>'Uitgangspunten debiet+ vrachten'!$E$44*G108/1000</f>
        <v>2.1206249999999999E-2</v>
      </c>
    </row>
    <row r="73" spans="1:22" x14ac:dyDescent="0.3">
      <c r="A73" s="170">
        <v>2051</v>
      </c>
      <c r="B73" s="54"/>
      <c r="C73" s="256">
        <f>(C109*'Uitgangspunten debiet+ vrachten'!$F$26+'Uitgangspunten debiet+ vrachten'!$E$26*'ZW Vrachten door de tijd'!D109)/1000</f>
        <v>266.10262499999999</v>
      </c>
      <c r="D73" s="39">
        <f>('Uitgangspunten debiet+ vrachten'!$E$40*D109+'Uitgangspunten debiet+ vrachten'!$F$40*C109)/1000</f>
        <v>39.784694999999999</v>
      </c>
      <c r="E73" s="39">
        <f>('Uitgangspunten debiet+ vrachten'!$E$42*D109+'Uitgangspunten debiet+ vrachten'!$F$42*C109)/1000</f>
        <v>23.870817000000002</v>
      </c>
      <c r="F73" s="39">
        <f>('Uitgangspunten debiet+ vrachten'!$E$43*D109+'Uitgangspunten debiet+ vrachten'!$F$43*C109)/1000</f>
        <v>0.26798</v>
      </c>
      <c r="G73" s="40">
        <f>('Uitgangspunten debiet+ vrachten'!$E$44*D109+'Uitgangspunten debiet+ vrachten'!$F$44*C109)/1000</f>
        <v>0.40024500000000007</v>
      </c>
      <c r="H73" s="82">
        <f>E109*'Uitgangspunten debiet+ vrachten'!$E$26/1000</f>
        <v>0.74731124999999998</v>
      </c>
      <c r="I73" s="39">
        <f>'Uitgangspunten debiet+ vrachten'!$E$40*E109/1000</f>
        <v>0.35077875000000003</v>
      </c>
      <c r="J73" s="39">
        <f>'Uitgangspunten debiet+ vrachten'!$E$42*E109/1000</f>
        <v>0.21046724999999997</v>
      </c>
      <c r="K73" s="39">
        <f>'Uitgangspunten debiet+ vrachten'!$E$43*E109/1000</f>
        <v>4.0670000000000012E-3</v>
      </c>
      <c r="L73" s="40">
        <f>'Uitgangspunten debiet+ vrachten'!$E$44*E109/1000</f>
        <v>3.0502499999999996E-3</v>
      </c>
      <c r="M73" s="39">
        <f>F109*'Uitgangspunten debiet+ vrachten'!$E$26/1000</f>
        <v>8.0068511250000007</v>
      </c>
      <c r="N73" s="39">
        <f>'Uitgangspunten debiet+ vrachten'!$E$40*F109/1000</f>
        <v>3.7583178750000008</v>
      </c>
      <c r="O73" s="39">
        <f>'Uitgangspunten debiet+ vrachten'!$E$42*F109/1000</f>
        <v>2.2549907250000003</v>
      </c>
      <c r="P73" s="39">
        <f>'Uitgangspunten debiet+ vrachten'!$E$43*F109/1000</f>
        <v>4.3574700000000015E-2</v>
      </c>
      <c r="Q73" s="40">
        <f>'Uitgangspunten debiet+ vrachten'!$E$44*F109/1000</f>
        <v>3.2681024999999995E-2</v>
      </c>
      <c r="R73" s="39">
        <f>G109*'Uitgangspunten debiet+ vrachten'!$E$26/1000</f>
        <v>5.1955312500000002</v>
      </c>
      <c r="S73" s="39">
        <f>'Uitgangspunten debiet+ vrachten'!$E$40*G109/1000</f>
        <v>2.43871875</v>
      </c>
      <c r="T73" s="39">
        <f>'Uitgangspunten debiet+ vrachten'!$E$42*G109/1000</f>
        <v>1.4632312499999998</v>
      </c>
      <c r="U73" s="39">
        <f>'Uitgangspunten debiet+ vrachten'!$E$43*G109/1000</f>
        <v>2.8275000000000005E-2</v>
      </c>
      <c r="V73" s="40">
        <f>'Uitgangspunten debiet+ vrachten'!$E$44*G109/1000</f>
        <v>2.1206249999999999E-2</v>
      </c>
    </row>
    <row r="74" spans="1:22" x14ac:dyDescent="0.3">
      <c r="A74" s="3"/>
      <c r="B74" s="3"/>
      <c r="C74" s="78"/>
      <c r="D74" s="3"/>
      <c r="E74" s="3"/>
      <c r="F74" s="3"/>
      <c r="G74" s="3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x14ac:dyDescent="0.3">
      <c r="A75" s="1" t="s">
        <v>107</v>
      </c>
    </row>
    <row r="76" spans="1:22" x14ac:dyDescent="0.3">
      <c r="A76" s="225"/>
      <c r="B76" s="226"/>
      <c r="C76" s="292" t="s">
        <v>76</v>
      </c>
      <c r="D76" s="292"/>
      <c r="E76" s="231" t="s">
        <v>104</v>
      </c>
      <c r="F76" s="231" t="s">
        <v>101</v>
      </c>
      <c r="G76" s="232" t="s">
        <v>36</v>
      </c>
      <c r="H76" s="172"/>
    </row>
    <row r="77" spans="1:22" x14ac:dyDescent="0.3">
      <c r="A77" s="234"/>
      <c r="B77" s="235"/>
      <c r="C77" s="236" t="s">
        <v>102</v>
      </c>
      <c r="D77" s="236" t="s">
        <v>103</v>
      </c>
      <c r="E77" s="236" t="s">
        <v>103</v>
      </c>
      <c r="F77" s="236" t="s">
        <v>103</v>
      </c>
      <c r="G77" s="237" t="s">
        <v>103</v>
      </c>
    </row>
    <row r="78" spans="1:22" x14ac:dyDescent="0.3">
      <c r="A78" s="81" t="s">
        <v>108</v>
      </c>
      <c r="B78" s="195"/>
      <c r="C78" s="58" t="s">
        <v>38</v>
      </c>
      <c r="D78" s="58" t="s">
        <v>3</v>
      </c>
      <c r="E78" s="58" t="s">
        <v>3</v>
      </c>
      <c r="F78" s="58" t="s">
        <v>3</v>
      </c>
      <c r="G78" s="61" t="s">
        <v>3</v>
      </c>
    </row>
    <row r="79" spans="1:22" x14ac:dyDescent="0.3">
      <c r="A79" s="170">
        <v>2021</v>
      </c>
      <c r="B79" s="3"/>
      <c r="C79" s="16"/>
      <c r="D79" s="3"/>
      <c r="E79" s="14">
        <f>'Prognose Deelgebieden '!P5*'Uitgangspunten debiet+ vrachten'!$E$56</f>
        <v>0</v>
      </c>
      <c r="F79" s="14">
        <f>'Prognose Deelgebieden '!Y5*'Uitgangspunten debiet+ vrachten'!$E$57</f>
        <v>0</v>
      </c>
      <c r="G79" s="15">
        <f>'Prognose Deelgebieden '!AF5*'Uitgangspunten debiet+ vrachten'!$E$58</f>
        <v>0</v>
      </c>
    </row>
    <row r="80" spans="1:22" x14ac:dyDescent="0.3">
      <c r="A80" s="170">
        <v>2022</v>
      </c>
      <c r="B80" s="3"/>
      <c r="C80" s="16"/>
      <c r="D80" s="3">
        <f>D79</f>
        <v>0</v>
      </c>
      <c r="E80" s="14">
        <f>'Prognose Deelgebieden '!P6*'Uitgangspunten debiet+ vrachten'!$E$56</f>
        <v>0</v>
      </c>
      <c r="F80" s="14">
        <f>'Prognose Deelgebieden '!Y6*'Uitgangspunten debiet+ vrachten'!$E$57</f>
        <v>772.63499999999999</v>
      </c>
      <c r="G80" s="15">
        <f>'Prognose Deelgebieden '!AF6*'Uitgangspunten debiet+ vrachten'!$E$58</f>
        <v>0</v>
      </c>
    </row>
    <row r="81" spans="1:7" x14ac:dyDescent="0.3">
      <c r="A81" s="170">
        <v>2023</v>
      </c>
      <c r="B81" s="3"/>
      <c r="C81" s="16">
        <f>'Uitgangspunten debiet+ vrachten'!F66</f>
        <v>280.8</v>
      </c>
      <c r="D81" s="3">
        <f>D80+'Uitgangspunten debiet+ vrachten'!F69</f>
        <v>30</v>
      </c>
      <c r="E81" s="14">
        <f>'Prognose Deelgebieden '!P7*'Uitgangspunten debiet+ vrachten'!$E$56</f>
        <v>75.100000000000009</v>
      </c>
      <c r="F81" s="14">
        <f>'Prognose Deelgebieden '!Y7*'Uitgangspunten debiet+ vrachten'!$E$57</f>
        <v>1717.4849999999999</v>
      </c>
      <c r="G81" s="15">
        <f>'Prognose Deelgebieden '!AF7*'Uitgangspunten debiet+ vrachten'!$E$58</f>
        <v>0</v>
      </c>
    </row>
    <row r="82" spans="1:7" x14ac:dyDescent="0.3">
      <c r="A82" s="170">
        <v>2024</v>
      </c>
      <c r="B82" s="3"/>
      <c r="C82" s="16">
        <f>C81</f>
        <v>280.8</v>
      </c>
      <c r="D82" s="3">
        <f>D81</f>
        <v>30</v>
      </c>
      <c r="E82" s="14">
        <f>'Prognose Deelgebieden '!P8*'Uitgangspunten debiet+ vrachten'!$E$56</f>
        <v>157.35</v>
      </c>
      <c r="F82" s="14">
        <f>'Prognose Deelgebieden '!Y8*'Uitgangspunten debiet+ vrachten'!$E$57</f>
        <v>1809.7349999999999</v>
      </c>
      <c r="G82" s="15">
        <f>'Prognose Deelgebieden '!AF8*'Uitgangspunten debiet+ vrachten'!$E$58</f>
        <v>1023.75</v>
      </c>
    </row>
    <row r="83" spans="1:7" x14ac:dyDescent="0.3">
      <c r="A83" s="170">
        <v>2025</v>
      </c>
      <c r="B83" s="3"/>
      <c r="C83" s="16">
        <f>C82</f>
        <v>280.8</v>
      </c>
      <c r="D83" s="3">
        <f>D82</f>
        <v>30</v>
      </c>
      <c r="E83" s="14">
        <f>'Prognose Deelgebieden '!P9*'Uitgangspunten debiet+ vrachten'!$E$56</f>
        <v>180.35</v>
      </c>
      <c r="F83" s="14">
        <f>'Prognose Deelgebieden '!Y9*'Uitgangspunten debiet+ vrachten'!$E$57</f>
        <v>1994.2349999999999</v>
      </c>
      <c r="G83" s="15">
        <f>'Prognose Deelgebieden '!AF9*'Uitgangspunten debiet+ vrachten'!$E$58</f>
        <v>1121.25</v>
      </c>
    </row>
    <row r="84" spans="1:7" x14ac:dyDescent="0.3">
      <c r="A84" s="170">
        <v>2026</v>
      </c>
      <c r="B84" s="3"/>
      <c r="C84" s="16">
        <f>C83+'Uitgangspunten debiet+ vrachten'!F67+'Uitgangspunten debiet+ vrachten'!F68</f>
        <v>1328.4</v>
      </c>
      <c r="D84" s="3">
        <f>D83+'Uitgangspunten debiet+ vrachten'!F70+'Uitgangspunten debiet+ vrachten'!F71</f>
        <v>115</v>
      </c>
      <c r="E84" s="14">
        <f>'Prognose Deelgebieden '!P10*'Uitgangspunten debiet+ vrachten'!$E$56</f>
        <v>203.35</v>
      </c>
      <c r="F84" s="14">
        <f>'Prognose Deelgebieden '!Y10*'Uitgangspunten debiet+ vrachten'!$E$57</f>
        <v>2178.7350000000001</v>
      </c>
      <c r="G84" s="15">
        <f>'Prognose Deelgebieden '!AF10*'Uitgangspunten debiet+ vrachten'!$E$58</f>
        <v>1218.75</v>
      </c>
    </row>
    <row r="85" spans="1:7" x14ac:dyDescent="0.3">
      <c r="A85" s="170">
        <v>2027</v>
      </c>
      <c r="B85" s="3"/>
      <c r="C85" s="16">
        <f t="shared" ref="C84:D109" si="8">C84</f>
        <v>1328.4</v>
      </c>
      <c r="D85" s="3">
        <f t="shared" si="8"/>
        <v>115</v>
      </c>
      <c r="E85" s="14">
        <f>'Prognose Deelgebieden '!P11*'Uitgangspunten debiet+ vrachten'!$E$56</f>
        <v>203.35</v>
      </c>
      <c r="F85" s="14">
        <f>'Prognose Deelgebieden '!Y11*'Uitgangspunten debiet+ vrachten'!$E$57</f>
        <v>2178.7350000000001</v>
      </c>
      <c r="G85" s="15">
        <f>'Prognose Deelgebieden '!AF11*'Uitgangspunten debiet+ vrachten'!$E$58</f>
        <v>1316.25</v>
      </c>
    </row>
    <row r="86" spans="1:7" x14ac:dyDescent="0.3">
      <c r="A86" s="170">
        <v>2028</v>
      </c>
      <c r="B86" s="3"/>
      <c r="C86" s="16">
        <f t="shared" si="8"/>
        <v>1328.4</v>
      </c>
      <c r="D86" s="3">
        <f t="shared" si="8"/>
        <v>115</v>
      </c>
      <c r="E86" s="14">
        <f>'Prognose Deelgebieden '!P12*'Uitgangspunten debiet+ vrachten'!$E$56</f>
        <v>203.35</v>
      </c>
      <c r="F86" s="14">
        <f>'Prognose Deelgebieden '!Y12*'Uitgangspunten debiet+ vrachten'!$E$57</f>
        <v>2178.7350000000001</v>
      </c>
      <c r="G86" s="15">
        <f>'Prognose Deelgebieden '!AF12*'Uitgangspunten debiet+ vrachten'!$E$58</f>
        <v>1413.75</v>
      </c>
    </row>
    <row r="87" spans="1:7" x14ac:dyDescent="0.3">
      <c r="A87" s="170">
        <v>2029</v>
      </c>
      <c r="B87" s="3"/>
      <c r="C87" s="16">
        <f t="shared" si="8"/>
        <v>1328.4</v>
      </c>
      <c r="D87" s="3">
        <f t="shared" si="8"/>
        <v>115</v>
      </c>
      <c r="E87" s="14">
        <f>'Prognose Deelgebieden '!P13*'Uitgangspunten debiet+ vrachten'!$E$56</f>
        <v>203.35</v>
      </c>
      <c r="F87" s="14">
        <f>'Prognose Deelgebieden '!Y13*'Uitgangspunten debiet+ vrachten'!$E$57</f>
        <v>2178.7350000000001</v>
      </c>
      <c r="G87" s="15">
        <f>'Prognose Deelgebieden '!AF13*'Uitgangspunten debiet+ vrachten'!$E$58</f>
        <v>1413.75</v>
      </c>
    </row>
    <row r="88" spans="1:7" x14ac:dyDescent="0.3">
      <c r="A88" s="170">
        <v>2030</v>
      </c>
      <c r="B88" s="3"/>
      <c r="C88" s="16">
        <f t="shared" si="8"/>
        <v>1328.4</v>
      </c>
      <c r="D88" s="3">
        <f t="shared" si="8"/>
        <v>115</v>
      </c>
      <c r="E88" s="14">
        <f>'Prognose Deelgebieden '!P14*'Uitgangspunten debiet+ vrachten'!$E$56</f>
        <v>203.35</v>
      </c>
      <c r="F88" s="14">
        <f>'Prognose Deelgebieden '!Y14*'Uitgangspunten debiet+ vrachten'!$E$57</f>
        <v>2178.7350000000001</v>
      </c>
      <c r="G88" s="15">
        <f>'Prognose Deelgebieden '!AF14*'Uitgangspunten debiet+ vrachten'!$E$58</f>
        <v>1413.75</v>
      </c>
    </row>
    <row r="89" spans="1:7" x14ac:dyDescent="0.3">
      <c r="A89" s="170">
        <v>2031</v>
      </c>
      <c r="B89" s="3"/>
      <c r="C89" s="16">
        <f t="shared" si="8"/>
        <v>1328.4</v>
      </c>
      <c r="D89" s="3">
        <f t="shared" si="8"/>
        <v>115</v>
      </c>
      <c r="E89" s="14">
        <f>'Prognose Deelgebieden '!P15*'Uitgangspunten debiet+ vrachten'!$E$56</f>
        <v>203.35</v>
      </c>
      <c r="F89" s="14">
        <f>'Prognose Deelgebieden '!Y15*'Uitgangspunten debiet+ vrachten'!$E$57</f>
        <v>2178.7350000000001</v>
      </c>
      <c r="G89" s="15">
        <f>'Prognose Deelgebieden '!AF15*'Uitgangspunten debiet+ vrachten'!$E$58</f>
        <v>1413.75</v>
      </c>
    </row>
    <row r="90" spans="1:7" x14ac:dyDescent="0.3">
      <c r="A90" s="170">
        <v>2032</v>
      </c>
      <c r="B90" s="3"/>
      <c r="C90" s="16">
        <f t="shared" si="8"/>
        <v>1328.4</v>
      </c>
      <c r="D90" s="3">
        <f t="shared" si="8"/>
        <v>115</v>
      </c>
      <c r="E90" s="14">
        <f>'Prognose Deelgebieden '!P16*'Uitgangspunten debiet+ vrachten'!$E$56</f>
        <v>203.35</v>
      </c>
      <c r="F90" s="14">
        <f>'Prognose Deelgebieden '!Y16*'Uitgangspunten debiet+ vrachten'!$E$57</f>
        <v>2178.7350000000001</v>
      </c>
      <c r="G90" s="15">
        <f>'Prognose Deelgebieden '!AF16*'Uitgangspunten debiet+ vrachten'!$E$58</f>
        <v>1413.75</v>
      </c>
    </row>
    <row r="91" spans="1:7" x14ac:dyDescent="0.3">
      <c r="A91" s="170">
        <v>2033</v>
      </c>
      <c r="B91" s="3"/>
      <c r="C91" s="16">
        <f t="shared" si="8"/>
        <v>1328.4</v>
      </c>
      <c r="D91" s="3">
        <f t="shared" si="8"/>
        <v>115</v>
      </c>
      <c r="E91" s="14">
        <f>'Prognose Deelgebieden '!P17*'Uitgangspunten debiet+ vrachten'!$E$56</f>
        <v>203.35</v>
      </c>
      <c r="F91" s="14">
        <f>'Prognose Deelgebieden '!Y17*'Uitgangspunten debiet+ vrachten'!$E$57</f>
        <v>2178.7350000000001</v>
      </c>
      <c r="G91" s="15">
        <f>'Prognose Deelgebieden '!AF17*'Uitgangspunten debiet+ vrachten'!$E$58</f>
        <v>1413.75</v>
      </c>
    </row>
    <row r="92" spans="1:7" x14ac:dyDescent="0.3">
      <c r="A92" s="170">
        <v>2034</v>
      </c>
      <c r="B92" s="3"/>
      <c r="C92" s="16">
        <f t="shared" si="8"/>
        <v>1328.4</v>
      </c>
      <c r="D92" s="3">
        <f t="shared" si="8"/>
        <v>115</v>
      </c>
      <c r="E92" s="14">
        <f>'Prognose Deelgebieden '!P18*'Uitgangspunten debiet+ vrachten'!$E$56</f>
        <v>203.35</v>
      </c>
      <c r="F92" s="14">
        <f>'Prognose Deelgebieden '!Y18*'Uitgangspunten debiet+ vrachten'!$E$57</f>
        <v>2178.7350000000001</v>
      </c>
      <c r="G92" s="15">
        <f>'Prognose Deelgebieden '!AF18*'Uitgangspunten debiet+ vrachten'!$E$58</f>
        <v>1413.75</v>
      </c>
    </row>
    <row r="93" spans="1:7" x14ac:dyDescent="0.3">
      <c r="A93" s="170">
        <v>2035</v>
      </c>
      <c r="B93" s="3"/>
      <c r="C93" s="16">
        <f t="shared" si="8"/>
        <v>1328.4</v>
      </c>
      <c r="D93" s="3">
        <f t="shared" si="8"/>
        <v>115</v>
      </c>
      <c r="E93" s="14">
        <f>'Prognose Deelgebieden '!P19*'Uitgangspunten debiet+ vrachten'!$E$56</f>
        <v>203.35</v>
      </c>
      <c r="F93" s="14">
        <f>'Prognose Deelgebieden '!Y19*'Uitgangspunten debiet+ vrachten'!$E$57</f>
        <v>2178.7350000000001</v>
      </c>
      <c r="G93" s="15">
        <f>'Prognose Deelgebieden '!AF19*'Uitgangspunten debiet+ vrachten'!$E$58</f>
        <v>1413.75</v>
      </c>
    </row>
    <row r="94" spans="1:7" x14ac:dyDescent="0.3">
      <c r="A94" s="170">
        <v>2036</v>
      </c>
      <c r="B94" s="3"/>
      <c r="C94" s="16">
        <f t="shared" si="8"/>
        <v>1328.4</v>
      </c>
      <c r="D94" s="3">
        <f t="shared" si="8"/>
        <v>115</v>
      </c>
      <c r="E94" s="14">
        <f>'Prognose Deelgebieden '!P20*'Uitgangspunten debiet+ vrachten'!$E$56</f>
        <v>203.35</v>
      </c>
      <c r="F94" s="14">
        <f>'Prognose Deelgebieden '!Y20*'Uitgangspunten debiet+ vrachten'!$E$57</f>
        <v>2178.7350000000001</v>
      </c>
      <c r="G94" s="15">
        <f>'Prognose Deelgebieden '!AF20*'Uitgangspunten debiet+ vrachten'!$E$58</f>
        <v>1413.75</v>
      </c>
    </row>
    <row r="95" spans="1:7" x14ac:dyDescent="0.3">
      <c r="A95" s="170">
        <v>2037</v>
      </c>
      <c r="B95" s="3"/>
      <c r="C95" s="16">
        <f t="shared" si="8"/>
        <v>1328.4</v>
      </c>
      <c r="D95" s="3">
        <f t="shared" si="8"/>
        <v>115</v>
      </c>
      <c r="E95" s="14">
        <f>'Prognose Deelgebieden '!P21*'Uitgangspunten debiet+ vrachten'!$E$56</f>
        <v>203.35</v>
      </c>
      <c r="F95" s="14">
        <f>'Prognose Deelgebieden '!Y21*'Uitgangspunten debiet+ vrachten'!$E$57</f>
        <v>2178.7350000000001</v>
      </c>
      <c r="G95" s="15">
        <f>'Prognose Deelgebieden '!AF21*'Uitgangspunten debiet+ vrachten'!$E$58</f>
        <v>1413.75</v>
      </c>
    </row>
    <row r="96" spans="1:7" x14ac:dyDescent="0.3">
      <c r="A96" s="170">
        <v>2038</v>
      </c>
      <c r="B96" s="3"/>
      <c r="C96" s="16">
        <f t="shared" si="8"/>
        <v>1328.4</v>
      </c>
      <c r="D96" s="3">
        <f t="shared" si="8"/>
        <v>115</v>
      </c>
      <c r="E96" s="14">
        <f>'Prognose Deelgebieden '!P22*'Uitgangspunten debiet+ vrachten'!$E$56</f>
        <v>203.35</v>
      </c>
      <c r="F96" s="14">
        <f>'Prognose Deelgebieden '!Y22*'Uitgangspunten debiet+ vrachten'!$E$57</f>
        <v>2178.7350000000001</v>
      </c>
      <c r="G96" s="15">
        <f>'Prognose Deelgebieden '!AF22*'Uitgangspunten debiet+ vrachten'!$E$58</f>
        <v>1413.75</v>
      </c>
    </row>
    <row r="97" spans="1:7" x14ac:dyDescent="0.3">
      <c r="A97" s="170">
        <v>2039</v>
      </c>
      <c r="B97" s="3"/>
      <c r="C97" s="16">
        <f t="shared" si="8"/>
        <v>1328.4</v>
      </c>
      <c r="D97" s="3">
        <f t="shared" si="8"/>
        <v>115</v>
      </c>
      <c r="E97" s="14">
        <f>'Prognose Deelgebieden '!P23*'Uitgangspunten debiet+ vrachten'!$E$56</f>
        <v>203.35</v>
      </c>
      <c r="F97" s="14">
        <f>'Prognose Deelgebieden '!Y23*'Uitgangspunten debiet+ vrachten'!$E$57</f>
        <v>2178.7350000000001</v>
      </c>
      <c r="G97" s="15">
        <f>'Prognose Deelgebieden '!AF23*'Uitgangspunten debiet+ vrachten'!$E$58</f>
        <v>1413.75</v>
      </c>
    </row>
    <row r="98" spans="1:7" x14ac:dyDescent="0.3">
      <c r="A98" s="170">
        <v>2040</v>
      </c>
      <c r="B98" s="3"/>
      <c r="C98" s="16">
        <f t="shared" si="8"/>
        <v>1328.4</v>
      </c>
      <c r="D98" s="3">
        <f t="shared" si="8"/>
        <v>115</v>
      </c>
      <c r="E98" s="14">
        <f>'Prognose Deelgebieden '!P24*'Uitgangspunten debiet+ vrachten'!$E$56</f>
        <v>203.35</v>
      </c>
      <c r="F98" s="14">
        <f>'Prognose Deelgebieden '!Y24*'Uitgangspunten debiet+ vrachten'!$E$57</f>
        <v>2178.7350000000001</v>
      </c>
      <c r="G98" s="15">
        <f>'Prognose Deelgebieden '!AF24*'Uitgangspunten debiet+ vrachten'!$E$58</f>
        <v>1413.75</v>
      </c>
    </row>
    <row r="99" spans="1:7" x14ac:dyDescent="0.3">
      <c r="A99" s="170">
        <v>2041</v>
      </c>
      <c r="B99" s="3"/>
      <c r="C99" s="16">
        <f t="shared" si="8"/>
        <v>1328.4</v>
      </c>
      <c r="D99" s="3">
        <f t="shared" si="8"/>
        <v>115</v>
      </c>
      <c r="E99" s="14">
        <f>'Prognose Deelgebieden '!P25*'Uitgangspunten debiet+ vrachten'!$E$56</f>
        <v>203.35</v>
      </c>
      <c r="F99" s="14">
        <f>'Prognose Deelgebieden '!Y25*'Uitgangspunten debiet+ vrachten'!$E$57</f>
        <v>2178.7350000000001</v>
      </c>
      <c r="G99" s="15">
        <f>'Prognose Deelgebieden '!AF25*'Uitgangspunten debiet+ vrachten'!$E$58</f>
        <v>1413.75</v>
      </c>
    </row>
    <row r="100" spans="1:7" x14ac:dyDescent="0.3">
      <c r="A100" s="170">
        <v>2042</v>
      </c>
      <c r="B100" s="3"/>
      <c r="C100" s="16">
        <f t="shared" si="8"/>
        <v>1328.4</v>
      </c>
      <c r="D100" s="3">
        <f t="shared" si="8"/>
        <v>115</v>
      </c>
      <c r="E100" s="14">
        <f>'Prognose Deelgebieden '!P26*'Uitgangspunten debiet+ vrachten'!$E$56</f>
        <v>203.35</v>
      </c>
      <c r="F100" s="14">
        <f>'Prognose Deelgebieden '!Y26*'Uitgangspunten debiet+ vrachten'!$E$57</f>
        <v>2178.7350000000001</v>
      </c>
      <c r="G100" s="15">
        <f>'Prognose Deelgebieden '!AF26*'Uitgangspunten debiet+ vrachten'!$E$58</f>
        <v>1413.75</v>
      </c>
    </row>
    <row r="101" spans="1:7" x14ac:dyDescent="0.3">
      <c r="A101" s="170">
        <v>2043</v>
      </c>
      <c r="B101" s="3"/>
      <c r="C101" s="16">
        <f t="shared" si="8"/>
        <v>1328.4</v>
      </c>
      <c r="D101" s="3">
        <f t="shared" si="8"/>
        <v>115</v>
      </c>
      <c r="E101" s="14">
        <f>'Prognose Deelgebieden '!P27*'Uitgangspunten debiet+ vrachten'!$E$56</f>
        <v>203.35</v>
      </c>
      <c r="F101" s="14">
        <f>'Prognose Deelgebieden '!Y27*'Uitgangspunten debiet+ vrachten'!$E$57</f>
        <v>2178.7350000000001</v>
      </c>
      <c r="G101" s="15">
        <f>'Prognose Deelgebieden '!AF27*'Uitgangspunten debiet+ vrachten'!$E$58</f>
        <v>1413.75</v>
      </c>
    </row>
    <row r="102" spans="1:7" x14ac:dyDescent="0.3">
      <c r="A102" s="170">
        <v>2044</v>
      </c>
      <c r="B102" s="3"/>
      <c r="C102" s="16">
        <f t="shared" si="8"/>
        <v>1328.4</v>
      </c>
      <c r="D102" s="3">
        <f t="shared" si="8"/>
        <v>115</v>
      </c>
      <c r="E102" s="14">
        <f>'Prognose Deelgebieden '!P28*'Uitgangspunten debiet+ vrachten'!$E$56</f>
        <v>203.35</v>
      </c>
      <c r="F102" s="14">
        <f>'Prognose Deelgebieden '!Y28*'Uitgangspunten debiet+ vrachten'!$E$57</f>
        <v>2178.7350000000001</v>
      </c>
      <c r="G102" s="15">
        <f>'Prognose Deelgebieden '!AF28*'Uitgangspunten debiet+ vrachten'!$E$58</f>
        <v>1413.75</v>
      </c>
    </row>
    <row r="103" spans="1:7" x14ac:dyDescent="0.3">
      <c r="A103" s="170">
        <v>2045</v>
      </c>
      <c r="B103" s="3"/>
      <c r="C103" s="16">
        <f t="shared" si="8"/>
        <v>1328.4</v>
      </c>
      <c r="D103" s="3">
        <f t="shared" si="8"/>
        <v>115</v>
      </c>
      <c r="E103" s="14">
        <f>'Prognose Deelgebieden '!P29*'Uitgangspunten debiet+ vrachten'!$E$56</f>
        <v>203.35</v>
      </c>
      <c r="F103" s="14">
        <f>'Prognose Deelgebieden '!Y29*'Uitgangspunten debiet+ vrachten'!$E$57</f>
        <v>2178.7350000000001</v>
      </c>
      <c r="G103" s="15">
        <f>'Prognose Deelgebieden '!AF29*'Uitgangspunten debiet+ vrachten'!$E$58</f>
        <v>1413.75</v>
      </c>
    </row>
    <row r="104" spans="1:7" x14ac:dyDescent="0.3">
      <c r="A104" s="170">
        <v>2046</v>
      </c>
      <c r="B104" s="3"/>
      <c r="C104" s="16">
        <f t="shared" si="8"/>
        <v>1328.4</v>
      </c>
      <c r="D104" s="3">
        <f t="shared" si="8"/>
        <v>115</v>
      </c>
      <c r="E104" s="14">
        <f>'Prognose Deelgebieden '!P30*'Uitgangspunten debiet+ vrachten'!$E$56</f>
        <v>203.35</v>
      </c>
      <c r="F104" s="14">
        <f>'Prognose Deelgebieden '!Y30*'Uitgangspunten debiet+ vrachten'!$E$57</f>
        <v>2178.7350000000001</v>
      </c>
      <c r="G104" s="15">
        <f>'Prognose Deelgebieden '!AF30*'Uitgangspunten debiet+ vrachten'!$E$58</f>
        <v>1413.75</v>
      </c>
    </row>
    <row r="105" spans="1:7" x14ac:dyDescent="0.3">
      <c r="A105" s="170">
        <v>2047</v>
      </c>
      <c r="B105" s="3"/>
      <c r="C105" s="16">
        <f t="shared" si="8"/>
        <v>1328.4</v>
      </c>
      <c r="D105" s="3">
        <f t="shared" si="8"/>
        <v>115</v>
      </c>
      <c r="E105" s="14">
        <f>'Prognose Deelgebieden '!P31*'Uitgangspunten debiet+ vrachten'!$E$56</f>
        <v>203.35</v>
      </c>
      <c r="F105" s="14">
        <f>'Prognose Deelgebieden '!Y31*'Uitgangspunten debiet+ vrachten'!$E$57</f>
        <v>2178.7350000000001</v>
      </c>
      <c r="G105" s="15">
        <f>'Prognose Deelgebieden '!AF31*'Uitgangspunten debiet+ vrachten'!$E$58</f>
        <v>1413.75</v>
      </c>
    </row>
    <row r="106" spans="1:7" x14ac:dyDescent="0.3">
      <c r="A106" s="170">
        <v>2048</v>
      </c>
      <c r="B106" s="3"/>
      <c r="C106" s="16">
        <f t="shared" si="8"/>
        <v>1328.4</v>
      </c>
      <c r="D106" s="3">
        <f t="shared" si="8"/>
        <v>115</v>
      </c>
      <c r="E106" s="14">
        <f>'Prognose Deelgebieden '!P32*'Uitgangspunten debiet+ vrachten'!$E$56</f>
        <v>203.35</v>
      </c>
      <c r="F106" s="14">
        <f>'Prognose Deelgebieden '!Y32*'Uitgangspunten debiet+ vrachten'!$E$57</f>
        <v>2178.7350000000001</v>
      </c>
      <c r="G106" s="15">
        <f>'Prognose Deelgebieden '!AF32*'Uitgangspunten debiet+ vrachten'!$E$58</f>
        <v>1413.75</v>
      </c>
    </row>
    <row r="107" spans="1:7" x14ac:dyDescent="0.3">
      <c r="A107" s="170">
        <v>2049</v>
      </c>
      <c r="B107" s="3"/>
      <c r="C107" s="16">
        <f t="shared" si="8"/>
        <v>1328.4</v>
      </c>
      <c r="D107" s="3">
        <f t="shared" si="8"/>
        <v>115</v>
      </c>
      <c r="E107" s="14">
        <f>'Prognose Deelgebieden '!P33*'Uitgangspunten debiet+ vrachten'!$E$56</f>
        <v>203.35</v>
      </c>
      <c r="F107" s="14">
        <f>'Prognose Deelgebieden '!Y33*'Uitgangspunten debiet+ vrachten'!$E$57</f>
        <v>2178.7350000000001</v>
      </c>
      <c r="G107" s="15">
        <f>'Prognose Deelgebieden '!AF33*'Uitgangspunten debiet+ vrachten'!$E$58</f>
        <v>1413.75</v>
      </c>
    </row>
    <row r="108" spans="1:7" x14ac:dyDescent="0.3">
      <c r="A108" s="170">
        <v>2050</v>
      </c>
      <c r="B108" s="3"/>
      <c r="C108" s="16">
        <f t="shared" si="8"/>
        <v>1328.4</v>
      </c>
      <c r="D108" s="3">
        <f t="shared" si="8"/>
        <v>115</v>
      </c>
      <c r="E108" s="14">
        <f>'Prognose Deelgebieden '!P34*'Uitgangspunten debiet+ vrachten'!$E$56</f>
        <v>203.35</v>
      </c>
      <c r="F108" s="14">
        <f>'Prognose Deelgebieden '!Y34*'Uitgangspunten debiet+ vrachten'!$E$57</f>
        <v>2178.7350000000001</v>
      </c>
      <c r="G108" s="15">
        <f>'Prognose Deelgebieden '!AF34*'Uitgangspunten debiet+ vrachten'!$E$58</f>
        <v>1413.75</v>
      </c>
    </row>
    <row r="109" spans="1:7" x14ac:dyDescent="0.3">
      <c r="A109" s="170">
        <v>2051</v>
      </c>
      <c r="B109" s="54"/>
      <c r="C109" s="256">
        <f t="shared" si="8"/>
        <v>1328.4</v>
      </c>
      <c r="D109" s="62">
        <f t="shared" si="8"/>
        <v>115</v>
      </c>
      <c r="E109" s="39">
        <f>'Prognose Deelgebieden '!P35*'Uitgangspunten debiet+ vrachten'!$E$56</f>
        <v>203.35</v>
      </c>
      <c r="F109" s="39">
        <f>'Prognose Deelgebieden '!Y35*'Uitgangspunten debiet+ vrachten'!$E$57</f>
        <v>2178.7350000000001</v>
      </c>
      <c r="G109" s="40">
        <f>'Prognose Deelgebieden '!AF35*'Uitgangspunten debiet+ vrachten'!$E$58</f>
        <v>1413.75</v>
      </c>
    </row>
  </sheetData>
  <mergeCells count="5">
    <mergeCell ref="C40:G40"/>
    <mergeCell ref="H40:L40"/>
    <mergeCell ref="M40:Q40"/>
    <mergeCell ref="R40:V40"/>
    <mergeCell ref="C76:D7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EF0D6-BD52-430B-A810-714A05C27B95}">
  <dimension ref="A1"/>
  <sheetViews>
    <sheetView zoomScale="85" zoomScaleNormal="85" workbookViewId="0">
      <selection activeCell="AF24" sqref="AF24"/>
    </sheetView>
  </sheetViews>
  <sheetFormatPr defaultColWidth="8.88671875" defaultRowHeight="14.4" x14ac:dyDescent="0.3"/>
  <cols>
    <col min="1" max="16384" width="8.8867187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Prognose Deelgebieden </vt:lpstr>
      <vt:lpstr>Uitgangspunten debiet+ vrachten</vt:lpstr>
      <vt:lpstr>ZW Vrachten door de tijd</vt:lpstr>
      <vt:lpstr>GW vrachten door de tijd</vt:lpstr>
      <vt:lpstr>Visualisatie vrachten</vt:lpstr>
      <vt:lpstr>Peiljaren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2021-02-23T14:45:56Z</dcterms:modified>
</cp:coreProperties>
</file>