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eridiaan\Aanbesteding 2020_2021\Uitlever\"/>
    </mc:Choice>
  </mc:AlternateContent>
  <xr:revisionPtr revIDLastSave="0" documentId="8_{AD63A7B2-DAB4-4511-9F29-445D723D8EF0}" xr6:coauthVersionLast="45" xr6:coauthVersionMax="45" xr10:uidLastSave="{00000000-0000-0000-0000-000000000000}"/>
  <bookViews>
    <workbookView xWindow="1905" yWindow="1905" windowWidth="21600" windowHeight="11385" firstSheet="5" activeTab="10" xr2:uid="{3D17F8EB-9ABB-4920-A1C2-2885D4E6CF41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" sheetId="9" r:id="rId9"/>
    <sheet name="Afroep incidenteel" sheetId="10" r:id="rId10"/>
    <sheet name="Totaal" sheetId="11" r:id="rId11"/>
  </sheets>
  <definedNames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Objecten'!$1:$3</definedName>
    <definedName name="catdw_1_AHB_1">Categorienormen!$F$16</definedName>
    <definedName name="catdw_1_AHV_40">Categorienormen!$F$17</definedName>
    <definedName name="catdw_1_BHB_1">Categorienormen!$F$6</definedName>
    <definedName name="catdw_1_BHV_40">Categorienormen!$F$7</definedName>
    <definedName name="catdw_1_DHB_1">Categorienormen!$F$10</definedName>
    <definedName name="catdw_1_DHV_40">Categorienormen!$F$11</definedName>
    <definedName name="catdw_1_EZB_1">Categorienormen!$F$18</definedName>
    <definedName name="catdw_1_EZV_40">Categorienormen!$F$19</definedName>
    <definedName name="catdw_1_GHB_1">Categorienormen!$F$20</definedName>
    <definedName name="catdw_1_GHV_40">Categorienormen!$F$21</definedName>
    <definedName name="catdw_1_KHB_1">Categorienormen!$F$12</definedName>
    <definedName name="catdw_1_KHV_40">Categorienormen!$F$13</definedName>
    <definedName name="catdw_1_LHB_1">Categorienormen!$F$8</definedName>
    <definedName name="catdw_1_LHV_40">Categorienormen!$F$9</definedName>
    <definedName name="catdw_1_PHB_1">Categorienormen!$F$22</definedName>
    <definedName name="catdw_1_PHV_40">Categorienormen!$F$23</definedName>
    <definedName name="catdw_1_SHB_1">Categorienormen!$F$14</definedName>
    <definedName name="catdw_1_SHV_40">Categorienormen!$F$15</definedName>
    <definedName name="catdw_1_THB_1">Categorienormen!$F$24</definedName>
    <definedName name="catdw_1_THV_40">Categorienormen!$F$25</definedName>
    <definedName name="catdw_1_VHB_1">Categorienormen!$F$26</definedName>
    <definedName name="catdw_1_VHV_40">Categorienormen!$F$27</definedName>
    <definedName name="catdw_1_VZB_1">Categorienormen!$F$28</definedName>
    <definedName name="catdw_1_VZV_40">Categorienormen!$F$29</definedName>
    <definedName name="catfd_1_AHB_1">Categorienormen!$C$16</definedName>
    <definedName name="catfd_1_AHV_40">Categorienormen!$C$17</definedName>
    <definedName name="catfd_1_BHB_1">Categorienormen!$C$6</definedName>
    <definedName name="catfd_1_BHV_40">Categorienormen!$C$7</definedName>
    <definedName name="catfd_1_DHB_1">Categorienormen!$C$10</definedName>
    <definedName name="catfd_1_DHV_40">Categorienormen!$C$11</definedName>
    <definedName name="catfd_1_EZB_1">Categorienormen!$C$18</definedName>
    <definedName name="catfd_1_EZV_40">Categorienormen!$C$19</definedName>
    <definedName name="catfd_1_GHB_1">Categorienormen!$C$20</definedName>
    <definedName name="catfd_1_GHV_40">Categorienormen!$C$21</definedName>
    <definedName name="catfd_1_KHB_1">Categorienormen!$C$12</definedName>
    <definedName name="catfd_1_KHV_40">Categorienormen!$C$13</definedName>
    <definedName name="catfd_1_LHB_1">Categorienormen!$C$8</definedName>
    <definedName name="catfd_1_LHV_40">Categorienormen!$C$9</definedName>
    <definedName name="catfd_1_PHB_1">Categorienormen!$C$22</definedName>
    <definedName name="catfd_1_PHV_40">Categorienormen!$C$23</definedName>
    <definedName name="catfd_1_SHB_1">Categorienormen!$C$14</definedName>
    <definedName name="catfd_1_SHV_40">Categorienormen!$C$15</definedName>
    <definedName name="catfd_1_THB_1">Categorienormen!$C$24</definedName>
    <definedName name="catfd_1_THV_40">Categorienormen!$C$25</definedName>
    <definedName name="catfd_1_VHB_1">Categorienormen!$C$26</definedName>
    <definedName name="catfd_1_VHV_40">Categorienormen!$C$27</definedName>
    <definedName name="catfd_1_VZB_1">Categorienormen!$C$28</definedName>
    <definedName name="catfd_1_VZV_40">Categorienormen!$C$29</definedName>
    <definedName name="catpn_1_AHB_1">Categorienormen!$E$16</definedName>
    <definedName name="catpn_1_AHV_40">Categorienormen!$E$17</definedName>
    <definedName name="catpn_1_BHB_1">Categorienormen!$E$6</definedName>
    <definedName name="catpn_1_BHV_40">Categorienormen!$E$7</definedName>
    <definedName name="catpn_1_DHB_1">Categorienormen!$E$10</definedName>
    <definedName name="catpn_1_DHV_40">Categorienormen!$E$11</definedName>
    <definedName name="catpn_1_EZB_1">Categorienormen!$E$18</definedName>
    <definedName name="catpn_1_EZV_40">Categorienormen!$E$19</definedName>
    <definedName name="catpn_1_GHB_1">Categorienormen!$E$20</definedName>
    <definedName name="catpn_1_GHV_40">Categorienormen!$E$21</definedName>
    <definedName name="catpn_1_KHB_1">Categorienormen!$E$12</definedName>
    <definedName name="catpn_1_KHV_40">Categorienormen!$E$13</definedName>
    <definedName name="catpn_1_LHB_1">Categorienormen!$E$8</definedName>
    <definedName name="catpn_1_LHV_40">Categorienormen!$E$9</definedName>
    <definedName name="catpn_1_PHB_1">Categorienormen!$E$22</definedName>
    <definedName name="catpn_1_PHV_40">Categorienormen!$E$23</definedName>
    <definedName name="catpn_1_SHB_1">Categorienormen!$E$14</definedName>
    <definedName name="catpn_1_SHV_40">Categorienormen!$E$15</definedName>
    <definedName name="catpn_1_THB_1">Categorienormen!$E$24</definedName>
    <definedName name="catpn_1_THV_40">Categorienormen!$E$25</definedName>
    <definedName name="catpn_1_VHB_1">Categorienormen!$E$26</definedName>
    <definedName name="catpn_1_VHV_40">Categorienormen!$E$27</definedName>
    <definedName name="catpn_1_VZB_1">Categorienormen!$E$28</definedName>
    <definedName name="catpn_1_VZV_40">Categorienormen!$E$29</definedName>
    <definedName name="cattf_1_AHB_1">Categorienormen!$H$16</definedName>
    <definedName name="cattf_1_AHV_40">Categorienormen!$H$17</definedName>
    <definedName name="cattf_1_BHB_1">Categorienormen!$H$6</definedName>
    <definedName name="cattf_1_BHV_40">Categorienormen!$H$7</definedName>
    <definedName name="cattf_1_DHB_1">Categorienormen!$H$10</definedName>
    <definedName name="cattf_1_DHV_40">Categorienormen!$H$11</definedName>
    <definedName name="cattf_1_EZB_1">Categorienormen!$H$18</definedName>
    <definedName name="cattf_1_EZV_40">Categorienormen!$H$19</definedName>
    <definedName name="cattf_1_GHB_1">Categorienormen!$H$20</definedName>
    <definedName name="cattf_1_GHV_40">Categorienormen!$H$21</definedName>
    <definedName name="cattf_1_KHB_1">Categorienormen!$H$12</definedName>
    <definedName name="cattf_1_KHV_40">Categorienormen!$H$13</definedName>
    <definedName name="cattf_1_LHB_1">Categorienormen!$H$8</definedName>
    <definedName name="cattf_1_LHV_40">Categorienormen!$H$9</definedName>
    <definedName name="cattf_1_PHB_1">Categorienormen!$H$22</definedName>
    <definedName name="cattf_1_PHV_40">Categorienormen!$H$23</definedName>
    <definedName name="cattf_1_SHB_1">Categorienormen!$H$14</definedName>
    <definedName name="cattf_1_SHV_40">Categorienormen!$H$15</definedName>
    <definedName name="cattf_1_THB_1">Categorienormen!$H$24</definedName>
    <definedName name="cattf_1_THV_40">Categorienormen!$H$25</definedName>
    <definedName name="cattf_1_VHB_1">Categorienormen!$H$26</definedName>
    <definedName name="cattf_1_VHV_40">Categorienormen!$H$27</definedName>
    <definedName name="cattf_1_VZB_1">Categorienormen!$H$28</definedName>
    <definedName name="cattf_1_VZV_40">Categorienormen!$H$29</definedName>
    <definedName name="dagenperjaar1">Omreken!$B$9</definedName>
    <definedName name="dagenperweek1">Omreken!$B$10</definedName>
    <definedName name="dagsoorttabel1">Omreken!$A$13:$B$27</definedName>
    <definedName name="dagwerk10">'Regulier werk'!$H$14</definedName>
    <definedName name="dagwerk11">'Regulier werk'!$H$15</definedName>
    <definedName name="dagwerk12">'Regulier werk'!$H$16</definedName>
    <definedName name="dagwerk13">'Regulier werk'!$H$17</definedName>
    <definedName name="dagwerk14">'Regulier werk'!$H$18</definedName>
    <definedName name="dagwerk2">'Regulier werk'!$H$6</definedName>
    <definedName name="dagwerk3">'Regulier werk'!$H$7</definedName>
    <definedName name="dagwerk4">'Regulier werk'!$H$8</definedName>
    <definedName name="dagwerk5">'Regulier werk'!$H$9</definedName>
    <definedName name="dagwerk6">'Regulier werk'!$H$10</definedName>
    <definedName name="dagwerk7">'Regulier werk'!$H$11</definedName>
    <definedName name="dagwerk8">'Regulier werk'!$H$12</definedName>
    <definedName name="dagwerk9">'Regulier werk'!$H$13</definedName>
    <definedName name="dagwerktabel1">Objectinformatie!$H$5:$H$17</definedName>
    <definedName name="gemuurtarief1">'Regulier werk'!$J$21</definedName>
    <definedName name="kengetaltabel1">Objectinformatie!$G$5:$G$17</definedName>
    <definedName name="object1_gemuurtarief1">'Ruimten werkdag'!$P$44</definedName>
    <definedName name="object1_opptabel1">Objectinformatie!$J$5:$J$17</definedName>
    <definedName name="object1_prijsdag1">'Ruimten werkdag'!$S$44</definedName>
    <definedName name="object1_prijsjaar1">'Ruimten werkdag'!$U$44</definedName>
    <definedName name="object1_urendag1">'Ruimten werkdag'!$Q$44</definedName>
    <definedName name="object1_urendaghf1">'Ruimten werkdag'!$R$44</definedName>
    <definedName name="object1_urenjaar1">'Ruimten werkdag'!$T$44</definedName>
    <definedName name="objectprijs1_1">Objecten!$Q$6</definedName>
    <definedName name="objecturen1_1">Objecten!$P$6</definedName>
    <definedName name="objecturenhf1_1">Objecten!$O$6</definedName>
    <definedName name="prijsdag1">'Regulier werk'!$L$19</definedName>
    <definedName name="prijsjaar">'Regulier werk'!$N$24</definedName>
    <definedName name="prijsjaar1">'Regulier werk'!$N$19</definedName>
    <definedName name="prijsjaarafroep">Afroep!$K$13</definedName>
    <definedName name="prijsjaarafroep1">Afroep!$K$11</definedName>
    <definedName name="prijsjaarnietmeewerkend">'Niet-meewerkende objectleiding'!$J$18</definedName>
    <definedName name="prijsjaartotaal">Objecten!$Q$10</definedName>
    <definedName name="prijsjaartotaal1">Objecten!$Q$7</definedName>
    <definedName name="prijsjaartotaaloverzicht">'Totaalblad Objecten'!$G$6</definedName>
    <definedName name="prijsmaandtotaal1">Objecten!$R$7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2">'Regulier werk'!$G$6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Objectinformatie!$E$5:$E$17</definedName>
    <definedName name="tabeltype">Omreken!$B$5:$B$5</definedName>
    <definedName name="tarieftabel1">Objectinformatie!$I$5:$I$17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werk'!$K$19</definedName>
    <definedName name="urenjaar">'Regulier werk'!$M$24</definedName>
    <definedName name="urenjaar1">'Regulier werk'!$M$19</definedName>
    <definedName name="urenjaarnietmeewerkend">'Niet-meewerkende objectleiding'!$H$18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Objecten'!$F$6</definedName>
    <definedName name="urenjaartotaaloverzichthf">'Totaalblad Objecten'!$E$6</definedName>
    <definedName name="uurfactortabel1">Objectinformatie!$F$5:$F$17</definedName>
    <definedName name="uurtarief10">'Regulier werk'!$J$14</definedName>
    <definedName name="uurtarief11">'Regulier werk'!$J$15</definedName>
    <definedName name="uurtarief12">'Regulier werk'!$J$16</definedName>
    <definedName name="uurtarief13">'Regulier werk'!$J$17</definedName>
    <definedName name="uurtarief14">'Regulier werk'!$J$18</definedName>
    <definedName name="uurtarief2">'Regulier werk'!$J$6</definedName>
    <definedName name="uurtarief3">'Regulier werk'!$J$7</definedName>
    <definedName name="uurtarief4">'Regulier werk'!$J$8</definedName>
    <definedName name="uurtarief5">'Regulier werk'!$J$9</definedName>
    <definedName name="uurtarief6">'Regulier werk'!$J$10</definedName>
    <definedName name="uurtarief7">'Regulier werk'!$J$11</definedName>
    <definedName name="uurtarief8">'Regulier werk'!$J$12</definedName>
    <definedName name="uurtarief9">'Regulier werk'!$J$13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A1" i="10"/>
  <c r="J10" i="9"/>
  <c r="C10" i="9"/>
  <c r="K10" i="9" s="1"/>
  <c r="L10" i="9" s="1"/>
  <c r="J9" i="9"/>
  <c r="C9" i="9"/>
  <c r="K9" i="9" s="1"/>
  <c r="L9" i="9" s="1"/>
  <c r="J8" i="9"/>
  <c r="J7" i="9"/>
  <c r="C7" i="9"/>
  <c r="K7" i="9" s="1"/>
  <c r="L7" i="9" s="1"/>
  <c r="J6" i="9"/>
  <c r="C6" i="9"/>
  <c r="K6" i="9" s="1"/>
  <c r="A1" i="9"/>
  <c r="A1" i="8"/>
  <c r="J13" i="7"/>
  <c r="J15" i="7" s="1"/>
  <c r="J18" i="7" s="1"/>
  <c r="J12" i="7"/>
  <c r="K12" i="7" s="1"/>
  <c r="I12" i="7"/>
  <c r="H12" i="7"/>
  <c r="C12" i="7"/>
  <c r="J11" i="7"/>
  <c r="K11" i="7" s="1"/>
  <c r="H11" i="7"/>
  <c r="C11" i="7"/>
  <c r="I11" i="7" s="1"/>
  <c r="K10" i="7"/>
  <c r="J10" i="7"/>
  <c r="H10" i="7"/>
  <c r="C10" i="7"/>
  <c r="I10" i="7" s="1"/>
  <c r="J9" i="7"/>
  <c r="K9" i="7" s="1"/>
  <c r="H9" i="7"/>
  <c r="I9" i="7" s="1"/>
  <c r="C9" i="7"/>
  <c r="K8" i="7"/>
  <c r="K13" i="7" s="1"/>
  <c r="K15" i="7" s="1"/>
  <c r="K18" i="7" s="1"/>
  <c r="K20" i="7" s="1"/>
  <c r="J8" i="7"/>
  <c r="C8" i="7"/>
  <c r="A1" i="7"/>
  <c r="A1" i="6"/>
  <c r="E17" i="5"/>
  <c r="H16" i="5"/>
  <c r="G16" i="5"/>
  <c r="E16" i="5"/>
  <c r="I15" i="5"/>
  <c r="H15" i="5"/>
  <c r="E15" i="5"/>
  <c r="H14" i="5"/>
  <c r="I11" i="5"/>
  <c r="E11" i="5"/>
  <c r="E10" i="5"/>
  <c r="E9" i="5"/>
  <c r="H8" i="5"/>
  <c r="G8" i="5"/>
  <c r="E8" i="5"/>
  <c r="I7" i="5"/>
  <c r="H7" i="5"/>
  <c r="E7" i="5"/>
  <c r="H6" i="5"/>
  <c r="M43" i="4"/>
  <c r="L42" i="4"/>
  <c r="M40" i="4"/>
  <c r="L40" i="4"/>
  <c r="M39" i="4"/>
  <c r="Q39" i="4" s="1"/>
  <c r="L39" i="4"/>
  <c r="N38" i="4"/>
  <c r="L36" i="4"/>
  <c r="P35" i="4"/>
  <c r="N35" i="4"/>
  <c r="L35" i="4"/>
  <c r="N34" i="4"/>
  <c r="M33" i="4"/>
  <c r="L33" i="4"/>
  <c r="Q33" i="4" s="1"/>
  <c r="T33" i="4" s="1"/>
  <c r="Q32" i="4"/>
  <c r="T32" i="4" s="1"/>
  <c r="U32" i="4" s="1"/>
  <c r="P32" i="4"/>
  <c r="N32" i="4"/>
  <c r="M32" i="4"/>
  <c r="R32" i="4" s="1"/>
  <c r="L32" i="4"/>
  <c r="P31" i="4"/>
  <c r="M31" i="4"/>
  <c r="P28" i="4"/>
  <c r="N28" i="4"/>
  <c r="M28" i="4"/>
  <c r="M27" i="4"/>
  <c r="P25" i="4"/>
  <c r="P24" i="4"/>
  <c r="N24" i="4"/>
  <c r="L24" i="4"/>
  <c r="L22" i="4"/>
  <c r="N21" i="4"/>
  <c r="M21" i="4"/>
  <c r="L21" i="4"/>
  <c r="L20" i="4"/>
  <c r="N18" i="4"/>
  <c r="L18" i="4"/>
  <c r="P17" i="4"/>
  <c r="N17" i="4"/>
  <c r="M17" i="4"/>
  <c r="Q17" i="4" s="1"/>
  <c r="L17" i="4"/>
  <c r="P15" i="4"/>
  <c r="N15" i="4"/>
  <c r="M15" i="4"/>
  <c r="P14" i="4"/>
  <c r="N14" i="4"/>
  <c r="M14" i="4"/>
  <c r="L14" i="4"/>
  <c r="Q13" i="4"/>
  <c r="T13" i="4" s="1"/>
  <c r="U13" i="4" s="1"/>
  <c r="P13" i="4"/>
  <c r="S13" i="4" s="1"/>
  <c r="N13" i="4"/>
  <c r="M13" i="4"/>
  <c r="L13" i="4"/>
  <c r="P12" i="4"/>
  <c r="M12" i="4"/>
  <c r="L12" i="4"/>
  <c r="P11" i="4"/>
  <c r="N11" i="4"/>
  <c r="M11" i="4"/>
  <c r="P10" i="4"/>
  <c r="N10" i="4"/>
  <c r="M10" i="4"/>
  <c r="L10" i="4"/>
  <c r="Q10" i="4" s="1"/>
  <c r="P9" i="4"/>
  <c r="M8" i="4"/>
  <c r="Q8" i="4" s="1"/>
  <c r="T8" i="4" s="1"/>
  <c r="L8" i="4"/>
  <c r="M7" i="4"/>
  <c r="Q7" i="4" s="1"/>
  <c r="L7" i="4"/>
  <c r="P6" i="4"/>
  <c r="N6" i="4"/>
  <c r="A1" i="4"/>
  <c r="J18" i="3"/>
  <c r="P29" i="4" s="1"/>
  <c r="H18" i="3"/>
  <c r="N29" i="4" s="1"/>
  <c r="G18" i="3"/>
  <c r="M29" i="4" s="1"/>
  <c r="F18" i="3"/>
  <c r="K17" i="3"/>
  <c r="M17" i="3" s="1"/>
  <c r="N17" i="3" s="1"/>
  <c r="J17" i="3"/>
  <c r="L17" i="3" s="1"/>
  <c r="H17" i="3"/>
  <c r="N7" i="4" s="1"/>
  <c r="G17" i="3"/>
  <c r="F17" i="3"/>
  <c r="K16" i="3"/>
  <c r="M16" i="3" s="1"/>
  <c r="N16" i="3" s="1"/>
  <c r="J16" i="3"/>
  <c r="P38" i="4" s="1"/>
  <c r="H16" i="3"/>
  <c r="G16" i="3"/>
  <c r="G15" i="5" s="1"/>
  <c r="J15" i="3"/>
  <c r="I14" i="5" s="1"/>
  <c r="H15" i="3"/>
  <c r="N5" i="4" s="1"/>
  <c r="G15" i="3"/>
  <c r="M35" i="4" s="1"/>
  <c r="J14" i="3"/>
  <c r="P20" i="4" s="1"/>
  <c r="H14" i="3"/>
  <c r="N20" i="4" s="1"/>
  <c r="G14" i="3"/>
  <c r="M20" i="4" s="1"/>
  <c r="F14" i="3"/>
  <c r="K13" i="3"/>
  <c r="M13" i="3" s="1"/>
  <c r="N13" i="3" s="1"/>
  <c r="J13" i="3"/>
  <c r="P41" i="4" s="1"/>
  <c r="H13" i="3"/>
  <c r="N42" i="4" s="1"/>
  <c r="G13" i="3"/>
  <c r="M42" i="4" s="1"/>
  <c r="F13" i="3"/>
  <c r="K12" i="3"/>
  <c r="M12" i="3" s="1"/>
  <c r="N12" i="3" s="1"/>
  <c r="J12" i="3"/>
  <c r="P33" i="4" s="1"/>
  <c r="S33" i="4" s="1"/>
  <c r="H12" i="3"/>
  <c r="N12" i="4" s="1"/>
  <c r="G12" i="3"/>
  <c r="G11" i="5" s="1"/>
  <c r="J11" i="3"/>
  <c r="P30" i="4" s="1"/>
  <c r="H11" i="3"/>
  <c r="N31" i="4" s="1"/>
  <c r="G11" i="3"/>
  <c r="M30" i="4" s="1"/>
  <c r="J10" i="3"/>
  <c r="P37" i="4" s="1"/>
  <c r="H10" i="3"/>
  <c r="N9" i="4" s="1"/>
  <c r="G10" i="3"/>
  <c r="M9" i="4" s="1"/>
  <c r="F10" i="3"/>
  <c r="K9" i="3"/>
  <c r="M9" i="3" s="1"/>
  <c r="N9" i="3" s="1"/>
  <c r="J9" i="3"/>
  <c r="P27" i="4" s="1"/>
  <c r="H9" i="3"/>
  <c r="N27" i="4" s="1"/>
  <c r="G9" i="3"/>
  <c r="M18" i="4" s="1"/>
  <c r="F9" i="3"/>
  <c r="K8" i="3"/>
  <c r="M8" i="3" s="1"/>
  <c r="N8" i="3" s="1"/>
  <c r="J8" i="3"/>
  <c r="H8" i="3"/>
  <c r="G8" i="3"/>
  <c r="G7" i="5" s="1"/>
  <c r="J7" i="3"/>
  <c r="I6" i="5" s="1"/>
  <c r="H7" i="3"/>
  <c r="N16" i="4" s="1"/>
  <c r="G7" i="3"/>
  <c r="G6" i="5" s="1"/>
  <c r="J6" i="3"/>
  <c r="I5" i="5" s="1"/>
  <c r="H6" i="3"/>
  <c r="H5" i="5" s="1"/>
  <c r="G6" i="3"/>
  <c r="G5" i="5" s="1"/>
  <c r="F6" i="3"/>
  <c r="A1" i="3"/>
  <c r="A1" i="2"/>
  <c r="B27" i="1"/>
  <c r="B26" i="1"/>
  <c r="B25" i="1"/>
  <c r="B24" i="1"/>
  <c r="B23" i="1"/>
  <c r="B22" i="1"/>
  <c r="C8" i="9" s="1"/>
  <c r="K8" i="9" s="1"/>
  <c r="L8" i="9" s="1"/>
  <c r="B21" i="1"/>
  <c r="B20" i="1"/>
  <c r="B19" i="1"/>
  <c r="L31" i="4" s="1"/>
  <c r="B18" i="1"/>
  <c r="B17" i="1"/>
  <c r="B16" i="1"/>
  <c r="B15" i="1"/>
  <c r="B14" i="1"/>
  <c r="L28" i="4" s="1"/>
  <c r="B13" i="1"/>
  <c r="S17" i="4" l="1"/>
  <c r="T17" i="4"/>
  <c r="U17" i="4" s="1"/>
  <c r="Q20" i="4"/>
  <c r="T20" i="4" s="1"/>
  <c r="U20" i="4" s="1"/>
  <c r="T39" i="4"/>
  <c r="U39" i="4" s="1"/>
  <c r="R39" i="4"/>
  <c r="T7" i="4"/>
  <c r="U7" i="4" s="1"/>
  <c r="R7" i="4"/>
  <c r="R10" i="4"/>
  <c r="T10" i="4"/>
  <c r="U10" i="4" s="1"/>
  <c r="R12" i="4"/>
  <c r="S31" i="4"/>
  <c r="R40" i="4"/>
  <c r="S20" i="4"/>
  <c r="Q42" i="4"/>
  <c r="T42" i="4" s="1"/>
  <c r="U42" i="4" s="1"/>
  <c r="Q27" i="4"/>
  <c r="L6" i="9"/>
  <c r="K11" i="9"/>
  <c r="E5" i="11"/>
  <c r="F5" i="11" s="1"/>
  <c r="J20" i="7"/>
  <c r="S10" i="4"/>
  <c r="Q18" i="4"/>
  <c r="T18" i="4" s="1"/>
  <c r="R18" i="4"/>
  <c r="R14" i="4"/>
  <c r="U33" i="4"/>
  <c r="Q35" i="4"/>
  <c r="T35" i="4" s="1"/>
  <c r="U35" i="4" s="1"/>
  <c r="R35" i="4"/>
  <c r="S12" i="4"/>
  <c r="R33" i="4"/>
  <c r="P21" i="4"/>
  <c r="Q28" i="4"/>
  <c r="T28" i="4" s="1"/>
  <c r="U28" i="4" s="1"/>
  <c r="K6" i="3"/>
  <c r="K10" i="3"/>
  <c r="K14" i="3"/>
  <c r="K18" i="3"/>
  <c r="Q21" i="4"/>
  <c r="T21" i="4" s="1"/>
  <c r="U21" i="4" s="1"/>
  <c r="L25" i="4"/>
  <c r="N39" i="4"/>
  <c r="I8" i="5"/>
  <c r="I16" i="5"/>
  <c r="R17" i="4"/>
  <c r="P7" i="4"/>
  <c r="S7" i="4" s="1"/>
  <c r="Q14" i="4"/>
  <c r="M25" i="4"/>
  <c r="P39" i="4"/>
  <c r="S39" i="4" s="1"/>
  <c r="L11" i="4"/>
  <c r="N25" i="4"/>
  <c r="L43" i="4"/>
  <c r="G9" i="5"/>
  <c r="G17" i="5"/>
  <c r="H9" i="5"/>
  <c r="H17" i="5"/>
  <c r="F7" i="3"/>
  <c r="F11" i="3"/>
  <c r="F15" i="3"/>
  <c r="P18" i="4"/>
  <c r="S18" i="4" s="1"/>
  <c r="L29" i="4"/>
  <c r="Q29" i="4" s="1"/>
  <c r="M36" i="4"/>
  <c r="N43" i="4"/>
  <c r="I9" i="5"/>
  <c r="I17" i="5"/>
  <c r="S32" i="4"/>
  <c r="P43" i="4"/>
  <c r="S43" i="4" s="1"/>
  <c r="Q11" i="4"/>
  <c r="T11" i="4" s="1"/>
  <c r="U11" i="4" s="1"/>
  <c r="L15" i="4"/>
  <c r="Q15" i="4" s="1"/>
  <c r="M22" i="4"/>
  <c r="P36" i="4"/>
  <c r="Q43" i="4"/>
  <c r="T43" i="4" s="1"/>
  <c r="G10" i="5"/>
  <c r="I4" i="8"/>
  <c r="I6" i="8" s="1"/>
  <c r="H10" i="5"/>
  <c r="L13" i="3"/>
  <c r="N36" i="4"/>
  <c r="K7" i="3"/>
  <c r="M7" i="3" s="1"/>
  <c r="N7" i="3" s="1"/>
  <c r="L7" i="3"/>
  <c r="L11" i="3"/>
  <c r="N8" i="4"/>
  <c r="R8" i="4" s="1"/>
  <c r="L26" i="4"/>
  <c r="N40" i="4"/>
  <c r="P8" i="4"/>
  <c r="S8" i="4" s="1"/>
  <c r="L19" i="4"/>
  <c r="M26" i="4"/>
  <c r="N33" i="4"/>
  <c r="P40" i="4"/>
  <c r="R13" i="4"/>
  <c r="P42" i="4"/>
  <c r="M19" i="4"/>
  <c r="N26" i="4"/>
  <c r="Q40" i="4"/>
  <c r="T40" i="4" s="1"/>
  <c r="U40" i="4" s="1"/>
  <c r="H11" i="5"/>
  <c r="L5" i="4"/>
  <c r="N19" i="4"/>
  <c r="P26" i="4"/>
  <c r="L37" i="4"/>
  <c r="M5" i="4"/>
  <c r="P19" i="4"/>
  <c r="L30" i="4"/>
  <c r="Q30" i="4" s="1"/>
  <c r="M37" i="4"/>
  <c r="E12" i="5"/>
  <c r="K11" i="3"/>
  <c r="M11" i="3" s="1"/>
  <c r="N11" i="3" s="1"/>
  <c r="F8" i="3"/>
  <c r="L23" i="4"/>
  <c r="N37" i="4"/>
  <c r="G12" i="5"/>
  <c r="I10" i="5"/>
  <c r="F16" i="3"/>
  <c r="P5" i="4"/>
  <c r="Q12" i="4"/>
  <c r="T12" i="4" s="1"/>
  <c r="U12" i="4" s="1"/>
  <c r="L16" i="4"/>
  <c r="M23" i="4"/>
  <c r="N30" i="4"/>
  <c r="H12" i="5"/>
  <c r="N22" i="4"/>
  <c r="P22" i="4"/>
  <c r="F12" i="3"/>
  <c r="L9" i="4"/>
  <c r="Q9" i="4" s="1"/>
  <c r="M16" i="4"/>
  <c r="N23" i="4"/>
  <c r="L41" i="4"/>
  <c r="I12" i="5"/>
  <c r="L8" i="3"/>
  <c r="L12" i="3"/>
  <c r="L16" i="3"/>
  <c r="P23" i="4"/>
  <c r="L34" i="4"/>
  <c r="M41" i="4"/>
  <c r="E5" i="5"/>
  <c r="E13" i="5"/>
  <c r="K15" i="3"/>
  <c r="M15" i="3" s="1"/>
  <c r="N15" i="3" s="1"/>
  <c r="P16" i="4"/>
  <c r="L27" i="4"/>
  <c r="M34" i="4"/>
  <c r="N41" i="4"/>
  <c r="G13" i="5"/>
  <c r="L9" i="3"/>
  <c r="P34" i="4"/>
  <c r="I13" i="5"/>
  <c r="H13" i="5"/>
  <c r="L6" i="4"/>
  <c r="L38" i="4"/>
  <c r="E6" i="5"/>
  <c r="E14" i="5"/>
  <c r="M6" i="4"/>
  <c r="M38" i="4"/>
  <c r="G14" i="5"/>
  <c r="M24" i="4"/>
  <c r="Q31" i="4"/>
  <c r="T31" i="4" s="1"/>
  <c r="U31" i="4" s="1"/>
  <c r="S15" i="4" l="1"/>
  <c r="T15" i="4"/>
  <c r="U15" i="4" s="1"/>
  <c r="R15" i="4"/>
  <c r="T30" i="4"/>
  <c r="U30" i="4" s="1"/>
  <c r="R30" i="4"/>
  <c r="S30" i="4"/>
  <c r="T9" i="4"/>
  <c r="U9" i="4" s="1"/>
  <c r="S9" i="4"/>
  <c r="R9" i="4"/>
  <c r="T29" i="4"/>
  <c r="U29" i="4" s="1"/>
  <c r="R29" i="4"/>
  <c r="S29" i="4"/>
  <c r="L18" i="3"/>
  <c r="M18" i="3"/>
  <c r="N18" i="3" s="1"/>
  <c r="U43" i="4"/>
  <c r="R42" i="4"/>
  <c r="Q37" i="4"/>
  <c r="K19" i="3"/>
  <c r="M6" i="3"/>
  <c r="L6" i="3"/>
  <c r="L19" i="3" s="1"/>
  <c r="M10" i="3"/>
  <c r="N10" i="3" s="1"/>
  <c r="L10" i="3"/>
  <c r="K13" i="9"/>
  <c r="L11" i="9"/>
  <c r="S19" i="4"/>
  <c r="L6" i="6"/>
  <c r="H6" i="6"/>
  <c r="J6" i="6" s="1"/>
  <c r="O6" i="6" s="1"/>
  <c r="G6" i="6"/>
  <c r="K6" i="6" s="1"/>
  <c r="P6" i="6" s="1"/>
  <c r="Q22" i="4"/>
  <c r="T22" i="4" s="1"/>
  <c r="U22" i="4" s="1"/>
  <c r="R5" i="4"/>
  <c r="R44" i="4" s="1"/>
  <c r="Q5" i="4"/>
  <c r="R26" i="4"/>
  <c r="Q26" i="4"/>
  <c r="T26" i="4" s="1"/>
  <c r="U26" i="4" s="1"/>
  <c r="S42" i="4"/>
  <c r="S40" i="4"/>
  <c r="Q19" i="4"/>
  <c r="T19" i="4" s="1"/>
  <c r="U19" i="4" s="1"/>
  <c r="Q41" i="4"/>
  <c r="R41" i="4" s="1"/>
  <c r="Q24" i="4"/>
  <c r="R24" i="4"/>
  <c r="R20" i="4"/>
  <c r="R31" i="4"/>
  <c r="U8" i="4"/>
  <c r="S35" i="4"/>
  <c r="R21" i="4"/>
  <c r="Q36" i="4"/>
  <c r="T36" i="4" s="1"/>
  <c r="U36" i="4" s="1"/>
  <c r="R36" i="4"/>
  <c r="Q16" i="4"/>
  <c r="T16" i="4" s="1"/>
  <c r="U16" i="4" s="1"/>
  <c r="T27" i="4"/>
  <c r="U27" i="4" s="1"/>
  <c r="R27" i="4"/>
  <c r="S5" i="4"/>
  <c r="S44" i="4" s="1"/>
  <c r="Q25" i="4"/>
  <c r="S26" i="4"/>
  <c r="S34" i="4"/>
  <c r="S14" i="4"/>
  <c r="T14" i="4"/>
  <c r="U14" i="4" s="1"/>
  <c r="L14" i="3"/>
  <c r="M14" i="3"/>
  <c r="N14" i="3" s="1"/>
  <c r="R11" i="4"/>
  <c r="R43" i="4"/>
  <c r="S21" i="4"/>
  <c r="L15" i="3"/>
  <c r="S27" i="4"/>
  <c r="S28" i="4"/>
  <c r="U18" i="4"/>
  <c r="Q6" i="4"/>
  <c r="R6" i="4" s="1"/>
  <c r="S11" i="4"/>
  <c r="Q34" i="4"/>
  <c r="T34" i="4" s="1"/>
  <c r="U34" i="4" s="1"/>
  <c r="R28" i="4"/>
  <c r="Q38" i="4"/>
  <c r="Q23" i="4"/>
  <c r="T23" i="4" s="1"/>
  <c r="U23" i="4" s="1"/>
  <c r="P7" i="6" l="1"/>
  <c r="P10" i="6" s="1"/>
  <c r="H8" i="7"/>
  <c r="F4" i="8"/>
  <c r="F6" i="8" s="1"/>
  <c r="B4" i="11" s="1"/>
  <c r="B8" i="11" s="1"/>
  <c r="B10" i="11" s="1"/>
  <c r="T37" i="4"/>
  <c r="U37" i="4" s="1"/>
  <c r="S37" i="4"/>
  <c r="R16" i="4"/>
  <c r="R37" i="4"/>
  <c r="T25" i="4"/>
  <c r="U25" i="4" s="1"/>
  <c r="S25" i="4"/>
  <c r="T38" i="4"/>
  <c r="U38" i="4" s="1"/>
  <c r="S38" i="4"/>
  <c r="S24" i="4"/>
  <c r="T24" i="4"/>
  <c r="U24" i="4" s="1"/>
  <c r="S16" i="4"/>
  <c r="R25" i="4"/>
  <c r="S36" i="4"/>
  <c r="N6" i="3"/>
  <c r="N19" i="3" s="1"/>
  <c r="N24" i="3" s="1"/>
  <c r="M19" i="3"/>
  <c r="R34" i="4"/>
  <c r="E6" i="11"/>
  <c r="F6" i="11" s="1"/>
  <c r="L13" i="9"/>
  <c r="S22" i="4"/>
  <c r="S23" i="4"/>
  <c r="R22" i="4"/>
  <c r="O7" i="6"/>
  <c r="O10" i="6" s="1"/>
  <c r="E4" i="8"/>
  <c r="E6" i="8" s="1"/>
  <c r="C4" i="11" s="1"/>
  <c r="C8" i="11" s="1"/>
  <c r="R23" i="4"/>
  <c r="R38" i="4"/>
  <c r="T6" i="4"/>
  <c r="U6" i="4" s="1"/>
  <c r="S6" i="4"/>
  <c r="T41" i="4"/>
  <c r="U41" i="4" s="1"/>
  <c r="S41" i="4"/>
  <c r="R19" i="4"/>
  <c r="T5" i="4"/>
  <c r="Q44" i="4"/>
  <c r="J21" i="3" l="1"/>
  <c r="F6" i="6" s="1"/>
  <c r="M6" i="6" s="1"/>
  <c r="N6" i="6" s="1"/>
  <c r="Q6" i="6" s="1"/>
  <c r="M24" i="3"/>
  <c r="H13" i="7"/>
  <c r="I8" i="7"/>
  <c r="U5" i="4"/>
  <c r="U44" i="4" s="1"/>
  <c r="T44" i="4"/>
  <c r="P44" i="4" s="1"/>
  <c r="H15" i="7" l="1"/>
  <c r="H18" i="7" s="1"/>
  <c r="D5" i="11" s="1"/>
  <c r="D8" i="11" s="1"/>
  <c r="H4" i="8"/>
  <c r="H6" i="8" s="1"/>
  <c r="Q7" i="6"/>
  <c r="Q10" i="6" s="1"/>
  <c r="Q12" i="6" s="1"/>
  <c r="R6" i="6"/>
  <c r="R7" i="6" s="1"/>
  <c r="R10" i="6" s="1"/>
  <c r="R12" i="6" s="1"/>
  <c r="G4" i="8"/>
  <c r="G6" i="8" l="1"/>
  <c r="E4" i="11" s="1"/>
  <c r="J4" i="8"/>
  <c r="J6" i="8" l="1"/>
  <c r="K4" i="8"/>
  <c r="E8" i="11"/>
  <c r="F8" i="11" s="1"/>
  <c r="F4" i="11"/>
  <c r="K6" i="8" l="1"/>
  <c r="L4" i="8"/>
  <c r="L6" i="8" s="1"/>
</calcChain>
</file>

<file path=xl/sharedStrings.xml><?xml version="1.0" encoding="utf-8"?>
<sst xmlns="http://schemas.openxmlformats.org/spreadsheetml/2006/main" count="1140" uniqueCount="421">
  <si>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</si>
  <si>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</si>
  <si>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</si>
  <si>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</si>
  <si>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</si>
  <si>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</si>
  <si>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</si>
  <si>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</si>
  <si>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</si>
  <si>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</si>
  <si>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</si>
  <si>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</si>
  <si>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</si>
  <si>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</si>
  <si>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</si>
  <si>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</si>
  <si>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</si>
  <si>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</si>
  <si>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</si>
  <si>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</si>
  <si>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</si>
  <si>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</si>
  <si>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</si>
  <si>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</si>
  <si>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</si>
  <si>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</si>
  <si>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</si>
  <si>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</si>
  <si>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</si>
  <si>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</si>
  <si>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</si>
  <si>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</si>
  <si>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</si>
  <si>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</si>
  <si>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</si>
  <si>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</si>
  <si>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</si>
  <si>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</si>
  <si>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</si>
  <si>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LHB</t>
  </si>
  <si>
    <t>Leslokalen/studieruimte - harde vloeren (basis)</t>
  </si>
  <si>
    <t>LHV</t>
  </si>
  <si>
    <t>Leslokalen/studieruimte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</si>
  <si>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</si>
  <si>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</si>
  <si>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</si>
  <si>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</si>
  <si>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</si>
  <si>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</si>
  <si>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</si>
  <si>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</si>
  <si>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</si>
  <si>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</si>
  <si>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ruimte/toiletgroep - harde vloeren (basis)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</si>
  <si>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</si>
  <si>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</si>
  <si>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</si>
  <si>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</si>
  <si>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</si>
  <si>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AHV</t>
  </si>
  <si>
    <t>Aula/pauzeruimte - harde vloeren (volledig)</t>
  </si>
  <si>
    <t>EZB</t>
  </si>
  <si>
    <t>Entree - zachte vloeren (basis)</t>
  </si>
  <si>
    <t>EZV</t>
  </si>
  <si>
    <t>Entree - zachte vloeren (volledig)</t>
  </si>
  <si>
    <t>GHB</t>
  </si>
  <si>
    <t>Gymzaal/sportruimte - harde vloeren (basis)</t>
  </si>
  <si>
    <t>GHV</t>
  </si>
  <si>
    <t>Gymzaal/sportruimte - harde vloeren (volledig)</t>
  </si>
  <si>
    <t>PHB</t>
  </si>
  <si>
    <t>Pantry/keuken - harde vloeren (basis)</t>
  </si>
  <si>
    <t>PHV</t>
  </si>
  <si>
    <t>Pantry/keuken - harde vloeren (volledig)</t>
  </si>
  <si>
    <t>THB</t>
  </si>
  <si>
    <t>Trap - harde vloeren (basis)</t>
  </si>
  <si>
    <t>THV</t>
  </si>
  <si>
    <t>Trap - harde vloeren (volledig)</t>
  </si>
  <si>
    <t>VHB</t>
  </si>
  <si>
    <t>Verkeersruimte/garderobe/reprografie - harde vloeren (basis)</t>
  </si>
  <si>
    <t>VHV</t>
  </si>
  <si>
    <t>Verkeersruimte/garderobe/reprografie - harde vloeren (volledig)</t>
  </si>
  <si>
    <t>VZB</t>
  </si>
  <si>
    <t>Verkeersruimte/garderobe/reprografie - zachte vloeren (basis)</t>
  </si>
  <si>
    <t>VZV</t>
  </si>
  <si>
    <t>Verkeersruimte/garderobe/reprografie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</si>
  <si>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</si>
  <si>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</si>
  <si>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</si>
  <si>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</si>
  <si>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</si>
  <si>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</si>
  <si>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</si>
  <si>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</si>
  <si>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</si>
  <si>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</si>
  <si>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</si>
  <si>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BH</t>
  </si>
  <si>
    <t>Kantoor/personeels-/vergaderrruimte - harde vloeren</t>
  </si>
  <si>
    <t>DH</t>
  </si>
  <si>
    <t>Douche/wasruimte - harde vloeren</t>
  </si>
  <si>
    <t>EZ</t>
  </si>
  <si>
    <t>Entree - zachte vloeren</t>
  </si>
  <si>
    <t>GH</t>
  </si>
  <si>
    <t>Gymzaal/sportruimte/toestelberging - harde vloeren</t>
  </si>
  <si>
    <t>KH</t>
  </si>
  <si>
    <t>Kleedruimte - harde vloeren</t>
  </si>
  <si>
    <t>LH</t>
  </si>
  <si>
    <t>Leslokaal/studierumte - harde vloeren</t>
  </si>
  <si>
    <t>PH</t>
  </si>
  <si>
    <t>Pantry/keuken - harde vloeren</t>
  </si>
  <si>
    <t>SH</t>
  </si>
  <si>
    <t>Sanitaire ruimte/toiletten - harde vloeren</t>
  </si>
  <si>
    <t>TH</t>
  </si>
  <si>
    <t>Trap - harde vloeren</t>
  </si>
  <si>
    <t>VH</t>
  </si>
  <si>
    <t>Verkeersruimte/garderobe/reprografie - harde vloeren</t>
  </si>
  <si>
    <t>VZ</t>
  </si>
  <si>
    <t>Verkeersruimte/garderobe/reprografie - zachte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</si>
  <si>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</si>
  <si>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</si>
  <si>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</si>
  <si>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</si>
  <si>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</si>
  <si>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</si>
  <si>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</si>
  <si>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</si>
  <si>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</si>
  <si>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</si>
  <si>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</si>
  <si>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</si>
  <si>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300 - Het Nieuwe Eemland, Daam Fockemalaan 12, Amersfoort</t>
  </si>
  <si>
    <t>300</t>
  </si>
  <si>
    <t/>
  </si>
  <si>
    <t>0CN</t>
  </si>
  <si>
    <t>0.05a</t>
  </si>
  <si>
    <t>toilet</t>
  </si>
  <si>
    <t>tegels</t>
  </si>
  <si>
    <t>0.05b</t>
  </si>
  <si>
    <t>0.05c</t>
  </si>
  <si>
    <t>Kluisruimte + verkeersruimte</t>
  </si>
  <si>
    <t>marmoleum</t>
  </si>
  <si>
    <t>0.05e</t>
  </si>
  <si>
    <t>Entree</t>
  </si>
  <si>
    <t>tapijt</t>
  </si>
  <si>
    <t>0.07</t>
  </si>
  <si>
    <t>Gymzaal</t>
  </si>
  <si>
    <t>gymvloer</t>
  </si>
  <si>
    <t>0.07a</t>
  </si>
  <si>
    <t>Berging toestellen</t>
  </si>
  <si>
    <t>0.07b</t>
  </si>
  <si>
    <t>trap naar balkon gymzaal</t>
  </si>
  <si>
    <t>steen</t>
  </si>
  <si>
    <t>0.08a</t>
  </si>
  <si>
    <t>Kleedkamer heren</t>
  </si>
  <si>
    <t>linoleum</t>
  </si>
  <si>
    <t>0.08b</t>
  </si>
  <si>
    <t>Douche heren</t>
  </si>
  <si>
    <t>0.08c</t>
  </si>
  <si>
    <t>Kleedkamer/douche Dames</t>
  </si>
  <si>
    <t>0.08d</t>
  </si>
  <si>
    <t>Trappenhuis</t>
  </si>
  <si>
    <t>0.11</t>
  </si>
  <si>
    <t>Docentenkamertje LO</t>
  </si>
  <si>
    <t>0.11a</t>
  </si>
  <si>
    <t>Douche docenten LO</t>
  </si>
  <si>
    <t>0.12a</t>
  </si>
  <si>
    <t>Entree bij sportzaal</t>
  </si>
  <si>
    <t>0M</t>
  </si>
  <si>
    <t>0.20a</t>
  </si>
  <si>
    <t>Arena</t>
  </si>
  <si>
    <t>0.20b</t>
  </si>
  <si>
    <t>Bar bij Arena</t>
  </si>
  <si>
    <t>0.20c</t>
  </si>
  <si>
    <t>Hal automaten</t>
  </si>
  <si>
    <t>0.20d</t>
  </si>
  <si>
    <t>Spoelkeuken</t>
  </si>
  <si>
    <t>0.20e</t>
  </si>
  <si>
    <t>Arena nieuwe deel</t>
  </si>
  <si>
    <t>0.21</t>
  </si>
  <si>
    <t>Dames toiletten</t>
  </si>
  <si>
    <t>0.22</t>
  </si>
  <si>
    <t>Heren toiletten</t>
  </si>
  <si>
    <t>0.23</t>
  </si>
  <si>
    <t>Conciërgeloge</t>
  </si>
  <si>
    <t>0NB</t>
  </si>
  <si>
    <t>N.00</t>
  </si>
  <si>
    <t>Trap</t>
  </si>
  <si>
    <t>sure step</t>
  </si>
  <si>
    <t>N.00b</t>
  </si>
  <si>
    <t>Gang bij N03+N04</t>
  </si>
  <si>
    <t>N.00c</t>
  </si>
  <si>
    <t>toestelberging</t>
  </si>
  <si>
    <t>N.00d</t>
  </si>
  <si>
    <t>N.01</t>
  </si>
  <si>
    <t>Kleedkamer/douche heren</t>
  </si>
  <si>
    <t>Kleedkamer/douche dames</t>
  </si>
  <si>
    <t>N.01a</t>
  </si>
  <si>
    <t>toilet heren</t>
  </si>
  <si>
    <t>N.01b</t>
  </si>
  <si>
    <t>toilet dames</t>
  </si>
  <si>
    <t>N.2</t>
  </si>
  <si>
    <t>N.6</t>
  </si>
  <si>
    <t>1NB</t>
  </si>
  <si>
    <t>N8.f</t>
  </si>
  <si>
    <t>trappenhuis</t>
  </si>
  <si>
    <t>H</t>
  </si>
  <si>
    <t>02</t>
  </si>
  <si>
    <t>2.14</t>
  </si>
  <si>
    <t>Theorielokaal</t>
  </si>
  <si>
    <t>2.15</t>
  </si>
  <si>
    <t>HN</t>
  </si>
  <si>
    <t>00</t>
  </si>
  <si>
    <t>0.00</t>
  </si>
  <si>
    <t>drama lokaal</t>
  </si>
  <si>
    <t>pvc</t>
  </si>
  <si>
    <t>0.17</t>
  </si>
  <si>
    <t>0.18</t>
  </si>
  <si>
    <t>Lokaal tekenen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</si>
  <si>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</si>
  <si>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</si>
  <si>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</si>
  <si>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</si>
  <si>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</si>
  <si>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</si>
  <si>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</si>
  <si>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</si>
  <si>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300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</si>
  <si>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</si>
  <si>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</si>
  <si>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</si>
  <si>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</si>
  <si>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</si>
  <si>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</si>
  <si>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</si>
  <si>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</si>
  <si>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</si>
  <si>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</si>
  <si>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</si>
  <si>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</si>
  <si>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</si>
  <si>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</si>
  <si>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</si>
  <si>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</si>
  <si>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Het Nieuwe Eemland</t>
  </si>
  <si>
    <t>Daam Fockemalaan 12</t>
  </si>
  <si>
    <t>Amersfoort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</si>
  <si>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</si>
  <si>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</si>
  <si>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</si>
  <si>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</si>
  <si>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</si>
  <si>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</si>
  <si>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</si>
  <si>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</si>
  <si>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</si>
  <si>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</si>
  <si>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</si>
  <si>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</si>
  <si>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</si>
  <si>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</si>
  <si>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</si>
  <si>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300 - Het Nieuwe Eemland, Daam Fockemalaan 12, Amersfoort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</si>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</sst>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0" fontId="0" fillId="4" borderId="14" xfId="0" applyNumberFormat="1" applyFill="1" applyBorder="1" applyProtection="1">
      <protection locked="0"/>
    </xf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0" borderId="14" xfId="0" applyNumberFormat="1" applyBorder="1"/>
    <xf numFmtId="4" fontId="0" fillId="3" borderId="14" xfId="0" applyNumberFormat="1" applyFill="1" applyBorder="1" applyProtection="1">
      <protection locked="0"/>
    </xf>
    <xf numFmtId="4" fontId="0" fillId="0" borderId="15" xfId="0" applyNumberFormat="1" applyBorder="1"/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9C53-CFDD-4345-AF33-83BF2325AA61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0.2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0.13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0.06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0.05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0.03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0.02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1.4999999999999999E-2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0.01</v>
      </c>
    </row>
    <row r="27" spans="1:2" x14ac:dyDescent="0.2">
      <c r="A27" s="6" t="s">
        <v>23</v>
      </c>
      <c r="B27" s="7">
        <f>IF(A27="2½W",2.5/dagenperweek1,IF(RIGHT(A27,1)="W",VALUE(LEFT(A27,LEN(A27)-1))/dagenperweek1,IF(RIGHT(A27,1)="J",VALUE(LEFT(A27,LEN(A27)-1))/dagenperjaar1,"handmatig!")))</f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C7AF-6F8C-4AEC-B377-985D4D4FFA0F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I3.8: ",tabeltype," afroep incidenteel")</f>
        <v>Bijlage I3.8: Invultabel afroep incidenteel</v>
      </c>
    </row>
    <row r="3" spans="1:5" ht="38.25" x14ac:dyDescent="0.2">
      <c r="A3" s="8" t="s">
        <v>271</v>
      </c>
      <c r="B3" s="8" t="s">
        <v>27</v>
      </c>
      <c r="C3" s="8" t="s">
        <v>30</v>
      </c>
      <c r="D3" s="8" t="s">
        <v>290</v>
      </c>
      <c r="E3" s="8" t="s">
        <v>276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291</v>
      </c>
      <c r="B6" s="15" t="s">
        <v>292</v>
      </c>
      <c r="C6" s="15" t="s">
        <v>293</v>
      </c>
      <c r="D6" s="15" t="s">
        <v>294</v>
      </c>
      <c r="E6" s="19"/>
    </row>
    <row r="7" spans="1:5" x14ac:dyDescent="0.2">
      <c r="A7" s="20" t="s">
        <v>295</v>
      </c>
      <c r="B7" s="20" t="s">
        <v>292</v>
      </c>
      <c r="C7" s="20" t="s">
        <v>293</v>
      </c>
      <c r="D7" s="20" t="s">
        <v>296</v>
      </c>
      <c r="E7" s="24"/>
    </row>
    <row r="8" spans="1:5" x14ac:dyDescent="0.2">
      <c r="A8" s="20" t="s">
        <v>297</v>
      </c>
      <c r="B8" s="20" t="s">
        <v>292</v>
      </c>
      <c r="C8" s="20" t="s">
        <v>293</v>
      </c>
      <c r="D8" s="20" t="s">
        <v>298</v>
      </c>
      <c r="E8" s="24"/>
    </row>
    <row r="9" spans="1:5" x14ac:dyDescent="0.2">
      <c r="A9" s="20" t="s">
        <v>299</v>
      </c>
      <c r="B9" s="20" t="s">
        <v>292</v>
      </c>
      <c r="C9" s="20" t="s">
        <v>293</v>
      </c>
      <c r="D9" s="20" t="s">
        <v>300</v>
      </c>
      <c r="E9" s="24"/>
    </row>
    <row r="10" spans="1:5" x14ac:dyDescent="0.2">
      <c r="A10" s="20" t="s">
        <v>301</v>
      </c>
      <c r="B10" s="20" t="s">
        <v>302</v>
      </c>
      <c r="C10" s="20" t="s">
        <v>293</v>
      </c>
      <c r="D10" s="20" t="s">
        <v>294</v>
      </c>
      <c r="E10" s="24"/>
    </row>
    <row r="11" spans="1:5" x14ac:dyDescent="0.2">
      <c r="A11" s="20" t="s">
        <v>303</v>
      </c>
      <c r="B11" s="20" t="s">
        <v>302</v>
      </c>
      <c r="C11" s="20" t="s">
        <v>293</v>
      </c>
      <c r="D11" s="20" t="s">
        <v>296</v>
      </c>
      <c r="E11" s="24"/>
    </row>
    <row r="12" spans="1:5" x14ac:dyDescent="0.2">
      <c r="A12" s="20" t="s">
        <v>304</v>
      </c>
      <c r="B12" s="20" t="s">
        <v>302</v>
      </c>
      <c r="C12" s="20" t="s">
        <v>293</v>
      </c>
      <c r="D12" s="20" t="s">
        <v>298</v>
      </c>
      <c r="E12" s="24"/>
    </row>
    <row r="13" spans="1:5" x14ac:dyDescent="0.2">
      <c r="A13" s="20" t="s">
        <v>305</v>
      </c>
      <c r="B13" s="20" t="s">
        <v>302</v>
      </c>
      <c r="C13" s="20" t="s">
        <v>293</v>
      </c>
      <c r="D13" s="20" t="s">
        <v>300</v>
      </c>
      <c r="E13" s="24"/>
    </row>
    <row r="14" spans="1:5" x14ac:dyDescent="0.2">
      <c r="A14" s="20" t="s">
        <v>306</v>
      </c>
      <c r="B14" s="20" t="s">
        <v>307</v>
      </c>
      <c r="C14" s="20" t="s">
        <v>293</v>
      </c>
      <c r="D14" s="20" t="s">
        <v>294</v>
      </c>
      <c r="E14" s="24"/>
    </row>
    <row r="15" spans="1:5" x14ac:dyDescent="0.2">
      <c r="A15" s="20" t="s">
        <v>308</v>
      </c>
      <c r="B15" s="20" t="s">
        <v>307</v>
      </c>
      <c r="C15" s="20" t="s">
        <v>293</v>
      </c>
      <c r="D15" s="20" t="s">
        <v>296</v>
      </c>
      <c r="E15" s="24"/>
    </row>
    <row r="16" spans="1:5" x14ac:dyDescent="0.2">
      <c r="A16" s="20" t="s">
        <v>309</v>
      </c>
      <c r="B16" s="20" t="s">
        <v>307</v>
      </c>
      <c r="C16" s="20" t="s">
        <v>293</v>
      </c>
      <c r="D16" s="20" t="s">
        <v>298</v>
      </c>
      <c r="E16" s="24"/>
    </row>
    <row r="17" spans="1:5" x14ac:dyDescent="0.2">
      <c r="A17" s="20" t="s">
        <v>310</v>
      </c>
      <c r="B17" s="20" t="s">
        <v>307</v>
      </c>
      <c r="C17" s="20" t="s">
        <v>293</v>
      </c>
      <c r="D17" s="20" t="s">
        <v>300</v>
      </c>
      <c r="E17" s="24"/>
    </row>
    <row r="18" spans="1:5" x14ac:dyDescent="0.2">
      <c r="A18" s="20" t="s">
        <v>311</v>
      </c>
      <c r="B18" s="20" t="s">
        <v>312</v>
      </c>
      <c r="C18" s="20" t="s">
        <v>293</v>
      </c>
      <c r="D18" s="20" t="s">
        <v>294</v>
      </c>
      <c r="E18" s="24"/>
    </row>
    <row r="19" spans="1:5" x14ac:dyDescent="0.2">
      <c r="A19" s="20" t="s">
        <v>313</v>
      </c>
      <c r="B19" s="20" t="s">
        <v>312</v>
      </c>
      <c r="C19" s="20" t="s">
        <v>293</v>
      </c>
      <c r="D19" s="20" t="s">
        <v>296</v>
      </c>
      <c r="E19" s="24"/>
    </row>
    <row r="20" spans="1:5" x14ac:dyDescent="0.2">
      <c r="A20" s="20" t="s">
        <v>314</v>
      </c>
      <c r="B20" s="20" t="s">
        <v>312</v>
      </c>
      <c r="C20" s="20" t="s">
        <v>293</v>
      </c>
      <c r="D20" s="20" t="s">
        <v>298</v>
      </c>
      <c r="E20" s="24"/>
    </row>
    <row r="21" spans="1:5" x14ac:dyDescent="0.2">
      <c r="A21" s="20" t="s">
        <v>315</v>
      </c>
      <c r="B21" s="20" t="s">
        <v>312</v>
      </c>
      <c r="C21" s="20" t="s">
        <v>293</v>
      </c>
      <c r="D21" s="20" t="s">
        <v>300</v>
      </c>
      <c r="E21" s="24"/>
    </row>
    <row r="22" spans="1:5" x14ac:dyDescent="0.2">
      <c r="A22" s="20" t="s">
        <v>316</v>
      </c>
      <c r="B22" s="20" t="s">
        <v>317</v>
      </c>
      <c r="C22" s="20" t="s">
        <v>318</v>
      </c>
      <c r="D22" s="20" t="s">
        <v>319</v>
      </c>
      <c r="E22" s="24"/>
    </row>
    <row r="23" spans="1:5" x14ac:dyDescent="0.2">
      <c r="A23" s="20" t="s">
        <v>320</v>
      </c>
      <c r="B23" s="20" t="s">
        <v>317</v>
      </c>
      <c r="C23" s="20" t="s">
        <v>318</v>
      </c>
      <c r="D23" s="20" t="s">
        <v>321</v>
      </c>
      <c r="E23" s="24"/>
    </row>
    <row r="24" spans="1:5" x14ac:dyDescent="0.2">
      <c r="A24" s="20" t="s">
        <v>322</v>
      </c>
      <c r="B24" s="20" t="s">
        <v>317</v>
      </c>
      <c r="C24" s="20" t="s">
        <v>318</v>
      </c>
      <c r="D24" s="20" t="s">
        <v>323</v>
      </c>
      <c r="E24" s="24"/>
    </row>
    <row r="25" spans="1:5" x14ac:dyDescent="0.2">
      <c r="A25" s="20" t="s">
        <v>324</v>
      </c>
      <c r="B25" s="20" t="s">
        <v>317</v>
      </c>
      <c r="C25" s="20" t="s">
        <v>318</v>
      </c>
      <c r="D25" s="20" t="s">
        <v>325</v>
      </c>
      <c r="E25" s="24"/>
    </row>
    <row r="26" spans="1:5" x14ac:dyDescent="0.2">
      <c r="A26" s="20" t="s">
        <v>326</v>
      </c>
      <c r="B26" s="20" t="s">
        <v>327</v>
      </c>
      <c r="C26" s="20" t="s">
        <v>318</v>
      </c>
      <c r="D26" s="20" t="s">
        <v>319</v>
      </c>
      <c r="E26" s="24"/>
    </row>
    <row r="27" spans="1:5" x14ac:dyDescent="0.2">
      <c r="A27" s="20" t="s">
        <v>328</v>
      </c>
      <c r="B27" s="20" t="s">
        <v>327</v>
      </c>
      <c r="C27" s="20" t="s">
        <v>318</v>
      </c>
      <c r="D27" s="20" t="s">
        <v>321</v>
      </c>
      <c r="E27" s="24"/>
    </row>
    <row r="28" spans="1:5" x14ac:dyDescent="0.2">
      <c r="A28" s="20" t="s">
        <v>329</v>
      </c>
      <c r="B28" s="20" t="s">
        <v>327</v>
      </c>
      <c r="C28" s="20" t="s">
        <v>318</v>
      </c>
      <c r="D28" s="20" t="s">
        <v>323</v>
      </c>
      <c r="E28" s="24"/>
    </row>
    <row r="29" spans="1:5" x14ac:dyDescent="0.2">
      <c r="A29" s="20" t="s">
        <v>330</v>
      </c>
      <c r="B29" s="20" t="s">
        <v>327</v>
      </c>
      <c r="C29" s="20" t="s">
        <v>318</v>
      </c>
      <c r="D29" s="20" t="s">
        <v>325</v>
      </c>
      <c r="E29" s="24"/>
    </row>
    <row r="30" spans="1:5" x14ac:dyDescent="0.2">
      <c r="A30" s="20" t="s">
        <v>331</v>
      </c>
      <c r="B30" s="20" t="s">
        <v>332</v>
      </c>
      <c r="C30" s="20" t="s">
        <v>318</v>
      </c>
      <c r="D30" s="20" t="s">
        <v>319</v>
      </c>
      <c r="E30" s="24"/>
    </row>
    <row r="31" spans="1:5" x14ac:dyDescent="0.2">
      <c r="A31" s="20" t="s">
        <v>333</v>
      </c>
      <c r="B31" s="20" t="s">
        <v>332</v>
      </c>
      <c r="C31" s="20" t="s">
        <v>318</v>
      </c>
      <c r="D31" s="20" t="s">
        <v>321</v>
      </c>
      <c r="E31" s="24"/>
    </row>
    <row r="32" spans="1:5" x14ac:dyDescent="0.2">
      <c r="A32" s="20" t="s">
        <v>334</v>
      </c>
      <c r="B32" s="20" t="s">
        <v>332</v>
      </c>
      <c r="C32" s="20" t="s">
        <v>318</v>
      </c>
      <c r="D32" s="20" t="s">
        <v>323</v>
      </c>
      <c r="E32" s="24"/>
    </row>
    <row r="33" spans="1:5" x14ac:dyDescent="0.2">
      <c r="A33" s="20" t="s">
        <v>335</v>
      </c>
      <c r="B33" s="20" t="s">
        <v>332</v>
      </c>
      <c r="C33" s="20" t="s">
        <v>318</v>
      </c>
      <c r="D33" s="20" t="s">
        <v>325</v>
      </c>
      <c r="E33" s="24"/>
    </row>
    <row r="34" spans="1:5" x14ac:dyDescent="0.2">
      <c r="A34" s="20" t="s">
        <v>336</v>
      </c>
      <c r="B34" s="20" t="s">
        <v>337</v>
      </c>
      <c r="C34" s="20" t="s">
        <v>318</v>
      </c>
      <c r="D34" s="20" t="s">
        <v>319</v>
      </c>
      <c r="E34" s="24"/>
    </row>
    <row r="35" spans="1:5" x14ac:dyDescent="0.2">
      <c r="A35" s="20" t="s">
        <v>338</v>
      </c>
      <c r="B35" s="20" t="s">
        <v>337</v>
      </c>
      <c r="C35" s="20" t="s">
        <v>318</v>
      </c>
      <c r="D35" s="20" t="s">
        <v>321</v>
      </c>
      <c r="E35" s="24"/>
    </row>
    <row r="36" spans="1:5" x14ac:dyDescent="0.2">
      <c r="A36" s="20" t="s">
        <v>339</v>
      </c>
      <c r="B36" s="20" t="s">
        <v>337</v>
      </c>
      <c r="C36" s="20" t="s">
        <v>318</v>
      </c>
      <c r="D36" s="20" t="s">
        <v>323</v>
      </c>
      <c r="E36" s="24"/>
    </row>
    <row r="37" spans="1:5" x14ac:dyDescent="0.2">
      <c r="A37" s="20" t="s">
        <v>340</v>
      </c>
      <c r="B37" s="20" t="s">
        <v>337</v>
      </c>
      <c r="C37" s="20" t="s">
        <v>318</v>
      </c>
      <c r="D37" s="20" t="s">
        <v>325</v>
      </c>
      <c r="E37" s="24"/>
    </row>
    <row r="38" spans="1:5" x14ac:dyDescent="0.2">
      <c r="A38" s="20" t="s">
        <v>341</v>
      </c>
      <c r="B38" s="20" t="s">
        <v>342</v>
      </c>
      <c r="C38" s="20" t="s">
        <v>318</v>
      </c>
      <c r="D38" s="20" t="s">
        <v>319</v>
      </c>
      <c r="E38" s="24"/>
    </row>
    <row r="39" spans="1:5" x14ac:dyDescent="0.2">
      <c r="A39" s="20" t="s">
        <v>343</v>
      </c>
      <c r="B39" s="20" t="s">
        <v>342</v>
      </c>
      <c r="C39" s="20" t="s">
        <v>318</v>
      </c>
      <c r="D39" s="20" t="s">
        <v>321</v>
      </c>
      <c r="E39" s="24"/>
    </row>
    <row r="40" spans="1:5" x14ac:dyDescent="0.2">
      <c r="A40" s="20" t="s">
        <v>344</v>
      </c>
      <c r="B40" s="20" t="s">
        <v>342</v>
      </c>
      <c r="C40" s="20" t="s">
        <v>318</v>
      </c>
      <c r="D40" s="20" t="s">
        <v>323</v>
      </c>
      <c r="E40" s="24"/>
    </row>
    <row r="41" spans="1:5" x14ac:dyDescent="0.2">
      <c r="A41" s="20" t="s">
        <v>345</v>
      </c>
      <c r="B41" s="20" t="s">
        <v>342</v>
      </c>
      <c r="C41" s="20" t="s">
        <v>318</v>
      </c>
      <c r="D41" s="20" t="s">
        <v>325</v>
      </c>
      <c r="E41" s="24"/>
    </row>
    <row r="42" spans="1:5" x14ac:dyDescent="0.2">
      <c r="A42" s="20" t="s">
        <v>346</v>
      </c>
      <c r="B42" s="20" t="s">
        <v>347</v>
      </c>
      <c r="C42" s="20" t="s">
        <v>318</v>
      </c>
      <c r="D42" s="20" t="s">
        <v>319</v>
      </c>
      <c r="E42" s="24"/>
    </row>
    <row r="43" spans="1:5" x14ac:dyDescent="0.2">
      <c r="A43" s="20" t="s">
        <v>348</v>
      </c>
      <c r="B43" s="20" t="s">
        <v>347</v>
      </c>
      <c r="C43" s="20" t="s">
        <v>318</v>
      </c>
      <c r="D43" s="20" t="s">
        <v>321</v>
      </c>
      <c r="E43" s="24"/>
    </row>
    <row r="44" spans="1:5" x14ac:dyDescent="0.2">
      <c r="A44" s="20" t="s">
        <v>349</v>
      </c>
      <c r="B44" s="20" t="s">
        <v>347</v>
      </c>
      <c r="C44" s="20" t="s">
        <v>318</v>
      </c>
      <c r="D44" s="20" t="s">
        <v>323</v>
      </c>
      <c r="E44" s="24"/>
    </row>
    <row r="45" spans="1:5" x14ac:dyDescent="0.2">
      <c r="A45" s="20" t="s">
        <v>350</v>
      </c>
      <c r="B45" s="20" t="s">
        <v>347</v>
      </c>
      <c r="C45" s="20" t="s">
        <v>318</v>
      </c>
      <c r="D45" s="20" t="s">
        <v>325</v>
      </c>
      <c r="E45" s="24"/>
    </row>
    <row r="46" spans="1:5" x14ac:dyDescent="0.2">
      <c r="A46" s="20" t="s">
        <v>351</v>
      </c>
      <c r="B46" s="20" t="s">
        <v>352</v>
      </c>
      <c r="C46" s="20" t="s">
        <v>318</v>
      </c>
      <c r="D46" s="20" t="s">
        <v>319</v>
      </c>
      <c r="E46" s="24"/>
    </row>
    <row r="47" spans="1:5" x14ac:dyDescent="0.2">
      <c r="A47" s="20" t="s">
        <v>353</v>
      </c>
      <c r="B47" s="20" t="s">
        <v>352</v>
      </c>
      <c r="C47" s="20" t="s">
        <v>318</v>
      </c>
      <c r="D47" s="20" t="s">
        <v>321</v>
      </c>
      <c r="E47" s="24"/>
    </row>
    <row r="48" spans="1:5" x14ac:dyDescent="0.2">
      <c r="A48" s="20" t="s">
        <v>354</v>
      </c>
      <c r="B48" s="20" t="s">
        <v>352</v>
      </c>
      <c r="C48" s="20" t="s">
        <v>318</v>
      </c>
      <c r="D48" s="20" t="s">
        <v>323</v>
      </c>
      <c r="E48" s="24"/>
    </row>
    <row r="49" spans="1:5" x14ac:dyDescent="0.2">
      <c r="A49" s="20" t="s">
        <v>355</v>
      </c>
      <c r="B49" s="20" t="s">
        <v>352</v>
      </c>
      <c r="C49" s="20" t="s">
        <v>318</v>
      </c>
      <c r="D49" s="20" t="s">
        <v>325</v>
      </c>
      <c r="E49" s="24"/>
    </row>
    <row r="50" spans="1:5" x14ac:dyDescent="0.2">
      <c r="A50" s="20" t="s">
        <v>356</v>
      </c>
      <c r="B50" s="20" t="s">
        <v>357</v>
      </c>
      <c r="C50" s="20" t="s">
        <v>318</v>
      </c>
      <c r="D50" s="20" t="s">
        <v>132</v>
      </c>
      <c r="E50" s="24"/>
    </row>
    <row r="51" spans="1:5" x14ac:dyDescent="0.2">
      <c r="A51" s="20" t="s">
        <v>358</v>
      </c>
      <c r="B51" s="20" t="s">
        <v>359</v>
      </c>
      <c r="C51" s="20" t="s">
        <v>280</v>
      </c>
      <c r="D51" s="20" t="s">
        <v>132</v>
      </c>
      <c r="E51" s="24"/>
    </row>
    <row r="52" spans="1:5" x14ac:dyDescent="0.2">
      <c r="A52" s="20" t="s">
        <v>360</v>
      </c>
      <c r="B52" s="20" t="s">
        <v>361</v>
      </c>
      <c r="C52" s="20" t="s">
        <v>318</v>
      </c>
      <c r="D52" s="20" t="s">
        <v>362</v>
      </c>
      <c r="E52" s="24"/>
    </row>
    <row r="53" spans="1:5" x14ac:dyDescent="0.2">
      <c r="A53" s="20" t="s">
        <v>363</v>
      </c>
      <c r="B53" s="20" t="s">
        <v>361</v>
      </c>
      <c r="C53" s="20" t="s">
        <v>318</v>
      </c>
      <c r="D53" s="20" t="s">
        <v>364</v>
      </c>
      <c r="E53" s="24"/>
    </row>
    <row r="54" spans="1:5" x14ac:dyDescent="0.2">
      <c r="A54" s="20" t="s">
        <v>365</v>
      </c>
      <c r="B54" s="20" t="s">
        <v>361</v>
      </c>
      <c r="C54" s="20" t="s">
        <v>318</v>
      </c>
      <c r="D54" s="20" t="s">
        <v>366</v>
      </c>
      <c r="E54" s="24"/>
    </row>
    <row r="55" spans="1:5" x14ac:dyDescent="0.2">
      <c r="A55" s="20" t="s">
        <v>367</v>
      </c>
      <c r="B55" s="20" t="s">
        <v>361</v>
      </c>
      <c r="C55" s="20" t="s">
        <v>318</v>
      </c>
      <c r="D55" s="20" t="s">
        <v>368</v>
      </c>
      <c r="E55" s="24"/>
    </row>
    <row r="56" spans="1:5" x14ac:dyDescent="0.2">
      <c r="A56" s="20" t="s">
        <v>369</v>
      </c>
      <c r="B56" s="20" t="s">
        <v>370</v>
      </c>
      <c r="C56" s="20" t="s">
        <v>318</v>
      </c>
      <c r="D56" s="20" t="s">
        <v>362</v>
      </c>
      <c r="E56" s="24"/>
    </row>
    <row r="57" spans="1:5" x14ac:dyDescent="0.2">
      <c r="A57" s="20" t="s">
        <v>371</v>
      </c>
      <c r="B57" s="20" t="s">
        <v>370</v>
      </c>
      <c r="C57" s="20" t="s">
        <v>318</v>
      </c>
      <c r="D57" s="20" t="s">
        <v>364</v>
      </c>
      <c r="E57" s="24"/>
    </row>
    <row r="58" spans="1:5" x14ac:dyDescent="0.2">
      <c r="A58" s="20" t="s">
        <v>372</v>
      </c>
      <c r="B58" s="20" t="s">
        <v>370</v>
      </c>
      <c r="C58" s="20" t="s">
        <v>318</v>
      </c>
      <c r="D58" s="20" t="s">
        <v>366</v>
      </c>
      <c r="E58" s="24"/>
    </row>
    <row r="59" spans="1:5" x14ac:dyDescent="0.2">
      <c r="A59" s="20" t="s">
        <v>373</v>
      </c>
      <c r="B59" s="20" t="s">
        <v>370</v>
      </c>
      <c r="C59" s="20" t="s">
        <v>318</v>
      </c>
      <c r="D59" s="20" t="s">
        <v>368</v>
      </c>
      <c r="E59" s="24"/>
    </row>
    <row r="60" spans="1:5" x14ac:dyDescent="0.2">
      <c r="A60" s="20" t="s">
        <v>374</v>
      </c>
      <c r="B60" s="20" t="s">
        <v>375</v>
      </c>
      <c r="C60" s="20" t="s">
        <v>318</v>
      </c>
      <c r="D60" s="20" t="s">
        <v>362</v>
      </c>
      <c r="E60" s="24"/>
    </row>
    <row r="61" spans="1:5" x14ac:dyDescent="0.2">
      <c r="A61" s="20" t="s">
        <v>376</v>
      </c>
      <c r="B61" s="20" t="s">
        <v>375</v>
      </c>
      <c r="C61" s="20" t="s">
        <v>318</v>
      </c>
      <c r="D61" s="20" t="s">
        <v>364</v>
      </c>
      <c r="E61" s="24"/>
    </row>
    <row r="62" spans="1:5" x14ac:dyDescent="0.2">
      <c r="A62" s="20" t="s">
        <v>377</v>
      </c>
      <c r="B62" s="20" t="s">
        <v>375</v>
      </c>
      <c r="C62" s="20" t="s">
        <v>318</v>
      </c>
      <c r="D62" s="20" t="s">
        <v>366</v>
      </c>
      <c r="E62" s="24"/>
    </row>
    <row r="63" spans="1:5" x14ac:dyDescent="0.2">
      <c r="A63" s="20" t="s">
        <v>378</v>
      </c>
      <c r="B63" s="20" t="s">
        <v>375</v>
      </c>
      <c r="C63" s="20" t="s">
        <v>318</v>
      </c>
      <c r="D63" s="20" t="s">
        <v>368</v>
      </c>
      <c r="E63" s="24"/>
    </row>
    <row r="64" spans="1:5" x14ac:dyDescent="0.2">
      <c r="A64" s="20" t="s">
        <v>379</v>
      </c>
      <c r="B64" s="20" t="s">
        <v>380</v>
      </c>
      <c r="C64" s="20" t="s">
        <v>318</v>
      </c>
      <c r="D64" s="20" t="s">
        <v>362</v>
      </c>
      <c r="E64" s="24"/>
    </row>
    <row r="65" spans="1:5" x14ac:dyDescent="0.2">
      <c r="A65" s="20" t="s">
        <v>381</v>
      </c>
      <c r="B65" s="20" t="s">
        <v>380</v>
      </c>
      <c r="C65" s="20" t="s">
        <v>318</v>
      </c>
      <c r="D65" s="20" t="s">
        <v>364</v>
      </c>
      <c r="E65" s="24"/>
    </row>
    <row r="66" spans="1:5" x14ac:dyDescent="0.2">
      <c r="A66" s="20" t="s">
        <v>382</v>
      </c>
      <c r="B66" s="20" t="s">
        <v>380</v>
      </c>
      <c r="C66" s="20" t="s">
        <v>318</v>
      </c>
      <c r="D66" s="20" t="s">
        <v>366</v>
      </c>
      <c r="E66" s="24"/>
    </row>
    <row r="67" spans="1:5" x14ac:dyDescent="0.2">
      <c r="A67" s="20" t="s">
        <v>383</v>
      </c>
      <c r="B67" s="20" t="s">
        <v>380</v>
      </c>
      <c r="C67" s="20" t="s">
        <v>318</v>
      </c>
      <c r="D67" s="20" t="s">
        <v>368</v>
      </c>
      <c r="E67" s="24"/>
    </row>
    <row r="68" spans="1:5" x14ac:dyDescent="0.2">
      <c r="A68" s="20" t="s">
        <v>384</v>
      </c>
      <c r="B68" s="20" t="s">
        <v>385</v>
      </c>
      <c r="C68" s="20" t="s">
        <v>318</v>
      </c>
      <c r="D68" s="20" t="s">
        <v>362</v>
      </c>
      <c r="E68" s="24"/>
    </row>
    <row r="69" spans="1:5" x14ac:dyDescent="0.2">
      <c r="A69" s="20" t="s">
        <v>386</v>
      </c>
      <c r="B69" s="20" t="s">
        <v>385</v>
      </c>
      <c r="C69" s="20" t="s">
        <v>318</v>
      </c>
      <c r="D69" s="20" t="s">
        <v>364</v>
      </c>
      <c r="E69" s="24"/>
    </row>
    <row r="70" spans="1:5" x14ac:dyDescent="0.2">
      <c r="A70" s="20" t="s">
        <v>387</v>
      </c>
      <c r="B70" s="20" t="s">
        <v>385</v>
      </c>
      <c r="C70" s="20" t="s">
        <v>318</v>
      </c>
      <c r="D70" s="20" t="s">
        <v>366</v>
      </c>
      <c r="E70" s="24"/>
    </row>
    <row r="71" spans="1:5" x14ac:dyDescent="0.2">
      <c r="A71" s="20" t="s">
        <v>388</v>
      </c>
      <c r="B71" s="20" t="s">
        <v>385</v>
      </c>
      <c r="C71" s="20" t="s">
        <v>318</v>
      </c>
      <c r="D71" s="20" t="s">
        <v>368</v>
      </c>
      <c r="E71" s="24"/>
    </row>
    <row r="72" spans="1:5" x14ac:dyDescent="0.2">
      <c r="A72" s="20" t="s">
        <v>389</v>
      </c>
      <c r="B72" s="20" t="s">
        <v>390</v>
      </c>
      <c r="C72" s="20" t="s">
        <v>318</v>
      </c>
      <c r="D72" s="20" t="s">
        <v>362</v>
      </c>
      <c r="E72" s="24"/>
    </row>
    <row r="73" spans="1:5" x14ac:dyDescent="0.2">
      <c r="A73" s="20" t="s">
        <v>391</v>
      </c>
      <c r="B73" s="20" t="s">
        <v>390</v>
      </c>
      <c r="C73" s="20" t="s">
        <v>318</v>
      </c>
      <c r="D73" s="20" t="s">
        <v>364</v>
      </c>
      <c r="E73" s="24"/>
    </row>
    <row r="74" spans="1:5" x14ac:dyDescent="0.2">
      <c r="A74" s="20" t="s">
        <v>392</v>
      </c>
      <c r="B74" s="20" t="s">
        <v>390</v>
      </c>
      <c r="C74" s="20" t="s">
        <v>318</v>
      </c>
      <c r="D74" s="20" t="s">
        <v>366</v>
      </c>
      <c r="E74" s="24"/>
    </row>
    <row r="75" spans="1:5" x14ac:dyDescent="0.2">
      <c r="A75" s="20" t="s">
        <v>393</v>
      </c>
      <c r="B75" s="20" t="s">
        <v>390</v>
      </c>
      <c r="C75" s="20" t="s">
        <v>318</v>
      </c>
      <c r="D75" s="20" t="s">
        <v>368</v>
      </c>
      <c r="E75" s="24"/>
    </row>
    <row r="76" spans="1:5" x14ac:dyDescent="0.2">
      <c r="A76" s="20" t="s">
        <v>394</v>
      </c>
      <c r="B76" s="20" t="s">
        <v>395</v>
      </c>
      <c r="C76" s="20" t="s">
        <v>318</v>
      </c>
      <c r="D76" s="20" t="s">
        <v>362</v>
      </c>
      <c r="E76" s="24"/>
    </row>
    <row r="77" spans="1:5" x14ac:dyDescent="0.2">
      <c r="A77" s="20" t="s">
        <v>396</v>
      </c>
      <c r="B77" s="20" t="s">
        <v>395</v>
      </c>
      <c r="C77" s="20" t="s">
        <v>318</v>
      </c>
      <c r="D77" s="20" t="s">
        <v>364</v>
      </c>
      <c r="E77" s="24"/>
    </row>
    <row r="78" spans="1:5" x14ac:dyDescent="0.2">
      <c r="A78" s="20" t="s">
        <v>397</v>
      </c>
      <c r="B78" s="20" t="s">
        <v>395</v>
      </c>
      <c r="C78" s="20" t="s">
        <v>318</v>
      </c>
      <c r="D78" s="20" t="s">
        <v>366</v>
      </c>
      <c r="E78" s="24"/>
    </row>
    <row r="79" spans="1:5" x14ac:dyDescent="0.2">
      <c r="A79" s="20" t="s">
        <v>398</v>
      </c>
      <c r="B79" s="20" t="s">
        <v>395</v>
      </c>
      <c r="C79" s="20" t="s">
        <v>318</v>
      </c>
      <c r="D79" s="20" t="s">
        <v>368</v>
      </c>
      <c r="E79" s="24"/>
    </row>
    <row r="80" spans="1:5" x14ac:dyDescent="0.2">
      <c r="A80" s="20" t="s">
        <v>399</v>
      </c>
      <c r="B80" s="20" t="s">
        <v>400</v>
      </c>
      <c r="C80" s="20" t="s">
        <v>318</v>
      </c>
      <c r="D80" s="20" t="s">
        <v>362</v>
      </c>
      <c r="E80" s="24"/>
    </row>
    <row r="81" spans="1:5" x14ac:dyDescent="0.2">
      <c r="A81" s="20" t="s">
        <v>401</v>
      </c>
      <c r="B81" s="20" t="s">
        <v>400</v>
      </c>
      <c r="C81" s="20" t="s">
        <v>318</v>
      </c>
      <c r="D81" s="20" t="s">
        <v>364</v>
      </c>
      <c r="E81" s="24"/>
    </row>
    <row r="82" spans="1:5" x14ac:dyDescent="0.2">
      <c r="A82" s="20" t="s">
        <v>402</v>
      </c>
      <c r="B82" s="20" t="s">
        <v>400</v>
      </c>
      <c r="C82" s="20" t="s">
        <v>318</v>
      </c>
      <c r="D82" s="20" t="s">
        <v>366</v>
      </c>
      <c r="E82" s="24"/>
    </row>
    <row r="83" spans="1:5" x14ac:dyDescent="0.2">
      <c r="A83" s="20" t="s">
        <v>403</v>
      </c>
      <c r="B83" s="20" t="s">
        <v>400</v>
      </c>
      <c r="C83" s="20" t="s">
        <v>318</v>
      </c>
      <c r="D83" s="20" t="s">
        <v>368</v>
      </c>
      <c r="E83" s="24"/>
    </row>
    <row r="84" spans="1:5" x14ac:dyDescent="0.2">
      <c r="A84" s="20" t="s">
        <v>404</v>
      </c>
      <c r="B84" s="20" t="s">
        <v>405</v>
      </c>
      <c r="C84" s="20" t="s">
        <v>318</v>
      </c>
      <c r="D84" s="20" t="s">
        <v>362</v>
      </c>
      <c r="E84" s="24"/>
    </row>
    <row r="85" spans="1:5" x14ac:dyDescent="0.2">
      <c r="A85" s="20" t="s">
        <v>406</v>
      </c>
      <c r="B85" s="20" t="s">
        <v>405</v>
      </c>
      <c r="C85" s="20" t="s">
        <v>318</v>
      </c>
      <c r="D85" s="20" t="s">
        <v>364</v>
      </c>
      <c r="E85" s="24"/>
    </row>
    <row r="86" spans="1:5" x14ac:dyDescent="0.2">
      <c r="A86" s="20" t="s">
        <v>407</v>
      </c>
      <c r="B86" s="20" t="s">
        <v>405</v>
      </c>
      <c r="C86" s="20" t="s">
        <v>318</v>
      </c>
      <c r="D86" s="20" t="s">
        <v>366</v>
      </c>
      <c r="E86" s="24"/>
    </row>
    <row r="87" spans="1:5" x14ac:dyDescent="0.2">
      <c r="A87" s="25" t="s">
        <v>408</v>
      </c>
      <c r="B87" s="25" t="s">
        <v>405</v>
      </c>
      <c r="C87" s="25" t="s">
        <v>318</v>
      </c>
      <c r="D87" s="25" t="s">
        <v>368</v>
      </c>
      <c r="E87" s="29"/>
    </row>
    <row r="88" spans="1:5" x14ac:dyDescent="0.2">
      <c r="A88" s="43" t="s">
        <v>118</v>
      </c>
      <c r="B88" s="44"/>
      <c r="C88" s="44"/>
      <c r="D88" s="44"/>
      <c r="E88" s="109"/>
    </row>
    <row r="90" spans="1:5" x14ac:dyDescent="0.2">
      <c r="A90" s="43" t="s">
        <v>409</v>
      </c>
      <c r="B90" s="44"/>
      <c r="C90" s="44"/>
      <c r="D90" s="44"/>
      <c r="E90" s="109"/>
    </row>
  </sheetData>
  <pageMargins left="0.7" right="0.7" top="0.75" bottom="0.75" header="0.3" footer="0.3"/>
  <pageSetup paperSize="9" scale="65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E846-1742-494A-8241-6ED2DFEBCE3E}">
  <dimension ref="A1:F10"/>
  <sheetViews>
    <sheetView tabSelected="1" workbookViewId="0"/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I3.9: ",tabeltype," totaalblad schoonmaakwerk")</f>
        <v>Bijlage I3.9: Invultabel totaalblad schoonmaakwerk</v>
      </c>
    </row>
    <row r="3" spans="1:6" ht="25.5" x14ac:dyDescent="0.2">
      <c r="A3" s="8" t="s">
        <v>410</v>
      </c>
      <c r="B3" s="8" t="s">
        <v>411</v>
      </c>
      <c r="C3" s="8" t="s">
        <v>412</v>
      </c>
      <c r="D3" s="8" t="s">
        <v>413</v>
      </c>
      <c r="E3" s="8" t="s">
        <v>414</v>
      </c>
      <c r="F3" s="8" t="s">
        <v>415</v>
      </c>
    </row>
    <row r="4" spans="1:6" x14ac:dyDescent="0.2">
      <c r="A4" s="110" t="s">
        <v>416</v>
      </c>
      <c r="B4" s="30">
        <f>urenjaartotaaloverzicht</f>
        <v>0</v>
      </c>
      <c r="C4" s="30">
        <f>urenjaartotaaloverzichthf</f>
        <v>0</v>
      </c>
      <c r="D4" s="92"/>
      <c r="E4" s="33">
        <f>prijsjaartotaaloverzicht</f>
        <v>0</v>
      </c>
      <c r="F4" s="33">
        <f>E4*1.21</f>
        <v>0</v>
      </c>
    </row>
    <row r="5" spans="1:6" x14ac:dyDescent="0.2">
      <c r="A5" s="111" t="s">
        <v>417</v>
      </c>
      <c r="B5" s="95"/>
      <c r="C5" s="95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112" t="s">
        <v>418</v>
      </c>
      <c r="B6" s="113"/>
      <c r="C6" s="113"/>
      <c r="D6" s="113"/>
      <c r="E6" s="41">
        <f>prijsjaarafroep</f>
        <v>0</v>
      </c>
      <c r="F6" s="41">
        <f>E6*1.21</f>
        <v>0</v>
      </c>
    </row>
    <row r="8" spans="1:6" x14ac:dyDescent="0.2">
      <c r="A8" s="8" t="s">
        <v>419</v>
      </c>
      <c r="B8" s="45">
        <f>SUM(B4:B6)</f>
        <v>0</v>
      </c>
      <c r="C8" s="45">
        <f>SUM(C4:C6)</f>
        <v>0</v>
      </c>
      <c r="D8" s="45">
        <f>SUM(D4:D6)</f>
        <v>0</v>
      </c>
      <c r="E8" s="46">
        <f>SUM(E4:E6)</f>
        <v>0</v>
      </c>
      <c r="F8" s="46">
        <f>E8*1.21</f>
        <v>0</v>
      </c>
    </row>
    <row r="10" spans="1:6" x14ac:dyDescent="0.2">
      <c r="A10" s="8" t="s">
        <v>420</v>
      </c>
      <c r="B10" s="114">
        <f>IF(B8&gt;0,D8/B8,0)</f>
        <v>0</v>
      </c>
    </row>
  </sheetData>
  <pageMargins left="0.7" right="0.7" top="0.75" bottom="0.75" header="0.3" footer="0.3"/>
  <pageSetup paperSize="9" scale="70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AC8E-CE86-4DEC-B65B-3AB297DF1178}">
  <dimension ref="A1:H2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I3.1: ",tabeltype," categorienormen")</f>
        <v>Bijlage I3.1: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40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1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44</v>
      </c>
      <c r="C10" s="20">
        <v>1</v>
      </c>
      <c r="D10" s="20" t="s">
        <v>45</v>
      </c>
      <c r="E10" s="22"/>
      <c r="F10" s="23"/>
      <c r="G10" s="20" t="s">
        <v>36</v>
      </c>
      <c r="H10" s="24"/>
    </row>
    <row r="11" spans="1:8" x14ac:dyDescent="0.2">
      <c r="A11" s="20" t="s">
        <v>46</v>
      </c>
      <c r="B11" s="21" t="s">
        <v>44</v>
      </c>
      <c r="C11" s="20">
        <v>40</v>
      </c>
      <c r="D11" s="20" t="s">
        <v>47</v>
      </c>
      <c r="E11" s="22"/>
      <c r="F11" s="23"/>
      <c r="G11" s="20" t="s">
        <v>36</v>
      </c>
      <c r="H11" s="24"/>
    </row>
    <row r="12" spans="1:8" x14ac:dyDescent="0.2">
      <c r="A12" s="20" t="s">
        <v>48</v>
      </c>
      <c r="B12" s="21" t="s">
        <v>44</v>
      </c>
      <c r="C12" s="20">
        <v>1</v>
      </c>
      <c r="D12" s="20" t="s">
        <v>49</v>
      </c>
      <c r="E12" s="22"/>
      <c r="F12" s="23"/>
      <c r="G12" s="20" t="s">
        <v>36</v>
      </c>
      <c r="H12" s="24"/>
    </row>
    <row r="13" spans="1:8" x14ac:dyDescent="0.2">
      <c r="A13" s="20" t="s">
        <v>50</v>
      </c>
      <c r="B13" s="21" t="s">
        <v>44</v>
      </c>
      <c r="C13" s="20">
        <v>40</v>
      </c>
      <c r="D13" s="20" t="s">
        <v>51</v>
      </c>
      <c r="E13" s="22"/>
      <c r="F13" s="23"/>
      <c r="G13" s="20" t="s">
        <v>36</v>
      </c>
      <c r="H13" s="24"/>
    </row>
    <row r="14" spans="1:8" x14ac:dyDescent="0.2">
      <c r="A14" s="20" t="s">
        <v>52</v>
      </c>
      <c r="B14" s="21" t="s">
        <v>44</v>
      </c>
      <c r="C14" s="20">
        <v>1</v>
      </c>
      <c r="D14" s="20" t="s">
        <v>53</v>
      </c>
      <c r="E14" s="22"/>
      <c r="F14" s="23"/>
      <c r="G14" s="20" t="s">
        <v>36</v>
      </c>
      <c r="H14" s="24"/>
    </row>
    <row r="15" spans="1:8" x14ac:dyDescent="0.2">
      <c r="A15" s="20" t="s">
        <v>54</v>
      </c>
      <c r="B15" s="21" t="s">
        <v>44</v>
      </c>
      <c r="C15" s="20">
        <v>40</v>
      </c>
      <c r="D15" s="20" t="s">
        <v>55</v>
      </c>
      <c r="E15" s="22"/>
      <c r="F15" s="23"/>
      <c r="G15" s="20" t="s">
        <v>36</v>
      </c>
      <c r="H15" s="24"/>
    </row>
    <row r="16" spans="1:8" x14ac:dyDescent="0.2">
      <c r="A16" s="20" t="s">
        <v>56</v>
      </c>
      <c r="B16" s="21" t="s">
        <v>57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57</v>
      </c>
      <c r="C17" s="20">
        <v>40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57</v>
      </c>
      <c r="C18" s="20">
        <v>1</v>
      </c>
      <c r="D18" s="20" t="s">
        <v>62</v>
      </c>
      <c r="E18" s="22"/>
      <c r="F18" s="23"/>
      <c r="G18" s="20" t="s">
        <v>36</v>
      </c>
      <c r="H18" s="24"/>
    </row>
    <row r="19" spans="1:8" x14ac:dyDescent="0.2">
      <c r="A19" s="20" t="s">
        <v>63</v>
      </c>
      <c r="B19" s="21" t="s">
        <v>57</v>
      </c>
      <c r="C19" s="20">
        <v>40</v>
      </c>
      <c r="D19" s="20" t="s">
        <v>64</v>
      </c>
      <c r="E19" s="22"/>
      <c r="F19" s="23"/>
      <c r="G19" s="20" t="s">
        <v>36</v>
      </c>
      <c r="H19" s="24"/>
    </row>
    <row r="20" spans="1:8" x14ac:dyDescent="0.2">
      <c r="A20" s="20" t="s">
        <v>65</v>
      </c>
      <c r="B20" s="21" t="s">
        <v>57</v>
      </c>
      <c r="C20" s="20">
        <v>1</v>
      </c>
      <c r="D20" s="20" t="s">
        <v>66</v>
      </c>
      <c r="E20" s="22"/>
      <c r="F20" s="23"/>
      <c r="G20" s="20" t="s">
        <v>36</v>
      </c>
      <c r="H20" s="24"/>
    </row>
    <row r="21" spans="1:8" x14ac:dyDescent="0.2">
      <c r="A21" s="20" t="s">
        <v>67</v>
      </c>
      <c r="B21" s="21" t="s">
        <v>57</v>
      </c>
      <c r="C21" s="20">
        <v>40</v>
      </c>
      <c r="D21" s="20" t="s">
        <v>68</v>
      </c>
      <c r="E21" s="22"/>
      <c r="F21" s="23"/>
      <c r="G21" s="20" t="s">
        <v>36</v>
      </c>
      <c r="H21" s="24"/>
    </row>
    <row r="22" spans="1:8" x14ac:dyDescent="0.2">
      <c r="A22" s="20" t="s">
        <v>69</v>
      </c>
      <c r="B22" s="21" t="s">
        <v>57</v>
      </c>
      <c r="C22" s="20">
        <v>1</v>
      </c>
      <c r="D22" s="20" t="s">
        <v>70</v>
      </c>
      <c r="E22" s="22"/>
      <c r="F22" s="23"/>
      <c r="G22" s="20" t="s">
        <v>36</v>
      </c>
      <c r="H22" s="24"/>
    </row>
    <row r="23" spans="1:8" x14ac:dyDescent="0.2">
      <c r="A23" s="20" t="s">
        <v>71</v>
      </c>
      <c r="B23" s="21" t="s">
        <v>57</v>
      </c>
      <c r="C23" s="20">
        <v>40</v>
      </c>
      <c r="D23" s="20" t="s">
        <v>72</v>
      </c>
      <c r="E23" s="22"/>
      <c r="F23" s="23"/>
      <c r="G23" s="20" t="s">
        <v>36</v>
      </c>
      <c r="H23" s="24"/>
    </row>
    <row r="24" spans="1:8" x14ac:dyDescent="0.2">
      <c r="A24" s="20" t="s">
        <v>73</v>
      </c>
      <c r="B24" s="21" t="s">
        <v>57</v>
      </c>
      <c r="C24" s="20">
        <v>1</v>
      </c>
      <c r="D24" s="20" t="s">
        <v>74</v>
      </c>
      <c r="E24" s="22"/>
      <c r="F24" s="23"/>
      <c r="G24" s="20" t="s">
        <v>36</v>
      </c>
      <c r="H24" s="24"/>
    </row>
    <row r="25" spans="1:8" x14ac:dyDescent="0.2">
      <c r="A25" s="20" t="s">
        <v>75</v>
      </c>
      <c r="B25" s="21" t="s">
        <v>57</v>
      </c>
      <c r="C25" s="20">
        <v>40</v>
      </c>
      <c r="D25" s="20" t="s">
        <v>76</v>
      </c>
      <c r="E25" s="22"/>
      <c r="F25" s="23"/>
      <c r="G25" s="20" t="s">
        <v>36</v>
      </c>
      <c r="H25" s="24"/>
    </row>
    <row r="26" spans="1:8" x14ac:dyDescent="0.2">
      <c r="A26" s="20" t="s">
        <v>77</v>
      </c>
      <c r="B26" s="21" t="s">
        <v>57</v>
      </c>
      <c r="C26" s="20">
        <v>1</v>
      </c>
      <c r="D26" s="20" t="s">
        <v>78</v>
      </c>
      <c r="E26" s="22"/>
      <c r="F26" s="23"/>
      <c r="G26" s="20" t="s">
        <v>36</v>
      </c>
      <c r="H26" s="24"/>
    </row>
    <row r="27" spans="1:8" x14ac:dyDescent="0.2">
      <c r="A27" s="20" t="s">
        <v>79</v>
      </c>
      <c r="B27" s="21" t="s">
        <v>57</v>
      </c>
      <c r="C27" s="20">
        <v>40</v>
      </c>
      <c r="D27" s="20" t="s">
        <v>80</v>
      </c>
      <c r="E27" s="22"/>
      <c r="F27" s="23"/>
      <c r="G27" s="20" t="s">
        <v>36</v>
      </c>
      <c r="H27" s="24"/>
    </row>
    <row r="28" spans="1:8" x14ac:dyDescent="0.2">
      <c r="A28" s="20" t="s">
        <v>81</v>
      </c>
      <c r="B28" s="21" t="s">
        <v>57</v>
      </c>
      <c r="C28" s="20">
        <v>1</v>
      </c>
      <c r="D28" s="20" t="s">
        <v>82</v>
      </c>
      <c r="E28" s="22"/>
      <c r="F28" s="23"/>
      <c r="G28" s="20" t="s">
        <v>36</v>
      </c>
      <c r="H28" s="24"/>
    </row>
    <row r="29" spans="1:8" x14ac:dyDescent="0.2">
      <c r="A29" s="25" t="s">
        <v>83</v>
      </c>
      <c r="B29" s="26" t="s">
        <v>57</v>
      </c>
      <c r="C29" s="25">
        <v>40</v>
      </c>
      <c r="D29" s="25" t="s">
        <v>84</v>
      </c>
      <c r="E29" s="27"/>
      <c r="F29" s="28"/>
      <c r="G29" s="25" t="s">
        <v>36</v>
      </c>
      <c r="H29" s="29"/>
    </row>
  </sheetData>
  <pageMargins left="0.7" right="0.7" top="0.75" bottom="0.75" header="0.3" footer="0.3"/>
  <pageSetup paperSize="9" scale="70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D8EF-7CE8-4633-9671-885D4F6A9800}">
  <dimension ref="A1:N2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I3.2: ",tabeltype," regulier werk")</f>
        <v>Bijlage I3.2: Invultabel regulier werk</v>
      </c>
    </row>
    <row r="3" spans="1:14" ht="38.25" x14ac:dyDescent="0.2">
      <c r="A3" s="8" t="s">
        <v>85</v>
      </c>
      <c r="B3" s="8" t="s">
        <v>7</v>
      </c>
      <c r="C3" s="8" t="s">
        <v>86</v>
      </c>
      <c r="D3" s="8" t="s">
        <v>27</v>
      </c>
      <c r="E3" s="8" t="s">
        <v>87</v>
      </c>
      <c r="F3" s="8" t="s">
        <v>88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89</v>
      </c>
      <c r="L3" s="8" t="s">
        <v>90</v>
      </c>
      <c r="M3" s="8" t="s">
        <v>91</v>
      </c>
      <c r="N3" s="8" t="s">
        <v>92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93</v>
      </c>
      <c r="B6" s="15" t="s">
        <v>10</v>
      </c>
      <c r="C6" s="15" t="s">
        <v>94</v>
      </c>
      <c r="D6" s="15" t="s">
        <v>95</v>
      </c>
      <c r="E6" s="30">
        <v>578</v>
      </c>
      <c r="F6" s="30">
        <f>E6*VLOOKUP(B6,dagsoorttabel1,2,FALSE)</f>
        <v>578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36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>IF(OR(ISBLANK(G6),G6=0),0,F6/G6)</f>
        <v>0</v>
      </c>
      <c r="L6" s="33">
        <f>J6*K6</f>
        <v>0</v>
      </c>
      <c r="M6" s="30">
        <f>K6*dagenperjaar1</f>
        <v>0</v>
      </c>
      <c r="N6" s="33">
        <f>M6*J6</f>
        <v>0</v>
      </c>
    </row>
    <row r="7" spans="1:14" x14ac:dyDescent="0.2">
      <c r="A7" s="20" t="s">
        <v>96</v>
      </c>
      <c r="B7" s="20" t="s">
        <v>10</v>
      </c>
      <c r="C7" s="20" t="s">
        <v>94</v>
      </c>
      <c r="D7" s="20" t="s">
        <v>97</v>
      </c>
      <c r="E7" s="34">
        <v>13</v>
      </c>
      <c r="F7" s="34">
        <f>E7*VLOOKUP(B7,dagsoorttabel1,2,FALSE)</f>
        <v>13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36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>IF(OR(ISBLANK(G7),G7=0),0,F7/G7)</f>
        <v>0</v>
      </c>
      <c r="L7" s="37">
        <f>J7*K7</f>
        <v>0</v>
      </c>
      <c r="M7" s="34">
        <f>K7*dagenperjaar1</f>
        <v>0</v>
      </c>
      <c r="N7" s="37">
        <f>M7*J7</f>
        <v>0</v>
      </c>
    </row>
    <row r="8" spans="1:14" x14ac:dyDescent="0.2">
      <c r="A8" s="20" t="s">
        <v>98</v>
      </c>
      <c r="B8" s="20" t="s">
        <v>10</v>
      </c>
      <c r="C8" s="20" t="s">
        <v>94</v>
      </c>
      <c r="D8" s="20" t="s">
        <v>99</v>
      </c>
      <c r="E8" s="34">
        <v>36</v>
      </c>
      <c r="F8" s="34">
        <f>E8*VLOOKUP(B8,dagsoorttabel1,2,FALSE)</f>
        <v>36</v>
      </c>
      <c r="G8" s="35">
        <f>IF(AND(catpn_1_DHB_1&gt;0,catpn_1_DHV_40&gt;0),(dagenperjaar1*VLOOKUP(B8,dagsoorttabel1,2,FALSE))/(((dagenperjaar1*VLOOKUP(B8,dagsoorttabel1,2,FALSE))-catfd_1_DHV_40)/catpn_1_DHB_1+catfd_1_DHV_40/catpn_1_DHV_40),0)</f>
        <v>0</v>
      </c>
      <c r="H8" s="36">
        <f>IF(AND(catpn_1_DHB_1&gt;0,catpn_1_DHV_40&gt;0),(catdw_1_DHB_1*((dagenperjaar1*VLOOKUP(B8,dagsoorttabel1,2,FALSE))-catfd_1_DHV_40)/catpn_1_DHB_1+catdw_1_DHV_40*catfd_1_DHV_40/catpn_1_DHV_40)/(((dagenperjaar1*VLOOKUP(B8,dagsoorttabel1,2,FALSE))-catfd_1_DHV_40)/catpn_1_DHB_1+catfd_1_DHV_40/catpn_1_DHV_40),0)</f>
        <v>0</v>
      </c>
      <c r="I8" s="20" t="s">
        <v>36</v>
      </c>
      <c r="J8" s="37">
        <f>IF(AND(catpn_1_DHB_1&gt;0,catpn_1_DHV_40&gt;0),(cattf_1_DHB_1*((dagenperjaar1*VLOOKUP(B8,dagsoorttabel1,2,FALSE))-catfd_1_DHV_40)/catpn_1_DHB_1+cattf_1_DHV_40*catfd_1_DHV_40/catpn_1_DHV_40)/(((dagenperjaar1*VLOOKUP(B8,dagsoorttabel1,2,FALSE))-catfd_1_DHV_40)/catpn_1_DHB_1+catfd_1_DHV_40/catpn_1_DHV_40),0)</f>
        <v>0</v>
      </c>
      <c r="K8" s="34">
        <f>IF(OR(ISBLANK(G8),G8=0),0,F8/G8)</f>
        <v>0</v>
      </c>
      <c r="L8" s="37">
        <f>J8*K8</f>
        <v>0</v>
      </c>
      <c r="M8" s="34">
        <f>K8*dagenperjaar1</f>
        <v>0</v>
      </c>
      <c r="N8" s="37">
        <f>M8*J8</f>
        <v>0</v>
      </c>
    </row>
    <row r="9" spans="1:14" x14ac:dyDescent="0.2">
      <c r="A9" s="20" t="s">
        <v>100</v>
      </c>
      <c r="B9" s="20" t="s">
        <v>10</v>
      </c>
      <c r="C9" s="20" t="s">
        <v>94</v>
      </c>
      <c r="D9" s="20" t="s">
        <v>101</v>
      </c>
      <c r="E9" s="34">
        <v>36</v>
      </c>
      <c r="F9" s="34">
        <f>E9*VLOOKUP(B9,dagsoorttabel1,2,FALSE)</f>
        <v>36</v>
      </c>
      <c r="G9" s="35">
        <f>IF(AND(catpn_1_EZB_1&gt;0,catpn_1_EZV_40&gt;0),(dagenperjaar1*VLOOKUP(B9,dagsoorttabel1,2,FALSE))/(((dagenperjaar1*VLOOKUP(B9,dagsoorttabel1,2,FALSE))-catfd_1_EZV_40)/catpn_1_EZB_1+catfd_1_EZV_40/catpn_1_EZV_40),0)</f>
        <v>0</v>
      </c>
      <c r="H9" s="36">
        <f>IF(AND(catpn_1_EZB_1&gt;0,catpn_1_EZV_40&gt;0),(catdw_1_EZB_1*((dagenperjaar1*VLOOKUP(B9,dagsoorttabel1,2,FALSE))-catfd_1_EZV_40)/catpn_1_EZB_1+catdw_1_EZV_40*catfd_1_EZV_40/catpn_1_EZV_40)/(((dagenperjaar1*VLOOKUP(B9,dagsoorttabel1,2,FALSE))-catfd_1_EZV_40)/catpn_1_EZB_1+catfd_1_EZV_40/catpn_1_EZV_40),0)</f>
        <v>0</v>
      </c>
      <c r="I9" s="20" t="s">
        <v>36</v>
      </c>
      <c r="J9" s="37">
        <f>IF(AND(catpn_1_EZB_1&gt;0,catpn_1_EZV_40&gt;0),(cattf_1_EZB_1*((dagenperjaar1*VLOOKUP(B9,dagsoorttabel1,2,FALSE))-catfd_1_EZV_40)/catpn_1_EZB_1+cattf_1_EZV_40*catfd_1_EZV_40/catpn_1_EZV_40)/(((dagenperjaar1*VLOOKUP(B9,dagsoorttabel1,2,FALSE))-catfd_1_EZV_40)/catpn_1_EZB_1+catfd_1_EZV_40/catpn_1_EZV_40),0)</f>
        <v>0</v>
      </c>
      <c r="K9" s="34">
        <f>IF(OR(ISBLANK(G9),G9=0),0,F9/G9)</f>
        <v>0</v>
      </c>
      <c r="L9" s="37">
        <f>J9*K9</f>
        <v>0</v>
      </c>
      <c r="M9" s="34">
        <f>K9*dagenperjaar1</f>
        <v>0</v>
      </c>
      <c r="N9" s="37">
        <f>M9*J9</f>
        <v>0</v>
      </c>
    </row>
    <row r="10" spans="1:14" x14ac:dyDescent="0.2">
      <c r="A10" s="20" t="s">
        <v>102</v>
      </c>
      <c r="B10" s="20" t="s">
        <v>10</v>
      </c>
      <c r="C10" s="20" t="s">
        <v>94</v>
      </c>
      <c r="D10" s="20" t="s">
        <v>103</v>
      </c>
      <c r="E10" s="34">
        <v>762</v>
      </c>
      <c r="F10" s="34">
        <f>E10*VLOOKUP(B10,dagsoorttabel1,2,FALSE)</f>
        <v>762</v>
      </c>
      <c r="G10" s="35">
        <f>IF(AND(catpn_1_GHB_1&gt;0,catpn_1_GHV_40&gt;0),(dagenperjaar1*VLOOKUP(B10,dagsoorttabel1,2,FALSE))/(((dagenperjaar1*VLOOKUP(B10,dagsoorttabel1,2,FALSE))-catfd_1_GHV_40)/catpn_1_GHB_1+catfd_1_GHV_40/catpn_1_GHV_40),0)</f>
        <v>0</v>
      </c>
      <c r="H10" s="36">
        <f>IF(AND(catpn_1_GHB_1&gt;0,catpn_1_GHV_40&gt;0),(catdw_1_GHB_1*((dagenperjaar1*VLOOKUP(B10,dagsoorttabel1,2,FALSE))-catfd_1_GHV_40)/catpn_1_GHB_1+catdw_1_GHV_40*catfd_1_GHV_40/catpn_1_GHV_40)/(((dagenperjaar1*VLOOKUP(B10,dagsoorttabel1,2,FALSE))-catfd_1_GHV_40)/catpn_1_GHB_1+catfd_1_GHV_40/catpn_1_GHV_40),0)</f>
        <v>0</v>
      </c>
      <c r="I10" s="20" t="s">
        <v>36</v>
      </c>
      <c r="J10" s="37">
        <f>IF(AND(catpn_1_GHB_1&gt;0,catpn_1_GHV_40&gt;0),(cattf_1_GHB_1*((dagenperjaar1*VLOOKUP(B10,dagsoorttabel1,2,FALSE))-catfd_1_GHV_40)/catpn_1_GHB_1+cattf_1_GHV_40*catfd_1_GHV_40/catpn_1_GHV_40)/(((dagenperjaar1*VLOOKUP(B10,dagsoorttabel1,2,FALSE))-catfd_1_GHV_40)/catpn_1_GHB_1+catfd_1_GHV_40/catpn_1_GHV_40),0)</f>
        <v>0</v>
      </c>
      <c r="K10" s="34">
        <f>IF(OR(ISBLANK(G10),G10=0),0,F10/G10)</f>
        <v>0</v>
      </c>
      <c r="L10" s="37">
        <f>J10*K10</f>
        <v>0</v>
      </c>
      <c r="M10" s="34">
        <f>K10*dagenperjaar1</f>
        <v>0</v>
      </c>
      <c r="N10" s="37">
        <f>M10*J10</f>
        <v>0</v>
      </c>
    </row>
    <row r="11" spans="1:14" x14ac:dyDescent="0.2">
      <c r="A11" s="20" t="s">
        <v>102</v>
      </c>
      <c r="B11" s="20" t="s">
        <v>15</v>
      </c>
      <c r="C11" s="20" t="s">
        <v>94</v>
      </c>
      <c r="D11" s="20" t="s">
        <v>103</v>
      </c>
      <c r="E11" s="34">
        <v>98</v>
      </c>
      <c r="F11" s="34">
        <f>E11*VLOOKUP(B11,dagsoorttabel1,2,FALSE)</f>
        <v>19.600000000000001</v>
      </c>
      <c r="G11" s="35">
        <f>catpn_1_GHV_40</f>
        <v>0</v>
      </c>
      <c r="H11" s="36">
        <f>catdw_1_GHV_40</f>
        <v>0</v>
      </c>
      <c r="I11" s="20" t="s">
        <v>36</v>
      </c>
      <c r="J11" s="37">
        <f>cattf_1_GHV_40</f>
        <v>0</v>
      </c>
      <c r="K11" s="34">
        <f>IF(OR(ISBLANK(G11),G11=0),0,F11/G11)</f>
        <v>0</v>
      </c>
      <c r="L11" s="37">
        <f>J11*K11</f>
        <v>0</v>
      </c>
      <c r="M11" s="34">
        <f>K11*dagenperjaar1</f>
        <v>0</v>
      </c>
      <c r="N11" s="37">
        <f>M11*J11</f>
        <v>0</v>
      </c>
    </row>
    <row r="12" spans="1:14" x14ac:dyDescent="0.2">
      <c r="A12" s="20" t="s">
        <v>104</v>
      </c>
      <c r="B12" s="20" t="s">
        <v>10</v>
      </c>
      <c r="C12" s="20" t="s">
        <v>94</v>
      </c>
      <c r="D12" s="20" t="s">
        <v>105</v>
      </c>
      <c r="E12" s="34">
        <v>131</v>
      </c>
      <c r="F12" s="34">
        <f>E12*VLOOKUP(B12,dagsoorttabel1,2,FALSE)</f>
        <v>131</v>
      </c>
      <c r="G12" s="35">
        <f>IF(AND(catpn_1_KHB_1&gt;0,catpn_1_KHV_40&gt;0),(dagenperjaar1*VLOOKUP(B12,dagsoorttabel1,2,FALSE))/(((dagenperjaar1*VLOOKUP(B12,dagsoorttabel1,2,FALSE))-catfd_1_KHV_40)/catpn_1_KHB_1+catfd_1_KHV_40/catpn_1_KHV_40),0)</f>
        <v>0</v>
      </c>
      <c r="H12" s="36">
        <f>IF(AND(catpn_1_KHB_1&gt;0,catpn_1_KHV_40&gt;0),(catdw_1_KHB_1*((dagenperjaar1*VLOOKUP(B12,dagsoorttabel1,2,FALSE))-catfd_1_KHV_40)/catpn_1_KHB_1+catdw_1_KHV_40*catfd_1_KHV_40/catpn_1_KHV_40)/(((dagenperjaar1*VLOOKUP(B12,dagsoorttabel1,2,FALSE))-catfd_1_KHV_40)/catpn_1_KHB_1+catfd_1_KHV_40/catpn_1_KHV_40),0)</f>
        <v>0</v>
      </c>
      <c r="I12" s="20" t="s">
        <v>36</v>
      </c>
      <c r="J12" s="37">
        <f>IF(AND(catpn_1_KHB_1&gt;0,catpn_1_KHV_40&gt;0),(cattf_1_KHB_1*((dagenperjaar1*VLOOKUP(B12,dagsoorttabel1,2,FALSE))-catfd_1_KHV_40)/catpn_1_KHB_1+cattf_1_KHV_40*catfd_1_KHV_40/catpn_1_KHV_40)/(((dagenperjaar1*VLOOKUP(B12,dagsoorttabel1,2,FALSE))-catfd_1_KHV_40)/catpn_1_KHB_1+catfd_1_KHV_40/catpn_1_KHV_40),0)</f>
        <v>0</v>
      </c>
      <c r="K12" s="34">
        <f>IF(OR(ISBLANK(G12),G12=0),0,F12/G12)</f>
        <v>0</v>
      </c>
      <c r="L12" s="37">
        <f>J12*K12</f>
        <v>0</v>
      </c>
      <c r="M12" s="34">
        <f>K12*dagenperjaar1</f>
        <v>0</v>
      </c>
      <c r="N12" s="37">
        <f>M12*J12</f>
        <v>0</v>
      </c>
    </row>
    <row r="13" spans="1:14" x14ac:dyDescent="0.2">
      <c r="A13" s="20" t="s">
        <v>106</v>
      </c>
      <c r="B13" s="20" t="s">
        <v>15</v>
      </c>
      <c r="C13" s="20" t="s">
        <v>94</v>
      </c>
      <c r="D13" s="20" t="s">
        <v>107</v>
      </c>
      <c r="E13" s="34">
        <v>277.87</v>
      </c>
      <c r="F13" s="34">
        <f>E13*VLOOKUP(B13,dagsoorttabel1,2,FALSE)</f>
        <v>55.574000000000005</v>
      </c>
      <c r="G13" s="35">
        <f>IF(AND(catpn_1_LHB_1&gt;0,catpn_1_LHV_40&gt;0),(dagenperjaar1*VLOOKUP(B13,dagsoorttabel1,2,FALSE))/(((dagenperjaar1*VLOOKUP(B13,dagsoorttabel1,2,FALSE))-catfd_1_LHV_40)/catpn_1_LHB_1+catfd_1_LHV_40/catpn_1_LHV_40),0)</f>
        <v>0</v>
      </c>
      <c r="H13" s="36">
        <f>IF(AND(catpn_1_LHB_1&gt;0,catpn_1_LHV_40&gt;0),(catdw_1_LHB_1*((dagenperjaar1*VLOOKUP(B13,dagsoorttabel1,2,FALSE))-catfd_1_LHV_40)/catpn_1_LHB_1+catdw_1_LHV_40*catfd_1_LHV_40/catpn_1_LHV_40)/(((dagenperjaar1*VLOOKUP(B13,dagsoorttabel1,2,FALSE))-catfd_1_LHV_40)/catpn_1_LHB_1+catfd_1_LHV_40/catpn_1_LHV_40),0)</f>
        <v>0</v>
      </c>
      <c r="I13" s="20" t="s">
        <v>36</v>
      </c>
      <c r="J13" s="37">
        <f>IF(AND(catpn_1_LHB_1&gt;0,catpn_1_LHV_40&gt;0),(cattf_1_LHB_1*((dagenperjaar1*VLOOKUP(B13,dagsoorttabel1,2,FALSE))-catfd_1_LHV_40)/catpn_1_LHB_1+cattf_1_LHV_40*catfd_1_LHV_40/catpn_1_LHV_40)/(((dagenperjaar1*VLOOKUP(B13,dagsoorttabel1,2,FALSE))-catfd_1_LHV_40)/catpn_1_LHB_1+catfd_1_LHV_40/catpn_1_LHV_40),0)</f>
        <v>0</v>
      </c>
      <c r="K13" s="34">
        <f>IF(OR(ISBLANK(G13),G13=0),0,F13/G13)</f>
        <v>0</v>
      </c>
      <c r="L13" s="37">
        <f>J13*K13</f>
        <v>0</v>
      </c>
      <c r="M13" s="34">
        <f>K13*dagenperjaar1</f>
        <v>0</v>
      </c>
      <c r="N13" s="37">
        <f>M13*J13</f>
        <v>0</v>
      </c>
    </row>
    <row r="14" spans="1:14" x14ac:dyDescent="0.2">
      <c r="A14" s="20" t="s">
        <v>108</v>
      </c>
      <c r="B14" s="20" t="s">
        <v>10</v>
      </c>
      <c r="C14" s="20" t="s">
        <v>94</v>
      </c>
      <c r="D14" s="20" t="s">
        <v>109</v>
      </c>
      <c r="E14" s="34">
        <v>23</v>
      </c>
      <c r="F14" s="34">
        <f>E14*VLOOKUP(B14,dagsoorttabel1,2,FALSE)</f>
        <v>23</v>
      </c>
      <c r="G14" s="35">
        <f>IF(AND(catpn_1_PHB_1&gt;0,catpn_1_PHV_40&gt;0),(dagenperjaar1*VLOOKUP(B14,dagsoorttabel1,2,FALSE))/(((dagenperjaar1*VLOOKUP(B14,dagsoorttabel1,2,FALSE))-catfd_1_PHV_40)/catpn_1_PHB_1+catfd_1_PHV_40/catpn_1_PHV_40),0)</f>
        <v>0</v>
      </c>
      <c r="H14" s="36">
        <f>IF(AND(catpn_1_PHB_1&gt;0,catpn_1_PHV_40&gt;0),(catdw_1_PHB_1*((dagenperjaar1*VLOOKUP(B14,dagsoorttabel1,2,FALSE))-catfd_1_PHV_40)/catpn_1_PHB_1+catdw_1_PHV_40*catfd_1_PHV_40/catpn_1_PHV_40)/(((dagenperjaar1*VLOOKUP(B14,dagsoorttabel1,2,FALSE))-catfd_1_PHV_40)/catpn_1_PHB_1+catfd_1_PHV_40/catpn_1_PHV_40),0)</f>
        <v>0</v>
      </c>
      <c r="I14" s="20" t="s">
        <v>36</v>
      </c>
      <c r="J14" s="37">
        <f>IF(AND(catpn_1_PHB_1&gt;0,catpn_1_PHV_40&gt;0),(cattf_1_PHB_1*((dagenperjaar1*VLOOKUP(B14,dagsoorttabel1,2,FALSE))-catfd_1_PHV_40)/catpn_1_PHB_1+cattf_1_PHV_40*catfd_1_PHV_40/catpn_1_PHV_40)/(((dagenperjaar1*VLOOKUP(B14,dagsoorttabel1,2,FALSE))-catfd_1_PHV_40)/catpn_1_PHB_1+catfd_1_PHV_40/catpn_1_PHV_40),0)</f>
        <v>0</v>
      </c>
      <c r="K14" s="34">
        <f>IF(OR(ISBLANK(G14),G14=0),0,F14/G14)</f>
        <v>0</v>
      </c>
      <c r="L14" s="37">
        <f>J14*K14</f>
        <v>0</v>
      </c>
      <c r="M14" s="34">
        <f>K14*dagenperjaar1</f>
        <v>0</v>
      </c>
      <c r="N14" s="37">
        <f>M14*J14</f>
        <v>0</v>
      </c>
    </row>
    <row r="15" spans="1:14" x14ac:dyDescent="0.2">
      <c r="A15" s="20" t="s">
        <v>110</v>
      </c>
      <c r="B15" s="20" t="s">
        <v>10</v>
      </c>
      <c r="C15" s="20" t="s">
        <v>94</v>
      </c>
      <c r="D15" s="20" t="s">
        <v>111</v>
      </c>
      <c r="E15" s="34">
        <v>45</v>
      </c>
      <c r="F15" s="34">
        <f>E15*VLOOKUP(B15,dagsoorttabel1,2,FALSE)</f>
        <v>45</v>
      </c>
      <c r="G15" s="35">
        <f>IF(AND(catpn_1_SHB_1&gt;0,catpn_1_SHV_40&gt;0),(dagenperjaar1*VLOOKUP(B15,dagsoorttabel1,2,FALSE))/(((dagenperjaar1*VLOOKUP(B15,dagsoorttabel1,2,FALSE))-catfd_1_SHV_40)/catpn_1_SHB_1+catfd_1_SHV_40/catpn_1_SHV_40),0)</f>
        <v>0</v>
      </c>
      <c r="H15" s="36">
        <f>IF(AND(catpn_1_SHB_1&gt;0,catpn_1_SHV_40&gt;0),(catdw_1_SHB_1*((dagenperjaar1*VLOOKUP(B15,dagsoorttabel1,2,FALSE))-catfd_1_SHV_40)/catpn_1_SHB_1+catdw_1_SHV_40*catfd_1_SHV_40/catpn_1_SHV_40)/(((dagenperjaar1*VLOOKUP(B15,dagsoorttabel1,2,FALSE))-catfd_1_SHV_40)/catpn_1_SHB_1+catfd_1_SHV_40/catpn_1_SHV_40),0)</f>
        <v>0</v>
      </c>
      <c r="I15" s="20" t="s">
        <v>36</v>
      </c>
      <c r="J15" s="37">
        <f>IF(AND(catpn_1_SHB_1&gt;0,catpn_1_SHV_40&gt;0),(cattf_1_SHB_1*((dagenperjaar1*VLOOKUP(B15,dagsoorttabel1,2,FALSE))-catfd_1_SHV_40)/catpn_1_SHB_1+cattf_1_SHV_40*catfd_1_SHV_40/catpn_1_SHV_40)/(((dagenperjaar1*VLOOKUP(B15,dagsoorttabel1,2,FALSE))-catfd_1_SHV_40)/catpn_1_SHB_1+catfd_1_SHV_40/catpn_1_SHV_40),0)</f>
        <v>0</v>
      </c>
      <c r="K15" s="34">
        <f>IF(OR(ISBLANK(G15),G15=0),0,F15/G15)</f>
        <v>0</v>
      </c>
      <c r="L15" s="37">
        <f>J15*K15</f>
        <v>0</v>
      </c>
      <c r="M15" s="34">
        <f>K15*dagenperjaar1</f>
        <v>0</v>
      </c>
      <c r="N15" s="37">
        <f>M15*J15</f>
        <v>0</v>
      </c>
    </row>
    <row r="16" spans="1:14" x14ac:dyDescent="0.2">
      <c r="A16" s="20" t="s">
        <v>112</v>
      </c>
      <c r="B16" s="20" t="s">
        <v>10</v>
      </c>
      <c r="C16" s="20" t="s">
        <v>94</v>
      </c>
      <c r="D16" s="20" t="s">
        <v>113</v>
      </c>
      <c r="E16" s="34">
        <v>38</v>
      </c>
      <c r="F16" s="34">
        <f>E16*VLOOKUP(B16,dagsoorttabel1,2,FALSE)</f>
        <v>38</v>
      </c>
      <c r="G16" s="35">
        <f>IF(AND(catpn_1_THB_1&gt;0,catpn_1_THV_40&gt;0),(dagenperjaar1*VLOOKUP(B16,dagsoorttabel1,2,FALSE))/(((dagenperjaar1*VLOOKUP(B16,dagsoorttabel1,2,FALSE))-catfd_1_THV_40)/catpn_1_THB_1+catfd_1_THV_40/catpn_1_THV_40),0)</f>
        <v>0</v>
      </c>
      <c r="H16" s="36">
        <f>IF(AND(catpn_1_THB_1&gt;0,catpn_1_THV_40&gt;0),(catdw_1_THB_1*((dagenperjaar1*VLOOKUP(B16,dagsoorttabel1,2,FALSE))-catfd_1_THV_40)/catpn_1_THB_1+catdw_1_THV_40*catfd_1_THV_40/catpn_1_THV_40)/(((dagenperjaar1*VLOOKUP(B16,dagsoorttabel1,2,FALSE))-catfd_1_THV_40)/catpn_1_THB_1+catfd_1_THV_40/catpn_1_THV_40),0)</f>
        <v>0</v>
      </c>
      <c r="I16" s="20" t="s">
        <v>36</v>
      </c>
      <c r="J16" s="37">
        <f>IF(AND(catpn_1_THB_1&gt;0,catpn_1_THV_40&gt;0),(cattf_1_THB_1*((dagenperjaar1*VLOOKUP(B16,dagsoorttabel1,2,FALSE))-catfd_1_THV_40)/catpn_1_THB_1+cattf_1_THV_40*catfd_1_THV_40/catpn_1_THV_40)/(((dagenperjaar1*VLOOKUP(B16,dagsoorttabel1,2,FALSE))-catfd_1_THV_40)/catpn_1_THB_1+catfd_1_THV_40/catpn_1_THV_40),0)</f>
        <v>0</v>
      </c>
      <c r="K16" s="34">
        <f>IF(OR(ISBLANK(G16),G16=0),0,F16/G16)</f>
        <v>0</v>
      </c>
      <c r="L16" s="37">
        <f>J16*K16</f>
        <v>0</v>
      </c>
      <c r="M16" s="34">
        <f>K16*dagenperjaar1</f>
        <v>0</v>
      </c>
      <c r="N16" s="37">
        <f>M16*J16</f>
        <v>0</v>
      </c>
    </row>
    <row r="17" spans="1:14" x14ac:dyDescent="0.2">
      <c r="A17" s="20" t="s">
        <v>114</v>
      </c>
      <c r="B17" s="20" t="s">
        <v>10</v>
      </c>
      <c r="C17" s="20" t="s">
        <v>94</v>
      </c>
      <c r="D17" s="20" t="s">
        <v>115</v>
      </c>
      <c r="E17" s="34">
        <v>177</v>
      </c>
      <c r="F17" s="34">
        <f>E17*VLOOKUP(B17,dagsoorttabel1,2,FALSE)</f>
        <v>177</v>
      </c>
      <c r="G17" s="35">
        <f>IF(AND(catpn_1_VHB_1&gt;0,catpn_1_VHV_40&gt;0),(dagenperjaar1*VLOOKUP(B17,dagsoorttabel1,2,FALSE))/(((dagenperjaar1*VLOOKUP(B17,dagsoorttabel1,2,FALSE))-catfd_1_VHV_40)/catpn_1_VHB_1+catfd_1_VHV_40/catpn_1_VHV_40),0)</f>
        <v>0</v>
      </c>
      <c r="H17" s="36">
        <f>IF(AND(catpn_1_VHB_1&gt;0,catpn_1_VHV_40&gt;0),(catdw_1_VHB_1*((dagenperjaar1*VLOOKUP(B17,dagsoorttabel1,2,FALSE))-catfd_1_VHV_40)/catpn_1_VHB_1+catdw_1_VHV_40*catfd_1_VHV_40/catpn_1_VHV_40)/(((dagenperjaar1*VLOOKUP(B17,dagsoorttabel1,2,FALSE))-catfd_1_VHV_40)/catpn_1_VHB_1+catfd_1_VHV_40/catpn_1_VHV_40),0)</f>
        <v>0</v>
      </c>
      <c r="I17" s="20" t="s">
        <v>36</v>
      </c>
      <c r="J17" s="37">
        <f>IF(AND(catpn_1_VHB_1&gt;0,catpn_1_VHV_40&gt;0),(cattf_1_VHB_1*((dagenperjaar1*VLOOKUP(B17,dagsoorttabel1,2,FALSE))-catfd_1_VHV_40)/catpn_1_VHB_1+cattf_1_VHV_40*catfd_1_VHV_40/catpn_1_VHV_40)/(((dagenperjaar1*VLOOKUP(B17,dagsoorttabel1,2,FALSE))-catfd_1_VHV_40)/catpn_1_VHB_1+catfd_1_VHV_40/catpn_1_VHV_40),0)</f>
        <v>0</v>
      </c>
      <c r="K17" s="34">
        <f>IF(OR(ISBLANK(G17),G17=0),0,F17/G17)</f>
        <v>0</v>
      </c>
      <c r="L17" s="37">
        <f>J17*K17</f>
        <v>0</v>
      </c>
      <c r="M17" s="34">
        <f>K17*dagenperjaar1</f>
        <v>0</v>
      </c>
      <c r="N17" s="37">
        <f>M17*J17</f>
        <v>0</v>
      </c>
    </row>
    <row r="18" spans="1:14" x14ac:dyDescent="0.2">
      <c r="A18" s="25" t="s">
        <v>116</v>
      </c>
      <c r="B18" s="25" t="s">
        <v>10</v>
      </c>
      <c r="C18" s="25" t="s">
        <v>94</v>
      </c>
      <c r="D18" s="25" t="s">
        <v>117</v>
      </c>
      <c r="E18" s="38">
        <v>20</v>
      </c>
      <c r="F18" s="38">
        <f>E18*VLOOKUP(B18,dagsoorttabel1,2,FALSE)</f>
        <v>20</v>
      </c>
      <c r="G18" s="39">
        <f>IF(AND(catpn_1_VZB_1&gt;0,catpn_1_VZV_40&gt;0),(dagenperjaar1*VLOOKUP(B18,dagsoorttabel1,2,FALSE))/(((dagenperjaar1*VLOOKUP(B18,dagsoorttabel1,2,FALSE))-catfd_1_VZV_40)/catpn_1_VZB_1+catfd_1_VZV_40/catpn_1_VZV_40),0)</f>
        <v>0</v>
      </c>
      <c r="H18" s="40">
        <f>IF(AND(catpn_1_VZB_1&gt;0,catpn_1_VZV_40&gt;0),(catdw_1_VZB_1*((dagenperjaar1*VLOOKUP(B18,dagsoorttabel1,2,FALSE))-catfd_1_VZV_40)/catpn_1_VZB_1+catdw_1_VZV_40*catfd_1_VZV_40/catpn_1_VZV_40)/(((dagenperjaar1*VLOOKUP(B18,dagsoorttabel1,2,FALSE))-catfd_1_VZV_40)/catpn_1_VZB_1+catfd_1_VZV_40/catpn_1_VZV_40),0)</f>
        <v>0</v>
      </c>
      <c r="I18" s="25" t="s">
        <v>36</v>
      </c>
      <c r="J18" s="41">
        <f>IF(AND(catpn_1_VZB_1&gt;0,catpn_1_VZV_40&gt;0),(cattf_1_VZB_1*((dagenperjaar1*VLOOKUP(B18,dagsoorttabel1,2,FALSE))-catfd_1_VZV_40)/catpn_1_VZB_1+cattf_1_VZV_40*catfd_1_VZV_40/catpn_1_VZV_40)/(((dagenperjaar1*VLOOKUP(B18,dagsoorttabel1,2,FALSE))-catfd_1_VZV_40)/catpn_1_VZB_1+catfd_1_VZV_40/catpn_1_VZV_40),0)</f>
        <v>0</v>
      </c>
      <c r="K18" s="38">
        <f>IF(OR(ISBLANK(G18),G18=0),0,F18/G18)</f>
        <v>0</v>
      </c>
      <c r="L18" s="41">
        <f>J18*K18</f>
        <v>0</v>
      </c>
      <c r="M18" s="38">
        <f>K18*dagenperjaar1</f>
        <v>0</v>
      </c>
      <c r="N18" s="41">
        <f>M18*J18</f>
        <v>0</v>
      </c>
    </row>
    <row r="19" spans="1:14" x14ac:dyDescent="0.2">
      <c r="A19" s="43" t="s">
        <v>118</v>
      </c>
      <c r="B19" s="44"/>
      <c r="C19" s="44"/>
      <c r="D19" s="44"/>
      <c r="E19" s="44"/>
      <c r="F19" s="44"/>
      <c r="G19" s="44"/>
      <c r="H19" s="44"/>
      <c r="I19" s="44"/>
      <c r="J19" s="44"/>
      <c r="K19" s="45">
        <f>SUM(K6:K18)</f>
        <v>0</v>
      </c>
      <c r="L19" s="46">
        <f>SUM(L6:L18)</f>
        <v>0</v>
      </c>
      <c r="M19" s="45">
        <f>SUM(M6:M18)</f>
        <v>0</v>
      </c>
      <c r="N19" s="47">
        <f>SUM(N6:N18)</f>
        <v>0</v>
      </c>
    </row>
    <row r="20" spans="1:14" x14ac:dyDescent="0.2">
      <c r="A20" s="48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9"/>
    </row>
    <row r="21" spans="1:14" x14ac:dyDescent="0.2">
      <c r="A21" s="43" t="s">
        <v>119</v>
      </c>
      <c r="B21" s="44"/>
      <c r="C21" s="44"/>
      <c r="D21" s="44"/>
      <c r="E21" s="44"/>
      <c r="F21" s="44"/>
      <c r="G21" s="44"/>
      <c r="H21" s="44"/>
      <c r="I21" s="44"/>
      <c r="J21" s="46">
        <f>IF(urenjaar1&gt;0,SUMIF(M6:M18,"&gt;0",N6:N18)/urenjaar1,0)</f>
        <v>0</v>
      </c>
      <c r="K21" s="44"/>
      <c r="L21" s="44"/>
      <c r="M21" s="44"/>
      <c r="N21" s="49"/>
    </row>
    <row r="22" spans="1:14" x14ac:dyDescent="0.2">
      <c r="A22" s="48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9"/>
    </row>
    <row r="24" spans="1:14" x14ac:dyDescent="0.2">
      <c r="A24" s="43" t="s">
        <v>120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>
        <f>urenjaar1</f>
        <v>0</v>
      </c>
      <c r="N24" s="46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205F-CD24-429E-BB9D-0CA7BA140A50}">
  <dimension ref="A1:U44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I3.3: ",tabeltype," ruimten werkdag")</f>
        <v>Bijlage I3.3: Invultabel ruimten werkdag</v>
      </c>
    </row>
    <row r="3" spans="1:21" ht="38.25" x14ac:dyDescent="0.2">
      <c r="A3" s="50" t="s">
        <v>121</v>
      </c>
      <c r="B3" s="8" t="s">
        <v>122</v>
      </c>
      <c r="C3" s="8" t="s">
        <v>123</v>
      </c>
      <c r="D3" s="8" t="s">
        <v>124</v>
      </c>
      <c r="E3" s="8" t="s">
        <v>125</v>
      </c>
      <c r="F3" s="8" t="s">
        <v>126</v>
      </c>
      <c r="G3" s="8" t="s">
        <v>85</v>
      </c>
      <c r="H3" s="8" t="s">
        <v>7</v>
      </c>
      <c r="I3" s="8" t="s">
        <v>127</v>
      </c>
      <c r="J3" s="8" t="s">
        <v>128</v>
      </c>
      <c r="K3" s="8" t="s">
        <v>87</v>
      </c>
      <c r="L3" s="8" t="s">
        <v>88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89</v>
      </c>
      <c r="R3" s="8" t="s">
        <v>129</v>
      </c>
      <c r="S3" s="8" t="s">
        <v>90</v>
      </c>
      <c r="T3" s="8" t="s">
        <v>91</v>
      </c>
      <c r="U3" s="51" t="s">
        <v>92</v>
      </c>
    </row>
    <row r="4" spans="1:21" x14ac:dyDescent="0.2">
      <c r="A4" s="52" t="s">
        <v>130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131</v>
      </c>
      <c r="B5" s="54" t="s">
        <v>132</v>
      </c>
      <c r="C5" s="54" t="s">
        <v>133</v>
      </c>
      <c r="D5" s="54" t="s">
        <v>134</v>
      </c>
      <c r="E5" s="55" t="s">
        <v>135</v>
      </c>
      <c r="F5" s="54" t="s">
        <v>136</v>
      </c>
      <c r="G5" s="54" t="s">
        <v>110</v>
      </c>
      <c r="H5" s="54" t="s">
        <v>10</v>
      </c>
      <c r="I5" s="54" t="s">
        <v>94</v>
      </c>
      <c r="J5" s="54"/>
      <c r="K5" s="56">
        <v>12</v>
      </c>
      <c r="L5" s="56">
        <f>K5*VLOOKUP(H5,dagsoorttabel1,2,FALSE)</f>
        <v>12</v>
      </c>
      <c r="M5" s="57">
        <f>prodnorm11</f>
        <v>0</v>
      </c>
      <c r="N5" s="58">
        <f>dagwerk11</f>
        <v>0</v>
      </c>
      <c r="O5" s="54" t="s">
        <v>36</v>
      </c>
      <c r="P5" s="59">
        <f>uurtarief11</f>
        <v>0</v>
      </c>
      <c r="Q5" s="56" t="e">
        <f>IF(ISBLANK(M5),0,L5/M5)</f>
        <v>#DIV/0!</v>
      </c>
      <c r="R5" s="56" t="e">
        <f>IF(ISBLANK(M5),0,Q5*N5)</f>
        <v>#DIV/0!</v>
      </c>
      <c r="S5" s="59" t="e">
        <f>P5*Q5</f>
        <v>#DIV/0!</v>
      </c>
      <c r="T5" s="56" t="e">
        <f>Q5*dagenperjaar1</f>
        <v>#DIV/0!</v>
      </c>
      <c r="U5" s="60" t="e">
        <f>T5*P5</f>
        <v>#DIV/0!</v>
      </c>
    </row>
    <row r="6" spans="1:21" x14ac:dyDescent="0.2">
      <c r="A6" s="61" t="s">
        <v>131</v>
      </c>
      <c r="B6" s="62" t="s">
        <v>132</v>
      </c>
      <c r="C6" s="62" t="s">
        <v>133</v>
      </c>
      <c r="D6" s="62" t="s">
        <v>137</v>
      </c>
      <c r="E6" s="63" t="s">
        <v>135</v>
      </c>
      <c r="F6" s="62" t="s">
        <v>136</v>
      </c>
      <c r="G6" s="62" t="s">
        <v>110</v>
      </c>
      <c r="H6" s="62" t="s">
        <v>10</v>
      </c>
      <c r="I6" s="62" t="s">
        <v>94</v>
      </c>
      <c r="J6" s="62"/>
      <c r="K6" s="64">
        <v>12</v>
      </c>
      <c r="L6" s="64">
        <f>K6*VLOOKUP(H6,dagsoorttabel1,2,FALSE)</f>
        <v>12</v>
      </c>
      <c r="M6" s="65">
        <f>prodnorm11</f>
        <v>0</v>
      </c>
      <c r="N6" s="66">
        <f>dagwerk11</f>
        <v>0</v>
      </c>
      <c r="O6" s="62" t="s">
        <v>36</v>
      </c>
      <c r="P6" s="67">
        <f>uurtarief11</f>
        <v>0</v>
      </c>
      <c r="Q6" s="64" t="e">
        <f>IF(ISBLANK(M6),0,L6/M6)</f>
        <v>#DIV/0!</v>
      </c>
      <c r="R6" s="64" t="e">
        <f>IF(ISBLANK(M6),0,Q6*N6)</f>
        <v>#DIV/0!</v>
      </c>
      <c r="S6" s="67" t="e">
        <f>P6*Q6</f>
        <v>#DIV/0!</v>
      </c>
      <c r="T6" s="64" t="e">
        <f>Q6*dagenperjaar1</f>
        <v>#DIV/0!</v>
      </c>
      <c r="U6" s="68" t="e">
        <f>T6*P6</f>
        <v>#DIV/0!</v>
      </c>
    </row>
    <row r="7" spans="1:21" x14ac:dyDescent="0.2">
      <c r="A7" s="61" t="s">
        <v>131</v>
      </c>
      <c r="B7" s="62" t="s">
        <v>132</v>
      </c>
      <c r="C7" s="62" t="s">
        <v>133</v>
      </c>
      <c r="D7" s="62" t="s">
        <v>138</v>
      </c>
      <c r="E7" s="63" t="s">
        <v>139</v>
      </c>
      <c r="F7" s="62" t="s">
        <v>140</v>
      </c>
      <c r="G7" s="62" t="s">
        <v>114</v>
      </c>
      <c r="H7" s="62" t="s">
        <v>10</v>
      </c>
      <c r="I7" s="62" t="s">
        <v>94</v>
      </c>
      <c r="J7" s="62"/>
      <c r="K7" s="64">
        <v>65</v>
      </c>
      <c r="L7" s="64">
        <f>K7*VLOOKUP(H7,dagsoorttabel1,2,FALSE)</f>
        <v>65</v>
      </c>
      <c r="M7" s="65">
        <f>prodnorm13</f>
        <v>0</v>
      </c>
      <c r="N7" s="66">
        <f>dagwerk13</f>
        <v>0</v>
      </c>
      <c r="O7" s="62" t="s">
        <v>36</v>
      </c>
      <c r="P7" s="67">
        <f>uurtarief13</f>
        <v>0</v>
      </c>
      <c r="Q7" s="64" t="e">
        <f>IF(ISBLANK(M7),0,L7/M7)</f>
        <v>#DIV/0!</v>
      </c>
      <c r="R7" s="64" t="e">
        <f>IF(ISBLANK(M7),0,Q7*N7)</f>
        <v>#DIV/0!</v>
      </c>
      <c r="S7" s="67" t="e">
        <f>P7*Q7</f>
        <v>#DIV/0!</v>
      </c>
      <c r="T7" s="64" t="e">
        <f>Q7*dagenperjaar1</f>
        <v>#DIV/0!</v>
      </c>
      <c r="U7" s="68" t="e">
        <f>T7*P7</f>
        <v>#DIV/0!</v>
      </c>
    </row>
    <row r="8" spans="1:21" x14ac:dyDescent="0.2">
      <c r="A8" s="61" t="s">
        <v>131</v>
      </c>
      <c r="B8" s="62" t="s">
        <v>132</v>
      </c>
      <c r="C8" s="62" t="s">
        <v>133</v>
      </c>
      <c r="D8" s="62" t="s">
        <v>141</v>
      </c>
      <c r="E8" s="63" t="s">
        <v>142</v>
      </c>
      <c r="F8" s="62" t="s">
        <v>143</v>
      </c>
      <c r="G8" s="62" t="s">
        <v>100</v>
      </c>
      <c r="H8" s="62" t="s">
        <v>10</v>
      </c>
      <c r="I8" s="62" t="s">
        <v>94</v>
      </c>
      <c r="J8" s="62"/>
      <c r="K8" s="64">
        <v>7</v>
      </c>
      <c r="L8" s="64">
        <f>K8*VLOOKUP(H8,dagsoorttabel1,2,FALSE)</f>
        <v>7</v>
      </c>
      <c r="M8" s="65">
        <f>prodnorm5</f>
        <v>0</v>
      </c>
      <c r="N8" s="66">
        <f>dagwerk5</f>
        <v>0</v>
      </c>
      <c r="O8" s="62" t="s">
        <v>36</v>
      </c>
      <c r="P8" s="67">
        <f>uurtarief5</f>
        <v>0</v>
      </c>
      <c r="Q8" s="64" t="e">
        <f>IF(ISBLANK(M8),0,L8/M8)</f>
        <v>#DIV/0!</v>
      </c>
      <c r="R8" s="64" t="e">
        <f>IF(ISBLANK(M8),0,Q8*N8)</f>
        <v>#DIV/0!</v>
      </c>
      <c r="S8" s="67" t="e">
        <f>P8*Q8</f>
        <v>#DIV/0!</v>
      </c>
      <c r="T8" s="64" t="e">
        <f>Q8*dagenperjaar1</f>
        <v>#DIV/0!</v>
      </c>
      <c r="U8" s="68" t="e">
        <f>T8*P8</f>
        <v>#DIV/0!</v>
      </c>
    </row>
    <row r="9" spans="1:21" x14ac:dyDescent="0.2">
      <c r="A9" s="61" t="s">
        <v>131</v>
      </c>
      <c r="B9" s="62" t="s">
        <v>132</v>
      </c>
      <c r="C9" s="62" t="s">
        <v>133</v>
      </c>
      <c r="D9" s="62" t="s">
        <v>144</v>
      </c>
      <c r="E9" s="63" t="s">
        <v>145</v>
      </c>
      <c r="F9" s="62" t="s">
        <v>146</v>
      </c>
      <c r="G9" s="62" t="s">
        <v>102</v>
      </c>
      <c r="H9" s="62" t="s">
        <v>10</v>
      </c>
      <c r="I9" s="62" t="s">
        <v>94</v>
      </c>
      <c r="J9" s="62"/>
      <c r="K9" s="64">
        <v>252</v>
      </c>
      <c r="L9" s="64">
        <f>K9*VLOOKUP(H9,dagsoorttabel1,2,FALSE)</f>
        <v>252</v>
      </c>
      <c r="M9" s="65">
        <f>prodnorm6</f>
        <v>0</v>
      </c>
      <c r="N9" s="66">
        <f>dagwerk6</f>
        <v>0</v>
      </c>
      <c r="O9" s="62" t="s">
        <v>36</v>
      </c>
      <c r="P9" s="67">
        <f>uurtarief6</f>
        <v>0</v>
      </c>
      <c r="Q9" s="64" t="e">
        <f>IF(ISBLANK(M9),0,L9/M9)</f>
        <v>#DIV/0!</v>
      </c>
      <c r="R9" s="64" t="e">
        <f>IF(ISBLANK(M9),0,Q9*N9)</f>
        <v>#DIV/0!</v>
      </c>
      <c r="S9" s="67" t="e">
        <f>P9*Q9</f>
        <v>#DIV/0!</v>
      </c>
      <c r="T9" s="64" t="e">
        <f>Q9*dagenperjaar1</f>
        <v>#DIV/0!</v>
      </c>
      <c r="U9" s="68" t="e">
        <f>T9*P9</f>
        <v>#DIV/0!</v>
      </c>
    </row>
    <row r="10" spans="1:21" x14ac:dyDescent="0.2">
      <c r="A10" s="61" t="s">
        <v>131</v>
      </c>
      <c r="B10" s="62" t="s">
        <v>132</v>
      </c>
      <c r="C10" s="62" t="s">
        <v>133</v>
      </c>
      <c r="D10" s="62" t="s">
        <v>147</v>
      </c>
      <c r="E10" s="63" t="s">
        <v>148</v>
      </c>
      <c r="F10" s="62" t="s">
        <v>146</v>
      </c>
      <c r="G10" s="62" t="s">
        <v>102</v>
      </c>
      <c r="H10" s="62" t="s">
        <v>15</v>
      </c>
      <c r="I10" s="62" t="s">
        <v>94</v>
      </c>
      <c r="J10" s="62"/>
      <c r="K10" s="64">
        <v>52</v>
      </c>
      <c r="L10" s="64">
        <f>K10*VLOOKUP(H10,dagsoorttabel1,2,FALSE)</f>
        <v>10.4</v>
      </c>
      <c r="M10" s="65">
        <f>prodnorm7</f>
        <v>0</v>
      </c>
      <c r="N10" s="66">
        <f>dagwerk7</f>
        <v>0</v>
      </c>
      <c r="O10" s="62" t="s">
        <v>36</v>
      </c>
      <c r="P10" s="67">
        <f>uurtarief7</f>
        <v>0</v>
      </c>
      <c r="Q10" s="64" t="e">
        <f>IF(ISBLANK(M10),0,L10/M10)</f>
        <v>#DIV/0!</v>
      </c>
      <c r="R10" s="64" t="e">
        <f>IF(ISBLANK(M10),0,Q10*N10)</f>
        <v>#DIV/0!</v>
      </c>
      <c r="S10" s="67" t="e">
        <f>P10*Q10</f>
        <v>#DIV/0!</v>
      </c>
      <c r="T10" s="64" t="e">
        <f>Q10*dagenperjaar1</f>
        <v>#DIV/0!</v>
      </c>
      <c r="U10" s="68" t="e">
        <f>T10*P10</f>
        <v>#DIV/0!</v>
      </c>
    </row>
    <row r="11" spans="1:21" x14ac:dyDescent="0.2">
      <c r="A11" s="61" t="s">
        <v>131</v>
      </c>
      <c r="B11" s="62" t="s">
        <v>132</v>
      </c>
      <c r="C11" s="62" t="s">
        <v>133</v>
      </c>
      <c r="D11" s="62" t="s">
        <v>149</v>
      </c>
      <c r="E11" s="63" t="s">
        <v>150</v>
      </c>
      <c r="F11" s="62" t="s">
        <v>151</v>
      </c>
      <c r="G11" s="62" t="s">
        <v>112</v>
      </c>
      <c r="H11" s="62" t="s">
        <v>10</v>
      </c>
      <c r="I11" s="62" t="s">
        <v>94</v>
      </c>
      <c r="J11" s="62"/>
      <c r="K11" s="64">
        <v>4</v>
      </c>
      <c r="L11" s="64">
        <f>K11*VLOOKUP(H11,dagsoorttabel1,2,FALSE)</f>
        <v>4</v>
      </c>
      <c r="M11" s="65">
        <f>prodnorm12</f>
        <v>0</v>
      </c>
      <c r="N11" s="66">
        <f>dagwerk12</f>
        <v>0</v>
      </c>
      <c r="O11" s="62" t="s">
        <v>36</v>
      </c>
      <c r="P11" s="67">
        <f>uurtarief12</f>
        <v>0</v>
      </c>
      <c r="Q11" s="64" t="e">
        <f>IF(ISBLANK(M11),0,L11/M11)</f>
        <v>#DIV/0!</v>
      </c>
      <c r="R11" s="64" t="e">
        <f>IF(ISBLANK(M11),0,Q11*N11)</f>
        <v>#DIV/0!</v>
      </c>
      <c r="S11" s="67" t="e">
        <f>P11*Q11</f>
        <v>#DIV/0!</v>
      </c>
      <c r="T11" s="64" t="e">
        <f>Q11*dagenperjaar1</f>
        <v>#DIV/0!</v>
      </c>
      <c r="U11" s="68" t="e">
        <f>T11*P11</f>
        <v>#DIV/0!</v>
      </c>
    </row>
    <row r="12" spans="1:21" x14ac:dyDescent="0.2">
      <c r="A12" s="61" t="s">
        <v>131</v>
      </c>
      <c r="B12" s="62" t="s">
        <v>132</v>
      </c>
      <c r="C12" s="62" t="s">
        <v>133</v>
      </c>
      <c r="D12" s="62" t="s">
        <v>152</v>
      </c>
      <c r="E12" s="63" t="s">
        <v>153</v>
      </c>
      <c r="F12" s="62" t="s">
        <v>154</v>
      </c>
      <c r="G12" s="62" t="s">
        <v>104</v>
      </c>
      <c r="H12" s="62" t="s">
        <v>10</v>
      </c>
      <c r="I12" s="62" t="s">
        <v>94</v>
      </c>
      <c r="J12" s="62"/>
      <c r="K12" s="64">
        <v>20</v>
      </c>
      <c r="L12" s="64">
        <f>K12*VLOOKUP(H12,dagsoorttabel1,2,FALSE)</f>
        <v>20</v>
      </c>
      <c r="M12" s="65">
        <f>prodnorm8</f>
        <v>0</v>
      </c>
      <c r="N12" s="66">
        <f>dagwerk8</f>
        <v>0</v>
      </c>
      <c r="O12" s="62" t="s">
        <v>36</v>
      </c>
      <c r="P12" s="67">
        <f>uurtarief8</f>
        <v>0</v>
      </c>
      <c r="Q12" s="64" t="e">
        <f>IF(ISBLANK(M12),0,L12/M12)</f>
        <v>#DIV/0!</v>
      </c>
      <c r="R12" s="64" t="e">
        <f>IF(ISBLANK(M12),0,Q12*N12)</f>
        <v>#DIV/0!</v>
      </c>
      <c r="S12" s="67" t="e">
        <f>P12*Q12</f>
        <v>#DIV/0!</v>
      </c>
      <c r="T12" s="64" t="e">
        <f>Q12*dagenperjaar1</f>
        <v>#DIV/0!</v>
      </c>
      <c r="U12" s="68" t="e">
        <f>T12*P12</f>
        <v>#DIV/0!</v>
      </c>
    </row>
    <row r="13" spans="1:21" x14ac:dyDescent="0.2">
      <c r="A13" s="61" t="s">
        <v>131</v>
      </c>
      <c r="B13" s="62" t="s">
        <v>132</v>
      </c>
      <c r="C13" s="62" t="s">
        <v>133</v>
      </c>
      <c r="D13" s="62" t="s">
        <v>155</v>
      </c>
      <c r="E13" s="63" t="s">
        <v>156</v>
      </c>
      <c r="F13" s="62" t="s">
        <v>136</v>
      </c>
      <c r="G13" s="62" t="s">
        <v>98</v>
      </c>
      <c r="H13" s="62" t="s">
        <v>10</v>
      </c>
      <c r="I13" s="62" t="s">
        <v>94</v>
      </c>
      <c r="J13" s="62"/>
      <c r="K13" s="64">
        <v>34</v>
      </c>
      <c r="L13" s="64">
        <f>K13*VLOOKUP(H13,dagsoorttabel1,2,FALSE)</f>
        <v>34</v>
      </c>
      <c r="M13" s="65">
        <f>prodnorm4</f>
        <v>0</v>
      </c>
      <c r="N13" s="66">
        <f>dagwerk4</f>
        <v>0</v>
      </c>
      <c r="O13" s="62" t="s">
        <v>36</v>
      </c>
      <c r="P13" s="67">
        <f>uurtarief4</f>
        <v>0</v>
      </c>
      <c r="Q13" s="64" t="e">
        <f>IF(ISBLANK(M13),0,L13/M13)</f>
        <v>#DIV/0!</v>
      </c>
      <c r="R13" s="64" t="e">
        <f>IF(ISBLANK(M13),0,Q13*N13)</f>
        <v>#DIV/0!</v>
      </c>
      <c r="S13" s="67" t="e">
        <f>P13*Q13</f>
        <v>#DIV/0!</v>
      </c>
      <c r="T13" s="64" t="e">
        <f>Q13*dagenperjaar1</f>
        <v>#DIV/0!</v>
      </c>
      <c r="U13" s="68" t="e">
        <f>T13*P13</f>
        <v>#DIV/0!</v>
      </c>
    </row>
    <row r="14" spans="1:21" x14ac:dyDescent="0.2">
      <c r="A14" s="61" t="s">
        <v>131</v>
      </c>
      <c r="B14" s="62" t="s">
        <v>132</v>
      </c>
      <c r="C14" s="62" t="s">
        <v>133</v>
      </c>
      <c r="D14" s="62" t="s">
        <v>157</v>
      </c>
      <c r="E14" s="63" t="s">
        <v>158</v>
      </c>
      <c r="F14" s="62" t="s">
        <v>136</v>
      </c>
      <c r="G14" s="62" t="s">
        <v>104</v>
      </c>
      <c r="H14" s="62" t="s">
        <v>10</v>
      </c>
      <c r="I14" s="62" t="s">
        <v>94</v>
      </c>
      <c r="J14" s="62"/>
      <c r="K14" s="64">
        <v>48</v>
      </c>
      <c r="L14" s="64">
        <f>K14*VLOOKUP(H14,dagsoorttabel1,2,FALSE)</f>
        <v>48</v>
      </c>
      <c r="M14" s="65">
        <f>prodnorm8</f>
        <v>0</v>
      </c>
      <c r="N14" s="66">
        <f>dagwerk8</f>
        <v>0</v>
      </c>
      <c r="O14" s="62" t="s">
        <v>36</v>
      </c>
      <c r="P14" s="67">
        <f>uurtarief8</f>
        <v>0</v>
      </c>
      <c r="Q14" s="64" t="e">
        <f>IF(ISBLANK(M14),0,L14/M14)</f>
        <v>#DIV/0!</v>
      </c>
      <c r="R14" s="64" t="e">
        <f>IF(ISBLANK(M14),0,Q14*N14)</f>
        <v>#DIV/0!</v>
      </c>
      <c r="S14" s="67" t="e">
        <f>P14*Q14</f>
        <v>#DIV/0!</v>
      </c>
      <c r="T14" s="64" t="e">
        <f>Q14*dagenperjaar1</f>
        <v>#DIV/0!</v>
      </c>
      <c r="U14" s="68" t="e">
        <f>T14*P14</f>
        <v>#DIV/0!</v>
      </c>
    </row>
    <row r="15" spans="1:21" x14ac:dyDescent="0.2">
      <c r="A15" s="61" t="s">
        <v>131</v>
      </c>
      <c r="B15" s="62" t="s">
        <v>132</v>
      </c>
      <c r="C15" s="62" t="s">
        <v>133</v>
      </c>
      <c r="D15" s="62" t="s">
        <v>159</v>
      </c>
      <c r="E15" s="63" t="s">
        <v>160</v>
      </c>
      <c r="F15" s="62" t="s">
        <v>151</v>
      </c>
      <c r="G15" s="62" t="s">
        <v>112</v>
      </c>
      <c r="H15" s="62" t="s">
        <v>10</v>
      </c>
      <c r="I15" s="62" t="s">
        <v>94</v>
      </c>
      <c r="J15" s="62"/>
      <c r="K15" s="64">
        <v>4</v>
      </c>
      <c r="L15" s="64">
        <f>K15*VLOOKUP(H15,dagsoorttabel1,2,FALSE)</f>
        <v>4</v>
      </c>
      <c r="M15" s="65">
        <f>prodnorm12</f>
        <v>0</v>
      </c>
      <c r="N15" s="66">
        <f>dagwerk12</f>
        <v>0</v>
      </c>
      <c r="O15" s="62" t="s">
        <v>36</v>
      </c>
      <c r="P15" s="67">
        <f>uurtarief12</f>
        <v>0</v>
      </c>
      <c r="Q15" s="64" t="e">
        <f>IF(ISBLANK(M15),0,L15/M15)</f>
        <v>#DIV/0!</v>
      </c>
      <c r="R15" s="64" t="e">
        <f>IF(ISBLANK(M15),0,Q15*N15)</f>
        <v>#DIV/0!</v>
      </c>
      <c r="S15" s="67" t="e">
        <f>P15*Q15</f>
        <v>#DIV/0!</v>
      </c>
      <c r="T15" s="64" t="e">
        <f>Q15*dagenperjaar1</f>
        <v>#DIV/0!</v>
      </c>
      <c r="U15" s="68" t="e">
        <f>T15*P15</f>
        <v>#DIV/0!</v>
      </c>
    </row>
    <row r="16" spans="1:21" x14ac:dyDescent="0.2">
      <c r="A16" s="61" t="s">
        <v>131</v>
      </c>
      <c r="B16" s="62" t="s">
        <v>132</v>
      </c>
      <c r="C16" s="62" t="s">
        <v>133</v>
      </c>
      <c r="D16" s="62" t="s">
        <v>161</v>
      </c>
      <c r="E16" s="63" t="s">
        <v>162</v>
      </c>
      <c r="F16" s="62" t="s">
        <v>140</v>
      </c>
      <c r="G16" s="62" t="s">
        <v>96</v>
      </c>
      <c r="H16" s="62" t="s">
        <v>10</v>
      </c>
      <c r="I16" s="62" t="s">
        <v>94</v>
      </c>
      <c r="J16" s="62"/>
      <c r="K16" s="64">
        <v>8</v>
      </c>
      <c r="L16" s="64">
        <f>K16*VLOOKUP(H16,dagsoorttabel1,2,FALSE)</f>
        <v>8</v>
      </c>
      <c r="M16" s="65">
        <f>prodnorm3</f>
        <v>0</v>
      </c>
      <c r="N16" s="66">
        <f>dagwerk3</f>
        <v>0</v>
      </c>
      <c r="O16" s="62" t="s">
        <v>36</v>
      </c>
      <c r="P16" s="67">
        <f>uurtarief3</f>
        <v>0</v>
      </c>
      <c r="Q16" s="64" t="e">
        <f>IF(ISBLANK(M16),0,L16/M16)</f>
        <v>#DIV/0!</v>
      </c>
      <c r="R16" s="64" t="e">
        <f>IF(ISBLANK(M16),0,Q16*N16)</f>
        <v>#DIV/0!</v>
      </c>
      <c r="S16" s="67" t="e">
        <f>P16*Q16</f>
        <v>#DIV/0!</v>
      </c>
      <c r="T16" s="64" t="e">
        <f>Q16*dagenperjaar1</f>
        <v>#DIV/0!</v>
      </c>
      <c r="U16" s="68" t="e">
        <f>T16*P16</f>
        <v>#DIV/0!</v>
      </c>
    </row>
    <row r="17" spans="1:21" x14ac:dyDescent="0.2">
      <c r="A17" s="61" t="s">
        <v>131</v>
      </c>
      <c r="B17" s="62" t="s">
        <v>132</v>
      </c>
      <c r="C17" s="62" t="s">
        <v>133</v>
      </c>
      <c r="D17" s="62" t="s">
        <v>163</v>
      </c>
      <c r="E17" s="63" t="s">
        <v>164</v>
      </c>
      <c r="F17" s="62" t="s">
        <v>136</v>
      </c>
      <c r="G17" s="62" t="s">
        <v>98</v>
      </c>
      <c r="H17" s="62" t="s">
        <v>10</v>
      </c>
      <c r="I17" s="62" t="s">
        <v>94</v>
      </c>
      <c r="J17" s="62"/>
      <c r="K17" s="64">
        <v>2</v>
      </c>
      <c r="L17" s="64">
        <f>K17*VLOOKUP(H17,dagsoorttabel1,2,FALSE)</f>
        <v>2</v>
      </c>
      <c r="M17" s="65">
        <f>prodnorm4</f>
        <v>0</v>
      </c>
      <c r="N17" s="66">
        <f>dagwerk4</f>
        <v>0</v>
      </c>
      <c r="O17" s="62" t="s">
        <v>36</v>
      </c>
      <c r="P17" s="67">
        <f>uurtarief4</f>
        <v>0</v>
      </c>
      <c r="Q17" s="64" t="e">
        <f>IF(ISBLANK(M17),0,L17/M17)</f>
        <v>#DIV/0!</v>
      </c>
      <c r="R17" s="64" t="e">
        <f>IF(ISBLANK(M17),0,Q17*N17)</f>
        <v>#DIV/0!</v>
      </c>
      <c r="S17" s="67" t="e">
        <f>P17*Q17</f>
        <v>#DIV/0!</v>
      </c>
      <c r="T17" s="64" t="e">
        <f>Q17*dagenperjaar1</f>
        <v>#DIV/0!</v>
      </c>
      <c r="U17" s="68" t="e">
        <f>T17*P17</f>
        <v>#DIV/0!</v>
      </c>
    </row>
    <row r="18" spans="1:21" x14ac:dyDescent="0.2">
      <c r="A18" s="61" t="s">
        <v>131</v>
      </c>
      <c r="B18" s="62" t="s">
        <v>132</v>
      </c>
      <c r="C18" s="62" t="s">
        <v>133</v>
      </c>
      <c r="D18" s="62" t="s">
        <v>165</v>
      </c>
      <c r="E18" s="63" t="s">
        <v>166</v>
      </c>
      <c r="F18" s="62" t="s">
        <v>143</v>
      </c>
      <c r="G18" s="62" t="s">
        <v>100</v>
      </c>
      <c r="H18" s="62" t="s">
        <v>10</v>
      </c>
      <c r="I18" s="62" t="s">
        <v>94</v>
      </c>
      <c r="J18" s="62"/>
      <c r="K18" s="64">
        <v>8</v>
      </c>
      <c r="L18" s="64">
        <f>K18*VLOOKUP(H18,dagsoorttabel1,2,FALSE)</f>
        <v>8</v>
      </c>
      <c r="M18" s="65">
        <f>prodnorm5</f>
        <v>0</v>
      </c>
      <c r="N18" s="66">
        <f>dagwerk5</f>
        <v>0</v>
      </c>
      <c r="O18" s="62" t="s">
        <v>36</v>
      </c>
      <c r="P18" s="67">
        <f>uurtarief5</f>
        <v>0</v>
      </c>
      <c r="Q18" s="64" t="e">
        <f>IF(ISBLANK(M18),0,L18/M18)</f>
        <v>#DIV/0!</v>
      </c>
      <c r="R18" s="64" t="e">
        <f>IF(ISBLANK(M18),0,Q18*N18)</f>
        <v>#DIV/0!</v>
      </c>
      <c r="S18" s="67" t="e">
        <f>P18*Q18</f>
        <v>#DIV/0!</v>
      </c>
      <c r="T18" s="64" t="e">
        <f>Q18*dagenperjaar1</f>
        <v>#DIV/0!</v>
      </c>
      <c r="U18" s="68" t="e">
        <f>T18*P18</f>
        <v>#DIV/0!</v>
      </c>
    </row>
    <row r="19" spans="1:21" x14ac:dyDescent="0.2">
      <c r="A19" s="61" t="s">
        <v>131</v>
      </c>
      <c r="B19" s="62" t="s">
        <v>132</v>
      </c>
      <c r="C19" s="62" t="s">
        <v>167</v>
      </c>
      <c r="D19" s="62" t="s">
        <v>168</v>
      </c>
      <c r="E19" s="63" t="s">
        <v>169</v>
      </c>
      <c r="F19" s="62" t="s">
        <v>140</v>
      </c>
      <c r="G19" s="62" t="s">
        <v>93</v>
      </c>
      <c r="H19" s="62" t="s">
        <v>10</v>
      </c>
      <c r="I19" s="62" t="s">
        <v>94</v>
      </c>
      <c r="J19" s="62"/>
      <c r="K19" s="64">
        <v>368</v>
      </c>
      <c r="L19" s="64">
        <f>K19*VLOOKUP(H19,dagsoorttabel1,2,FALSE)</f>
        <v>368</v>
      </c>
      <c r="M19" s="65">
        <f>prodnorm2</f>
        <v>0</v>
      </c>
      <c r="N19" s="66">
        <f>dagwerk2</f>
        <v>0</v>
      </c>
      <c r="O19" s="62" t="s">
        <v>36</v>
      </c>
      <c r="P19" s="67">
        <f>uurtarief2</f>
        <v>0</v>
      </c>
      <c r="Q19" s="64" t="e">
        <f>IF(ISBLANK(M19),0,L19/M19)</f>
        <v>#DIV/0!</v>
      </c>
      <c r="R19" s="64" t="e">
        <f>IF(ISBLANK(M19),0,Q19*N19)</f>
        <v>#DIV/0!</v>
      </c>
      <c r="S19" s="67" t="e">
        <f>P19*Q19</f>
        <v>#DIV/0!</v>
      </c>
      <c r="T19" s="64" t="e">
        <f>Q19*dagenperjaar1</f>
        <v>#DIV/0!</v>
      </c>
      <c r="U19" s="68" t="e">
        <f>T19*P19</f>
        <v>#DIV/0!</v>
      </c>
    </row>
    <row r="20" spans="1:21" x14ac:dyDescent="0.2">
      <c r="A20" s="61" t="s">
        <v>131</v>
      </c>
      <c r="B20" s="62" t="s">
        <v>132</v>
      </c>
      <c r="C20" s="62" t="s">
        <v>167</v>
      </c>
      <c r="D20" s="62" t="s">
        <v>170</v>
      </c>
      <c r="E20" s="63" t="s">
        <v>171</v>
      </c>
      <c r="F20" s="62" t="s">
        <v>136</v>
      </c>
      <c r="G20" s="62" t="s">
        <v>108</v>
      </c>
      <c r="H20" s="62" t="s">
        <v>10</v>
      </c>
      <c r="I20" s="62" t="s">
        <v>94</v>
      </c>
      <c r="J20" s="62"/>
      <c r="K20" s="64">
        <v>16</v>
      </c>
      <c r="L20" s="64">
        <f>K20*VLOOKUP(H20,dagsoorttabel1,2,FALSE)</f>
        <v>16</v>
      </c>
      <c r="M20" s="65">
        <f>prodnorm10</f>
        <v>0</v>
      </c>
      <c r="N20" s="66">
        <f>dagwerk10</f>
        <v>0</v>
      </c>
      <c r="O20" s="62" t="s">
        <v>36</v>
      </c>
      <c r="P20" s="67">
        <f>uurtarief10</f>
        <v>0</v>
      </c>
      <c r="Q20" s="64" t="e">
        <f>IF(ISBLANK(M20),0,L20/M20)</f>
        <v>#DIV/0!</v>
      </c>
      <c r="R20" s="64" t="e">
        <f>IF(ISBLANK(M20),0,Q20*N20)</f>
        <v>#DIV/0!</v>
      </c>
      <c r="S20" s="67" t="e">
        <f>P20*Q20</f>
        <v>#DIV/0!</v>
      </c>
      <c r="T20" s="64" t="e">
        <f>Q20*dagenperjaar1</f>
        <v>#DIV/0!</v>
      </c>
      <c r="U20" s="68" t="e">
        <f>T20*P20</f>
        <v>#DIV/0!</v>
      </c>
    </row>
    <row r="21" spans="1:21" x14ac:dyDescent="0.2">
      <c r="A21" s="61" t="s">
        <v>131</v>
      </c>
      <c r="B21" s="62" t="s">
        <v>132</v>
      </c>
      <c r="C21" s="62" t="s">
        <v>167</v>
      </c>
      <c r="D21" s="62" t="s">
        <v>172</v>
      </c>
      <c r="E21" s="63" t="s">
        <v>173</v>
      </c>
      <c r="F21" s="62" t="s">
        <v>140</v>
      </c>
      <c r="G21" s="62" t="s">
        <v>114</v>
      </c>
      <c r="H21" s="62" t="s">
        <v>10</v>
      </c>
      <c r="I21" s="62" t="s">
        <v>94</v>
      </c>
      <c r="J21" s="62"/>
      <c r="K21" s="64">
        <v>112</v>
      </c>
      <c r="L21" s="64">
        <f>K21*VLOOKUP(H21,dagsoorttabel1,2,FALSE)</f>
        <v>112</v>
      </c>
      <c r="M21" s="65">
        <f>prodnorm13</f>
        <v>0</v>
      </c>
      <c r="N21" s="66">
        <f>dagwerk13</f>
        <v>0</v>
      </c>
      <c r="O21" s="62" t="s">
        <v>36</v>
      </c>
      <c r="P21" s="67">
        <f>uurtarief13</f>
        <v>0</v>
      </c>
      <c r="Q21" s="64" t="e">
        <f>IF(ISBLANK(M21),0,L21/M21)</f>
        <v>#DIV/0!</v>
      </c>
      <c r="R21" s="64" t="e">
        <f>IF(ISBLANK(M21),0,Q21*N21)</f>
        <v>#DIV/0!</v>
      </c>
      <c r="S21" s="67" t="e">
        <f>P21*Q21</f>
        <v>#DIV/0!</v>
      </c>
      <c r="T21" s="64" t="e">
        <f>Q21*dagenperjaar1</f>
        <v>#DIV/0!</v>
      </c>
      <c r="U21" s="68" t="e">
        <f>T21*P21</f>
        <v>#DIV/0!</v>
      </c>
    </row>
    <row r="22" spans="1:21" x14ac:dyDescent="0.2">
      <c r="A22" s="61" t="s">
        <v>131</v>
      </c>
      <c r="B22" s="62" t="s">
        <v>132</v>
      </c>
      <c r="C22" s="62" t="s">
        <v>167</v>
      </c>
      <c r="D22" s="62" t="s">
        <v>174</v>
      </c>
      <c r="E22" s="63" t="s">
        <v>175</v>
      </c>
      <c r="F22" s="62" t="s">
        <v>136</v>
      </c>
      <c r="G22" s="62" t="s">
        <v>108</v>
      </c>
      <c r="H22" s="62" t="s">
        <v>10</v>
      </c>
      <c r="I22" s="62" t="s">
        <v>94</v>
      </c>
      <c r="J22" s="62"/>
      <c r="K22" s="64">
        <v>7</v>
      </c>
      <c r="L22" s="64">
        <f>K22*VLOOKUP(H22,dagsoorttabel1,2,FALSE)</f>
        <v>7</v>
      </c>
      <c r="M22" s="65">
        <f>prodnorm10</f>
        <v>0</v>
      </c>
      <c r="N22" s="66">
        <f>dagwerk10</f>
        <v>0</v>
      </c>
      <c r="O22" s="62" t="s">
        <v>36</v>
      </c>
      <c r="P22" s="67">
        <f>uurtarief10</f>
        <v>0</v>
      </c>
      <c r="Q22" s="64" t="e">
        <f>IF(ISBLANK(M22),0,L22/M22)</f>
        <v>#DIV/0!</v>
      </c>
      <c r="R22" s="64" t="e">
        <f>IF(ISBLANK(M22),0,Q22*N22)</f>
        <v>#DIV/0!</v>
      </c>
      <c r="S22" s="67" t="e">
        <f>P22*Q22</f>
        <v>#DIV/0!</v>
      </c>
      <c r="T22" s="64" t="e">
        <f>Q22*dagenperjaar1</f>
        <v>#DIV/0!</v>
      </c>
      <c r="U22" s="68" t="e">
        <f>T22*P22</f>
        <v>#DIV/0!</v>
      </c>
    </row>
    <row r="23" spans="1:21" x14ac:dyDescent="0.2">
      <c r="A23" s="61" t="s">
        <v>131</v>
      </c>
      <c r="B23" s="62" t="s">
        <v>132</v>
      </c>
      <c r="C23" s="62" t="s">
        <v>167</v>
      </c>
      <c r="D23" s="62" t="s">
        <v>176</v>
      </c>
      <c r="E23" s="63" t="s">
        <v>177</v>
      </c>
      <c r="F23" s="62" t="s">
        <v>140</v>
      </c>
      <c r="G23" s="62" t="s">
        <v>93</v>
      </c>
      <c r="H23" s="62" t="s">
        <v>10</v>
      </c>
      <c r="I23" s="62" t="s">
        <v>94</v>
      </c>
      <c r="J23" s="62"/>
      <c r="K23" s="64">
        <v>210</v>
      </c>
      <c r="L23" s="64">
        <f>K23*VLOOKUP(H23,dagsoorttabel1,2,FALSE)</f>
        <v>210</v>
      </c>
      <c r="M23" s="65">
        <f>prodnorm2</f>
        <v>0</v>
      </c>
      <c r="N23" s="66">
        <f>dagwerk2</f>
        <v>0</v>
      </c>
      <c r="O23" s="62" t="s">
        <v>36</v>
      </c>
      <c r="P23" s="67">
        <f>uurtarief2</f>
        <v>0</v>
      </c>
      <c r="Q23" s="64" t="e">
        <f>IF(ISBLANK(M23),0,L23/M23)</f>
        <v>#DIV/0!</v>
      </c>
      <c r="R23" s="64" t="e">
        <f>IF(ISBLANK(M23),0,Q23*N23)</f>
        <v>#DIV/0!</v>
      </c>
      <c r="S23" s="67" t="e">
        <f>P23*Q23</f>
        <v>#DIV/0!</v>
      </c>
      <c r="T23" s="64" t="e">
        <f>Q23*dagenperjaar1</f>
        <v>#DIV/0!</v>
      </c>
      <c r="U23" s="68" t="e">
        <f>T23*P23</f>
        <v>#DIV/0!</v>
      </c>
    </row>
    <row r="24" spans="1:21" x14ac:dyDescent="0.2">
      <c r="A24" s="61" t="s">
        <v>131</v>
      </c>
      <c r="B24" s="62" t="s">
        <v>132</v>
      </c>
      <c r="C24" s="62" t="s">
        <v>167</v>
      </c>
      <c r="D24" s="62" t="s">
        <v>178</v>
      </c>
      <c r="E24" s="63" t="s">
        <v>179</v>
      </c>
      <c r="F24" s="62" t="s">
        <v>136</v>
      </c>
      <c r="G24" s="62" t="s">
        <v>110</v>
      </c>
      <c r="H24" s="62" t="s">
        <v>10</v>
      </c>
      <c r="I24" s="62" t="s">
        <v>94</v>
      </c>
      <c r="J24" s="62"/>
      <c r="K24" s="64">
        <v>9.5</v>
      </c>
      <c r="L24" s="64">
        <f>K24*VLOOKUP(H24,dagsoorttabel1,2,FALSE)</f>
        <v>9.5</v>
      </c>
      <c r="M24" s="65">
        <f>prodnorm11</f>
        <v>0</v>
      </c>
      <c r="N24" s="66">
        <f>dagwerk11</f>
        <v>0</v>
      </c>
      <c r="O24" s="62" t="s">
        <v>36</v>
      </c>
      <c r="P24" s="67">
        <f>uurtarief11</f>
        <v>0</v>
      </c>
      <c r="Q24" s="64" t="e">
        <f>IF(ISBLANK(M24),0,L24/M24)</f>
        <v>#DIV/0!</v>
      </c>
      <c r="R24" s="64" t="e">
        <f>IF(ISBLANK(M24),0,Q24*N24)</f>
        <v>#DIV/0!</v>
      </c>
      <c r="S24" s="67" t="e">
        <f>P24*Q24</f>
        <v>#DIV/0!</v>
      </c>
      <c r="T24" s="64" t="e">
        <f>Q24*dagenperjaar1</f>
        <v>#DIV/0!</v>
      </c>
      <c r="U24" s="68" t="e">
        <f>T24*P24</f>
        <v>#DIV/0!</v>
      </c>
    </row>
    <row r="25" spans="1:21" x14ac:dyDescent="0.2">
      <c r="A25" s="61" t="s">
        <v>131</v>
      </c>
      <c r="B25" s="62" t="s">
        <v>132</v>
      </c>
      <c r="C25" s="62" t="s">
        <v>167</v>
      </c>
      <c r="D25" s="62" t="s">
        <v>180</v>
      </c>
      <c r="E25" s="63" t="s">
        <v>181</v>
      </c>
      <c r="F25" s="62" t="s">
        <v>136</v>
      </c>
      <c r="G25" s="62" t="s">
        <v>110</v>
      </c>
      <c r="H25" s="62" t="s">
        <v>10</v>
      </c>
      <c r="I25" s="62" t="s">
        <v>94</v>
      </c>
      <c r="J25" s="62"/>
      <c r="K25" s="64">
        <v>9.5</v>
      </c>
      <c r="L25" s="64">
        <f>K25*VLOOKUP(H25,dagsoorttabel1,2,FALSE)</f>
        <v>9.5</v>
      </c>
      <c r="M25" s="65">
        <f>prodnorm11</f>
        <v>0</v>
      </c>
      <c r="N25" s="66">
        <f>dagwerk11</f>
        <v>0</v>
      </c>
      <c r="O25" s="62" t="s">
        <v>36</v>
      </c>
      <c r="P25" s="67">
        <f>uurtarief11</f>
        <v>0</v>
      </c>
      <c r="Q25" s="64" t="e">
        <f>IF(ISBLANK(M25),0,L25/M25)</f>
        <v>#DIV/0!</v>
      </c>
      <c r="R25" s="64" t="e">
        <f>IF(ISBLANK(M25),0,Q25*N25)</f>
        <v>#DIV/0!</v>
      </c>
      <c r="S25" s="67" t="e">
        <f>P25*Q25</f>
        <v>#DIV/0!</v>
      </c>
      <c r="T25" s="64" t="e">
        <f>Q25*dagenperjaar1</f>
        <v>#DIV/0!</v>
      </c>
      <c r="U25" s="68" t="e">
        <f>T25*P25</f>
        <v>#DIV/0!</v>
      </c>
    </row>
    <row r="26" spans="1:21" x14ac:dyDescent="0.2">
      <c r="A26" s="61" t="s">
        <v>131</v>
      </c>
      <c r="B26" s="62" t="s">
        <v>132</v>
      </c>
      <c r="C26" s="62" t="s">
        <v>167</v>
      </c>
      <c r="D26" s="62" t="s">
        <v>182</v>
      </c>
      <c r="E26" s="63" t="s">
        <v>183</v>
      </c>
      <c r="F26" s="62" t="s">
        <v>140</v>
      </c>
      <c r="G26" s="62" t="s">
        <v>96</v>
      </c>
      <c r="H26" s="62" t="s">
        <v>10</v>
      </c>
      <c r="I26" s="62" t="s">
        <v>94</v>
      </c>
      <c r="J26" s="62"/>
      <c r="K26" s="64">
        <v>5</v>
      </c>
      <c r="L26" s="64">
        <f>K26*VLOOKUP(H26,dagsoorttabel1,2,FALSE)</f>
        <v>5</v>
      </c>
      <c r="M26" s="65">
        <f>prodnorm3</f>
        <v>0</v>
      </c>
      <c r="N26" s="66">
        <f>dagwerk3</f>
        <v>0</v>
      </c>
      <c r="O26" s="62" t="s">
        <v>36</v>
      </c>
      <c r="P26" s="67">
        <f>uurtarief3</f>
        <v>0</v>
      </c>
      <c r="Q26" s="64" t="e">
        <f>IF(ISBLANK(M26),0,L26/M26)</f>
        <v>#DIV/0!</v>
      </c>
      <c r="R26" s="64" t="e">
        <f>IF(ISBLANK(M26),0,Q26*N26)</f>
        <v>#DIV/0!</v>
      </c>
      <c r="S26" s="67" t="e">
        <f>P26*Q26</f>
        <v>#DIV/0!</v>
      </c>
      <c r="T26" s="64" t="e">
        <f>Q26*dagenperjaar1</f>
        <v>#DIV/0!</v>
      </c>
      <c r="U26" s="68" t="e">
        <f>T26*P26</f>
        <v>#DIV/0!</v>
      </c>
    </row>
    <row r="27" spans="1:21" x14ac:dyDescent="0.2">
      <c r="A27" s="61" t="s">
        <v>131</v>
      </c>
      <c r="B27" s="62" t="s">
        <v>132</v>
      </c>
      <c r="C27" s="62" t="s">
        <v>184</v>
      </c>
      <c r="D27" s="62" t="s">
        <v>185</v>
      </c>
      <c r="E27" s="63" t="s">
        <v>142</v>
      </c>
      <c r="F27" s="62" t="s">
        <v>143</v>
      </c>
      <c r="G27" s="62" t="s">
        <v>100</v>
      </c>
      <c r="H27" s="62" t="s">
        <v>10</v>
      </c>
      <c r="I27" s="62" t="s">
        <v>94</v>
      </c>
      <c r="J27" s="62"/>
      <c r="K27" s="64">
        <v>21</v>
      </c>
      <c r="L27" s="64">
        <f>K27*VLOOKUP(H27,dagsoorttabel1,2,FALSE)</f>
        <v>21</v>
      </c>
      <c r="M27" s="65">
        <f>prodnorm5</f>
        <v>0</v>
      </c>
      <c r="N27" s="66">
        <f>dagwerk5</f>
        <v>0</v>
      </c>
      <c r="O27" s="62" t="s">
        <v>36</v>
      </c>
      <c r="P27" s="67">
        <f>uurtarief5</f>
        <v>0</v>
      </c>
      <c r="Q27" s="64" t="e">
        <f>IF(ISBLANK(M27),0,L27/M27)</f>
        <v>#DIV/0!</v>
      </c>
      <c r="R27" s="64" t="e">
        <f>IF(ISBLANK(M27),0,Q27*N27)</f>
        <v>#DIV/0!</v>
      </c>
      <c r="S27" s="67" t="e">
        <f>P27*Q27</f>
        <v>#DIV/0!</v>
      </c>
      <c r="T27" s="64" t="e">
        <f>Q27*dagenperjaar1</f>
        <v>#DIV/0!</v>
      </c>
      <c r="U27" s="68" t="e">
        <f>T27*P27</f>
        <v>#DIV/0!</v>
      </c>
    </row>
    <row r="28" spans="1:21" x14ac:dyDescent="0.2">
      <c r="A28" s="61" t="s">
        <v>131</v>
      </c>
      <c r="B28" s="62" t="s">
        <v>132</v>
      </c>
      <c r="C28" s="62" t="s">
        <v>184</v>
      </c>
      <c r="D28" s="62" t="s">
        <v>185</v>
      </c>
      <c r="E28" s="63" t="s">
        <v>186</v>
      </c>
      <c r="F28" s="62" t="s">
        <v>187</v>
      </c>
      <c r="G28" s="62" t="s">
        <v>112</v>
      </c>
      <c r="H28" s="62" t="s">
        <v>10</v>
      </c>
      <c r="I28" s="62" t="s">
        <v>94</v>
      </c>
      <c r="J28" s="62"/>
      <c r="K28" s="64">
        <v>10</v>
      </c>
      <c r="L28" s="64">
        <f>K28*VLOOKUP(H28,dagsoorttabel1,2,FALSE)</f>
        <v>10</v>
      </c>
      <c r="M28" s="65">
        <f>prodnorm12</f>
        <v>0</v>
      </c>
      <c r="N28" s="66">
        <f>dagwerk12</f>
        <v>0</v>
      </c>
      <c r="O28" s="62" t="s">
        <v>36</v>
      </c>
      <c r="P28" s="67">
        <f>uurtarief12</f>
        <v>0</v>
      </c>
      <c r="Q28" s="64" t="e">
        <f>IF(ISBLANK(M28),0,L28/M28)</f>
        <v>#DIV/0!</v>
      </c>
      <c r="R28" s="64" t="e">
        <f>IF(ISBLANK(M28),0,Q28*N28)</f>
        <v>#DIV/0!</v>
      </c>
      <c r="S28" s="67" t="e">
        <f>P28*Q28</f>
        <v>#DIV/0!</v>
      </c>
      <c r="T28" s="64" t="e">
        <f>Q28*dagenperjaar1</f>
        <v>#DIV/0!</v>
      </c>
      <c r="U28" s="68" t="e">
        <f>T28*P28</f>
        <v>#DIV/0!</v>
      </c>
    </row>
    <row r="29" spans="1:21" x14ac:dyDescent="0.2">
      <c r="A29" s="61" t="s">
        <v>131</v>
      </c>
      <c r="B29" s="62" t="s">
        <v>132</v>
      </c>
      <c r="C29" s="62" t="s">
        <v>184</v>
      </c>
      <c r="D29" s="62" t="s">
        <v>188</v>
      </c>
      <c r="E29" s="63" t="s">
        <v>189</v>
      </c>
      <c r="F29" s="62" t="s">
        <v>143</v>
      </c>
      <c r="G29" s="62" t="s">
        <v>116</v>
      </c>
      <c r="H29" s="62" t="s">
        <v>10</v>
      </c>
      <c r="I29" s="62" t="s">
        <v>94</v>
      </c>
      <c r="J29" s="62"/>
      <c r="K29" s="64">
        <v>20</v>
      </c>
      <c r="L29" s="64">
        <f>K29*VLOOKUP(H29,dagsoorttabel1,2,FALSE)</f>
        <v>20</v>
      </c>
      <c r="M29" s="65">
        <f>prodnorm14</f>
        <v>0</v>
      </c>
      <c r="N29" s="66">
        <f>dagwerk14</f>
        <v>0</v>
      </c>
      <c r="O29" s="62" t="s">
        <v>36</v>
      </c>
      <c r="P29" s="67">
        <f>uurtarief14</f>
        <v>0</v>
      </c>
      <c r="Q29" s="64" t="e">
        <f>IF(ISBLANK(M29),0,L29/M29)</f>
        <v>#DIV/0!</v>
      </c>
      <c r="R29" s="64" t="e">
        <f>IF(ISBLANK(M29),0,Q29*N29)</f>
        <v>#DIV/0!</v>
      </c>
      <c r="S29" s="67" t="e">
        <f>P29*Q29</f>
        <v>#DIV/0!</v>
      </c>
      <c r="T29" s="64" t="e">
        <f>Q29*dagenperjaar1</f>
        <v>#DIV/0!</v>
      </c>
      <c r="U29" s="68" t="e">
        <f>T29*P29</f>
        <v>#DIV/0!</v>
      </c>
    </row>
    <row r="30" spans="1:21" x14ac:dyDescent="0.2">
      <c r="A30" s="61" t="s">
        <v>131</v>
      </c>
      <c r="B30" s="62" t="s">
        <v>132</v>
      </c>
      <c r="C30" s="62" t="s">
        <v>184</v>
      </c>
      <c r="D30" s="62" t="s">
        <v>190</v>
      </c>
      <c r="E30" s="63" t="s">
        <v>191</v>
      </c>
      <c r="F30" s="62" t="s">
        <v>146</v>
      </c>
      <c r="G30" s="62" t="s">
        <v>102</v>
      </c>
      <c r="H30" s="62" t="s">
        <v>15</v>
      </c>
      <c r="I30" s="62" t="s">
        <v>94</v>
      </c>
      <c r="J30" s="62"/>
      <c r="K30" s="64">
        <v>20</v>
      </c>
      <c r="L30" s="64">
        <f>K30*VLOOKUP(H30,dagsoorttabel1,2,FALSE)</f>
        <v>4</v>
      </c>
      <c r="M30" s="65">
        <f>prodnorm7</f>
        <v>0</v>
      </c>
      <c r="N30" s="66">
        <f>dagwerk7</f>
        <v>0</v>
      </c>
      <c r="O30" s="62" t="s">
        <v>36</v>
      </c>
      <c r="P30" s="67">
        <f>uurtarief7</f>
        <v>0</v>
      </c>
      <c r="Q30" s="64" t="e">
        <f>IF(ISBLANK(M30),0,L30/M30)</f>
        <v>#DIV/0!</v>
      </c>
      <c r="R30" s="64" t="e">
        <f>IF(ISBLANK(M30),0,Q30*N30)</f>
        <v>#DIV/0!</v>
      </c>
      <c r="S30" s="67" t="e">
        <f>P30*Q30</f>
        <v>#DIV/0!</v>
      </c>
      <c r="T30" s="64" t="e">
        <f>Q30*dagenperjaar1</f>
        <v>#DIV/0!</v>
      </c>
      <c r="U30" s="68" t="e">
        <f>T30*P30</f>
        <v>#DIV/0!</v>
      </c>
    </row>
    <row r="31" spans="1:21" x14ac:dyDescent="0.2">
      <c r="A31" s="61" t="s">
        <v>131</v>
      </c>
      <c r="B31" s="62" t="s">
        <v>132</v>
      </c>
      <c r="C31" s="62" t="s">
        <v>184</v>
      </c>
      <c r="D31" s="62" t="s">
        <v>192</v>
      </c>
      <c r="E31" s="63" t="s">
        <v>191</v>
      </c>
      <c r="F31" s="62" t="s">
        <v>146</v>
      </c>
      <c r="G31" s="62" t="s">
        <v>102</v>
      </c>
      <c r="H31" s="62" t="s">
        <v>15</v>
      </c>
      <c r="I31" s="62" t="s">
        <v>94</v>
      </c>
      <c r="J31" s="62"/>
      <c r="K31" s="64">
        <v>26</v>
      </c>
      <c r="L31" s="64">
        <f>K31*VLOOKUP(H31,dagsoorttabel1,2,FALSE)</f>
        <v>5.2</v>
      </c>
      <c r="M31" s="65">
        <f>prodnorm7</f>
        <v>0</v>
      </c>
      <c r="N31" s="66">
        <f>dagwerk7</f>
        <v>0</v>
      </c>
      <c r="O31" s="62" t="s">
        <v>36</v>
      </c>
      <c r="P31" s="67">
        <f>uurtarief7</f>
        <v>0</v>
      </c>
      <c r="Q31" s="64" t="e">
        <f>IF(ISBLANK(M31),0,L31/M31)</f>
        <v>#DIV/0!</v>
      </c>
      <c r="R31" s="64" t="e">
        <f>IF(ISBLANK(M31),0,Q31*N31)</f>
        <v>#DIV/0!</v>
      </c>
      <c r="S31" s="67" t="e">
        <f>P31*Q31</f>
        <v>#DIV/0!</v>
      </c>
      <c r="T31" s="64" t="e">
        <f>Q31*dagenperjaar1</f>
        <v>#DIV/0!</v>
      </c>
      <c r="U31" s="68" t="e">
        <f>T31*P31</f>
        <v>#DIV/0!</v>
      </c>
    </row>
    <row r="32" spans="1:21" x14ac:dyDescent="0.2">
      <c r="A32" s="61" t="s">
        <v>131</v>
      </c>
      <c r="B32" s="62" t="s">
        <v>132</v>
      </c>
      <c r="C32" s="62" t="s">
        <v>184</v>
      </c>
      <c r="D32" s="62" t="s">
        <v>193</v>
      </c>
      <c r="E32" s="63" t="s">
        <v>194</v>
      </c>
      <c r="F32" s="62" t="s">
        <v>136</v>
      </c>
      <c r="G32" s="62" t="s">
        <v>104</v>
      </c>
      <c r="H32" s="62" t="s">
        <v>10</v>
      </c>
      <c r="I32" s="62" t="s">
        <v>94</v>
      </c>
      <c r="J32" s="62"/>
      <c r="K32" s="64">
        <v>31</v>
      </c>
      <c r="L32" s="64">
        <f>K32*VLOOKUP(H32,dagsoorttabel1,2,FALSE)</f>
        <v>31</v>
      </c>
      <c r="M32" s="65">
        <f>prodnorm8</f>
        <v>0</v>
      </c>
      <c r="N32" s="66">
        <f>dagwerk8</f>
        <v>0</v>
      </c>
      <c r="O32" s="62" t="s">
        <v>36</v>
      </c>
      <c r="P32" s="67">
        <f>uurtarief8</f>
        <v>0</v>
      </c>
      <c r="Q32" s="64" t="e">
        <f>IF(ISBLANK(M32),0,L32/M32)</f>
        <v>#DIV/0!</v>
      </c>
      <c r="R32" s="64" t="e">
        <f>IF(ISBLANK(M32),0,Q32*N32)</f>
        <v>#DIV/0!</v>
      </c>
      <c r="S32" s="67" t="e">
        <f>P32*Q32</f>
        <v>#DIV/0!</v>
      </c>
      <c r="T32" s="64" t="e">
        <f>Q32*dagenperjaar1</f>
        <v>#DIV/0!</v>
      </c>
      <c r="U32" s="68" t="e">
        <f>T32*P32</f>
        <v>#DIV/0!</v>
      </c>
    </row>
    <row r="33" spans="1:21" x14ac:dyDescent="0.2">
      <c r="A33" s="61" t="s">
        <v>131</v>
      </c>
      <c r="B33" s="62" t="s">
        <v>132</v>
      </c>
      <c r="C33" s="62" t="s">
        <v>184</v>
      </c>
      <c r="D33" s="62" t="s">
        <v>193</v>
      </c>
      <c r="E33" s="63" t="s">
        <v>195</v>
      </c>
      <c r="F33" s="62" t="s">
        <v>136</v>
      </c>
      <c r="G33" s="62" t="s">
        <v>104</v>
      </c>
      <c r="H33" s="62" t="s">
        <v>10</v>
      </c>
      <c r="I33" s="62" t="s">
        <v>94</v>
      </c>
      <c r="J33" s="62"/>
      <c r="K33" s="64">
        <v>32</v>
      </c>
      <c r="L33" s="64">
        <f>K33*VLOOKUP(H33,dagsoorttabel1,2,FALSE)</f>
        <v>32</v>
      </c>
      <c r="M33" s="65">
        <f>prodnorm8</f>
        <v>0</v>
      </c>
      <c r="N33" s="66">
        <f>dagwerk8</f>
        <v>0</v>
      </c>
      <c r="O33" s="62" t="s">
        <v>36</v>
      </c>
      <c r="P33" s="67">
        <f>uurtarief8</f>
        <v>0</v>
      </c>
      <c r="Q33" s="64" t="e">
        <f>IF(ISBLANK(M33),0,L33/M33)</f>
        <v>#DIV/0!</v>
      </c>
      <c r="R33" s="64" t="e">
        <f>IF(ISBLANK(M33),0,Q33*N33)</f>
        <v>#DIV/0!</v>
      </c>
      <c r="S33" s="67" t="e">
        <f>P33*Q33</f>
        <v>#DIV/0!</v>
      </c>
      <c r="T33" s="64" t="e">
        <f>Q33*dagenperjaar1</f>
        <v>#DIV/0!</v>
      </c>
      <c r="U33" s="68" t="e">
        <f>T33*P33</f>
        <v>#DIV/0!</v>
      </c>
    </row>
    <row r="34" spans="1:21" x14ac:dyDescent="0.2">
      <c r="A34" s="61" t="s">
        <v>131</v>
      </c>
      <c r="B34" s="62" t="s">
        <v>132</v>
      </c>
      <c r="C34" s="62" t="s">
        <v>184</v>
      </c>
      <c r="D34" s="62" t="s">
        <v>196</v>
      </c>
      <c r="E34" s="63" t="s">
        <v>197</v>
      </c>
      <c r="F34" s="62" t="s">
        <v>136</v>
      </c>
      <c r="G34" s="62" t="s">
        <v>110</v>
      </c>
      <c r="H34" s="62" t="s">
        <v>10</v>
      </c>
      <c r="I34" s="62" t="s">
        <v>94</v>
      </c>
      <c r="J34" s="62"/>
      <c r="K34" s="64">
        <v>1</v>
      </c>
      <c r="L34" s="64">
        <f>K34*VLOOKUP(H34,dagsoorttabel1,2,FALSE)</f>
        <v>1</v>
      </c>
      <c r="M34" s="65">
        <f>prodnorm11</f>
        <v>0</v>
      </c>
      <c r="N34" s="66">
        <f>dagwerk11</f>
        <v>0</v>
      </c>
      <c r="O34" s="62" t="s">
        <v>36</v>
      </c>
      <c r="P34" s="67">
        <f>uurtarief11</f>
        <v>0</v>
      </c>
      <c r="Q34" s="64" t="e">
        <f>IF(ISBLANK(M34),0,L34/M34)</f>
        <v>#DIV/0!</v>
      </c>
      <c r="R34" s="64" t="e">
        <f>IF(ISBLANK(M34),0,Q34*N34)</f>
        <v>#DIV/0!</v>
      </c>
      <c r="S34" s="67" t="e">
        <f>P34*Q34</f>
        <v>#DIV/0!</v>
      </c>
      <c r="T34" s="64" t="e">
        <f>Q34*dagenperjaar1</f>
        <v>#DIV/0!</v>
      </c>
      <c r="U34" s="68" t="e">
        <f>T34*P34</f>
        <v>#DIV/0!</v>
      </c>
    </row>
    <row r="35" spans="1:21" x14ac:dyDescent="0.2">
      <c r="A35" s="61" t="s">
        <v>131</v>
      </c>
      <c r="B35" s="62" t="s">
        <v>132</v>
      </c>
      <c r="C35" s="62" t="s">
        <v>184</v>
      </c>
      <c r="D35" s="62" t="s">
        <v>198</v>
      </c>
      <c r="E35" s="63" t="s">
        <v>199</v>
      </c>
      <c r="F35" s="62" t="s">
        <v>136</v>
      </c>
      <c r="G35" s="62" t="s">
        <v>110</v>
      </c>
      <c r="H35" s="62" t="s">
        <v>10</v>
      </c>
      <c r="I35" s="62" t="s">
        <v>94</v>
      </c>
      <c r="J35" s="62"/>
      <c r="K35" s="64">
        <v>1</v>
      </c>
      <c r="L35" s="64">
        <f>K35*VLOOKUP(H35,dagsoorttabel1,2,FALSE)</f>
        <v>1</v>
      </c>
      <c r="M35" s="65">
        <f>prodnorm11</f>
        <v>0</v>
      </c>
      <c r="N35" s="66">
        <f>dagwerk11</f>
        <v>0</v>
      </c>
      <c r="O35" s="62" t="s">
        <v>36</v>
      </c>
      <c r="P35" s="67">
        <f>uurtarief11</f>
        <v>0</v>
      </c>
      <c r="Q35" s="64" t="e">
        <f>IF(ISBLANK(M35),0,L35/M35)</f>
        <v>#DIV/0!</v>
      </c>
      <c r="R35" s="64" t="e">
        <f>IF(ISBLANK(M35),0,Q35*N35)</f>
        <v>#DIV/0!</v>
      </c>
      <c r="S35" s="67" t="e">
        <f>P35*Q35</f>
        <v>#DIV/0!</v>
      </c>
      <c r="T35" s="64" t="e">
        <f>Q35*dagenperjaar1</f>
        <v>#DIV/0!</v>
      </c>
      <c r="U35" s="68" t="e">
        <f>T35*P35</f>
        <v>#DIV/0!</v>
      </c>
    </row>
    <row r="36" spans="1:21" x14ac:dyDescent="0.2">
      <c r="A36" s="61" t="s">
        <v>131</v>
      </c>
      <c r="B36" s="62" t="s">
        <v>132</v>
      </c>
      <c r="C36" s="62" t="s">
        <v>184</v>
      </c>
      <c r="D36" s="62" t="s">
        <v>200</v>
      </c>
      <c r="E36" s="63" t="s">
        <v>145</v>
      </c>
      <c r="F36" s="62" t="s">
        <v>146</v>
      </c>
      <c r="G36" s="62" t="s">
        <v>102</v>
      </c>
      <c r="H36" s="62" t="s">
        <v>10</v>
      </c>
      <c r="I36" s="62" t="s">
        <v>94</v>
      </c>
      <c r="J36" s="62"/>
      <c r="K36" s="64">
        <v>255</v>
      </c>
      <c r="L36" s="64">
        <f>K36*VLOOKUP(H36,dagsoorttabel1,2,FALSE)</f>
        <v>255</v>
      </c>
      <c r="M36" s="65">
        <f>prodnorm6</f>
        <v>0</v>
      </c>
      <c r="N36" s="66">
        <f>dagwerk6</f>
        <v>0</v>
      </c>
      <c r="O36" s="62" t="s">
        <v>36</v>
      </c>
      <c r="P36" s="67">
        <f>uurtarief6</f>
        <v>0</v>
      </c>
      <c r="Q36" s="64" t="e">
        <f>IF(ISBLANK(M36),0,L36/M36)</f>
        <v>#DIV/0!</v>
      </c>
      <c r="R36" s="64" t="e">
        <f>IF(ISBLANK(M36),0,Q36*N36)</f>
        <v>#DIV/0!</v>
      </c>
      <c r="S36" s="67" t="e">
        <f>P36*Q36</f>
        <v>#DIV/0!</v>
      </c>
      <c r="T36" s="64" t="e">
        <f>Q36*dagenperjaar1</f>
        <v>#DIV/0!</v>
      </c>
      <c r="U36" s="68" t="e">
        <f>T36*P36</f>
        <v>#DIV/0!</v>
      </c>
    </row>
    <row r="37" spans="1:21" x14ac:dyDescent="0.2">
      <c r="A37" s="61" t="s">
        <v>131</v>
      </c>
      <c r="B37" s="62" t="s">
        <v>132</v>
      </c>
      <c r="C37" s="62" t="s">
        <v>184</v>
      </c>
      <c r="D37" s="62" t="s">
        <v>201</v>
      </c>
      <c r="E37" s="63" t="s">
        <v>145</v>
      </c>
      <c r="F37" s="62" t="s">
        <v>146</v>
      </c>
      <c r="G37" s="62" t="s">
        <v>102</v>
      </c>
      <c r="H37" s="62" t="s">
        <v>10</v>
      </c>
      <c r="I37" s="62" t="s">
        <v>94</v>
      </c>
      <c r="J37" s="62"/>
      <c r="K37" s="64">
        <v>255</v>
      </c>
      <c r="L37" s="64">
        <f>K37*VLOOKUP(H37,dagsoorttabel1,2,FALSE)</f>
        <v>255</v>
      </c>
      <c r="M37" s="65">
        <f>prodnorm6</f>
        <v>0</v>
      </c>
      <c r="N37" s="66">
        <f>dagwerk6</f>
        <v>0</v>
      </c>
      <c r="O37" s="62" t="s">
        <v>36</v>
      </c>
      <c r="P37" s="67">
        <f>uurtarief6</f>
        <v>0</v>
      </c>
      <c r="Q37" s="64" t="e">
        <f>IF(ISBLANK(M37),0,L37/M37)</f>
        <v>#DIV/0!</v>
      </c>
      <c r="R37" s="64" t="e">
        <f>IF(ISBLANK(M37),0,Q37*N37)</f>
        <v>#DIV/0!</v>
      </c>
      <c r="S37" s="67" t="e">
        <f>P37*Q37</f>
        <v>#DIV/0!</v>
      </c>
      <c r="T37" s="64" t="e">
        <f>Q37*dagenperjaar1</f>
        <v>#DIV/0!</v>
      </c>
      <c r="U37" s="68" t="e">
        <f>T37*P37</f>
        <v>#DIV/0!</v>
      </c>
    </row>
    <row r="38" spans="1:21" x14ac:dyDescent="0.2">
      <c r="A38" s="61" t="s">
        <v>131</v>
      </c>
      <c r="B38" s="62" t="s">
        <v>132</v>
      </c>
      <c r="C38" s="62" t="s">
        <v>202</v>
      </c>
      <c r="D38" s="62" t="s">
        <v>203</v>
      </c>
      <c r="E38" s="63" t="s">
        <v>204</v>
      </c>
      <c r="F38" s="62" t="s">
        <v>187</v>
      </c>
      <c r="G38" s="62" t="s">
        <v>112</v>
      </c>
      <c r="H38" s="62" t="s">
        <v>10</v>
      </c>
      <c r="I38" s="62" t="s">
        <v>94</v>
      </c>
      <c r="J38" s="62"/>
      <c r="K38" s="64">
        <v>20</v>
      </c>
      <c r="L38" s="64">
        <f>K38*VLOOKUP(H38,dagsoorttabel1,2,FALSE)</f>
        <v>20</v>
      </c>
      <c r="M38" s="65">
        <f>prodnorm12</f>
        <v>0</v>
      </c>
      <c r="N38" s="66">
        <f>dagwerk12</f>
        <v>0</v>
      </c>
      <c r="O38" s="62" t="s">
        <v>36</v>
      </c>
      <c r="P38" s="67">
        <f>uurtarief12</f>
        <v>0</v>
      </c>
      <c r="Q38" s="64" t="e">
        <f>IF(ISBLANK(M38),0,L38/M38)</f>
        <v>#DIV/0!</v>
      </c>
      <c r="R38" s="64" t="e">
        <f>IF(ISBLANK(M38),0,Q38*N38)</f>
        <v>#DIV/0!</v>
      </c>
      <c r="S38" s="67" t="e">
        <f>P38*Q38</f>
        <v>#DIV/0!</v>
      </c>
      <c r="T38" s="64" t="e">
        <f>Q38*dagenperjaar1</f>
        <v>#DIV/0!</v>
      </c>
      <c r="U38" s="68" t="e">
        <f>T38*P38</f>
        <v>#DIV/0!</v>
      </c>
    </row>
    <row r="39" spans="1:21" x14ac:dyDescent="0.2">
      <c r="A39" s="61" t="s">
        <v>131</v>
      </c>
      <c r="B39" s="62" t="s">
        <v>205</v>
      </c>
      <c r="C39" s="62" t="s">
        <v>206</v>
      </c>
      <c r="D39" s="62" t="s">
        <v>207</v>
      </c>
      <c r="E39" s="63" t="s">
        <v>208</v>
      </c>
      <c r="F39" s="62" t="s">
        <v>140</v>
      </c>
      <c r="G39" s="62" t="s">
        <v>106</v>
      </c>
      <c r="H39" s="62" t="s">
        <v>15</v>
      </c>
      <c r="I39" s="62" t="s">
        <v>94</v>
      </c>
      <c r="J39" s="62"/>
      <c r="K39" s="64">
        <v>57.7</v>
      </c>
      <c r="L39" s="64">
        <f>K39*VLOOKUP(H39,dagsoorttabel1,2,FALSE)</f>
        <v>11.540000000000001</v>
      </c>
      <c r="M39" s="65">
        <f>prodnorm9</f>
        <v>0</v>
      </c>
      <c r="N39" s="66">
        <f>dagwerk9</f>
        <v>0</v>
      </c>
      <c r="O39" s="62" t="s">
        <v>36</v>
      </c>
      <c r="P39" s="67">
        <f>uurtarief9</f>
        <v>0</v>
      </c>
      <c r="Q39" s="64" t="e">
        <f>IF(ISBLANK(M39),0,L39/M39)</f>
        <v>#DIV/0!</v>
      </c>
      <c r="R39" s="64" t="e">
        <f>IF(ISBLANK(M39),0,Q39*N39)</f>
        <v>#DIV/0!</v>
      </c>
      <c r="S39" s="67" t="e">
        <f>P39*Q39</f>
        <v>#DIV/0!</v>
      </c>
      <c r="T39" s="64" t="e">
        <f>Q39*dagenperjaar1</f>
        <v>#DIV/0!</v>
      </c>
      <c r="U39" s="68" t="e">
        <f>T39*P39</f>
        <v>#DIV/0!</v>
      </c>
    </row>
    <row r="40" spans="1:21" x14ac:dyDescent="0.2">
      <c r="A40" s="61" t="s">
        <v>131</v>
      </c>
      <c r="B40" s="62" t="s">
        <v>205</v>
      </c>
      <c r="C40" s="62" t="s">
        <v>206</v>
      </c>
      <c r="D40" s="62" t="s">
        <v>209</v>
      </c>
      <c r="E40" s="63" t="s">
        <v>208</v>
      </c>
      <c r="F40" s="62" t="s">
        <v>140</v>
      </c>
      <c r="G40" s="62" t="s">
        <v>106</v>
      </c>
      <c r="H40" s="62" t="s">
        <v>15</v>
      </c>
      <c r="I40" s="62" t="s">
        <v>94</v>
      </c>
      <c r="J40" s="62"/>
      <c r="K40" s="64">
        <v>41.5</v>
      </c>
      <c r="L40" s="64">
        <f>K40*VLOOKUP(H40,dagsoorttabel1,2,FALSE)</f>
        <v>8.3000000000000007</v>
      </c>
      <c r="M40" s="65">
        <f>prodnorm9</f>
        <v>0</v>
      </c>
      <c r="N40" s="66">
        <f>dagwerk9</f>
        <v>0</v>
      </c>
      <c r="O40" s="62" t="s">
        <v>36</v>
      </c>
      <c r="P40" s="67">
        <f>uurtarief9</f>
        <v>0</v>
      </c>
      <c r="Q40" s="64" t="e">
        <f>IF(ISBLANK(M40),0,L40/M40)</f>
        <v>#DIV/0!</v>
      </c>
      <c r="R40" s="64" t="e">
        <f>IF(ISBLANK(M40),0,Q40*N40)</f>
        <v>#DIV/0!</v>
      </c>
      <c r="S40" s="67" t="e">
        <f>P40*Q40</f>
        <v>#DIV/0!</v>
      </c>
      <c r="T40" s="64" t="e">
        <f>Q40*dagenperjaar1</f>
        <v>#DIV/0!</v>
      </c>
      <c r="U40" s="68" t="e">
        <f>T40*P40</f>
        <v>#DIV/0!</v>
      </c>
    </row>
    <row r="41" spans="1:21" x14ac:dyDescent="0.2">
      <c r="A41" s="61" t="s">
        <v>131</v>
      </c>
      <c r="B41" s="62" t="s">
        <v>210</v>
      </c>
      <c r="C41" s="62" t="s">
        <v>211</v>
      </c>
      <c r="D41" s="62" t="s">
        <v>212</v>
      </c>
      <c r="E41" s="63" t="s">
        <v>213</v>
      </c>
      <c r="F41" s="62" t="s">
        <v>214</v>
      </c>
      <c r="G41" s="62" t="s">
        <v>106</v>
      </c>
      <c r="H41" s="62" t="s">
        <v>15</v>
      </c>
      <c r="I41" s="62" t="s">
        <v>94</v>
      </c>
      <c r="J41" s="62"/>
      <c r="K41" s="64">
        <v>34.17</v>
      </c>
      <c r="L41" s="64">
        <f>K41*VLOOKUP(H41,dagsoorttabel1,2,FALSE)</f>
        <v>6.8340000000000005</v>
      </c>
      <c r="M41" s="65">
        <f>prodnorm9</f>
        <v>0</v>
      </c>
      <c r="N41" s="66">
        <f>dagwerk9</f>
        <v>0</v>
      </c>
      <c r="O41" s="62" t="s">
        <v>36</v>
      </c>
      <c r="P41" s="67">
        <f>uurtarief9</f>
        <v>0</v>
      </c>
      <c r="Q41" s="64" t="e">
        <f>IF(ISBLANK(M41),0,L41/M41)</f>
        <v>#DIV/0!</v>
      </c>
      <c r="R41" s="64" t="e">
        <f>IF(ISBLANK(M41),0,Q41*N41)</f>
        <v>#DIV/0!</v>
      </c>
      <c r="S41" s="67" t="e">
        <f>P41*Q41</f>
        <v>#DIV/0!</v>
      </c>
      <c r="T41" s="64" t="e">
        <f>Q41*dagenperjaar1</f>
        <v>#DIV/0!</v>
      </c>
      <c r="U41" s="68" t="e">
        <f>T41*P41</f>
        <v>#DIV/0!</v>
      </c>
    </row>
    <row r="42" spans="1:21" x14ac:dyDescent="0.2">
      <c r="A42" s="61" t="s">
        <v>131</v>
      </c>
      <c r="B42" s="62" t="s">
        <v>210</v>
      </c>
      <c r="C42" s="62" t="s">
        <v>211</v>
      </c>
      <c r="D42" s="62" t="s">
        <v>215</v>
      </c>
      <c r="E42" s="63" t="s">
        <v>208</v>
      </c>
      <c r="F42" s="62" t="s">
        <v>140</v>
      </c>
      <c r="G42" s="62" t="s">
        <v>106</v>
      </c>
      <c r="H42" s="62" t="s">
        <v>15</v>
      </c>
      <c r="I42" s="62" t="s">
        <v>94</v>
      </c>
      <c r="J42" s="62"/>
      <c r="K42" s="64">
        <v>40.200000000000003</v>
      </c>
      <c r="L42" s="64">
        <f>K42*VLOOKUP(H42,dagsoorttabel1,2,FALSE)</f>
        <v>8.0400000000000009</v>
      </c>
      <c r="M42" s="65">
        <f>prodnorm9</f>
        <v>0</v>
      </c>
      <c r="N42" s="66">
        <f>dagwerk9</f>
        <v>0</v>
      </c>
      <c r="O42" s="62" t="s">
        <v>36</v>
      </c>
      <c r="P42" s="67">
        <f>uurtarief9</f>
        <v>0</v>
      </c>
      <c r="Q42" s="64" t="e">
        <f>IF(ISBLANK(M42),0,L42/M42)</f>
        <v>#DIV/0!</v>
      </c>
      <c r="R42" s="64" t="e">
        <f>IF(ISBLANK(M42),0,Q42*N42)</f>
        <v>#DIV/0!</v>
      </c>
      <c r="S42" s="67" t="e">
        <f>P42*Q42</f>
        <v>#DIV/0!</v>
      </c>
      <c r="T42" s="64" t="e">
        <f>Q42*dagenperjaar1</f>
        <v>#DIV/0!</v>
      </c>
      <c r="U42" s="68" t="e">
        <f>T42*P42</f>
        <v>#DIV/0!</v>
      </c>
    </row>
    <row r="43" spans="1:21" x14ac:dyDescent="0.2">
      <c r="A43" s="69" t="s">
        <v>131</v>
      </c>
      <c r="B43" s="70" t="s">
        <v>210</v>
      </c>
      <c r="C43" s="70" t="s">
        <v>211</v>
      </c>
      <c r="D43" s="70" t="s">
        <v>216</v>
      </c>
      <c r="E43" s="71" t="s">
        <v>217</v>
      </c>
      <c r="F43" s="70" t="s">
        <v>140</v>
      </c>
      <c r="G43" s="70" t="s">
        <v>106</v>
      </c>
      <c r="H43" s="70" t="s">
        <v>15</v>
      </c>
      <c r="I43" s="70" t="s">
        <v>94</v>
      </c>
      <c r="J43" s="70"/>
      <c r="K43" s="72">
        <v>104.3</v>
      </c>
      <c r="L43" s="72">
        <f>K43*VLOOKUP(H43,dagsoorttabel1,2,FALSE)</f>
        <v>20.86</v>
      </c>
      <c r="M43" s="73">
        <f>prodnorm9</f>
        <v>0</v>
      </c>
      <c r="N43" s="74">
        <f>dagwerk9</f>
        <v>0</v>
      </c>
      <c r="O43" s="70" t="s">
        <v>36</v>
      </c>
      <c r="P43" s="75">
        <f>uurtarief9</f>
        <v>0</v>
      </c>
      <c r="Q43" s="72" t="e">
        <f>IF(ISBLANK(M43),0,L43/M43)</f>
        <v>#DIV/0!</v>
      </c>
      <c r="R43" s="72" t="e">
        <f>IF(ISBLANK(M43),0,Q43*N43)</f>
        <v>#DIV/0!</v>
      </c>
      <c r="S43" s="75" t="e">
        <f>P43*Q43</f>
        <v>#DIV/0!</v>
      </c>
      <c r="T43" s="72" t="e">
        <f>Q43*dagenperjaar1</f>
        <v>#DIV/0!</v>
      </c>
      <c r="U43" s="76" t="e">
        <f>T43*P43</f>
        <v>#DIV/0!</v>
      </c>
    </row>
    <row r="44" spans="1:21" x14ac:dyDescent="0.2">
      <c r="A44" s="43" t="s">
        <v>218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6" t="e">
        <f>IF(_xlfn.SINGLE(object1_urenjaar1)&gt;0,_xlfn.SINGLE(object1_prijsjaar1)/_xlfn.SINGLE(object1_urenjaar1),0)</f>
        <v>#DIV/0!</v>
      </c>
      <c r="Q44" s="45" t="e">
        <f>SUM(Q5:Q43)</f>
        <v>#DIV/0!</v>
      </c>
      <c r="R44" s="45" t="e">
        <f>SUM(R5:R43)</f>
        <v>#DIV/0!</v>
      </c>
      <c r="S44" s="46" t="e">
        <f>SUM(S5:S43)</f>
        <v>#DIV/0!</v>
      </c>
      <c r="T44" s="45" t="e">
        <f>SUM(T5:T43)</f>
        <v>#DIV/0!</v>
      </c>
      <c r="U44" s="46" t="e">
        <f>SUM(U5:U43)</f>
        <v>#DIV/0!</v>
      </c>
    </row>
  </sheetData>
  <pageMargins left="0.7" right="0.7" top="0.75" bottom="0.75" header="0.3" footer="0.3"/>
  <pageSetup paperSize="9" scale="61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909-9DE9-4F4D-B0A0-33594977C741}">
  <dimension ref="A1:J1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219</v>
      </c>
    </row>
    <row r="3" spans="1:10" x14ac:dyDescent="0.2">
      <c r="A3" s="77" t="s">
        <v>85</v>
      </c>
      <c r="B3" s="77" t="s">
        <v>7</v>
      </c>
      <c r="C3" s="77" t="s">
        <v>220</v>
      </c>
      <c r="D3" s="77" t="s">
        <v>221</v>
      </c>
      <c r="E3" s="77" t="s">
        <v>222</v>
      </c>
      <c r="F3" s="77" t="s">
        <v>223</v>
      </c>
      <c r="G3" s="77" t="s">
        <v>224</v>
      </c>
      <c r="H3" s="77" t="s">
        <v>29</v>
      </c>
      <c r="I3" s="77" t="s">
        <v>225</v>
      </c>
      <c r="J3" s="77" t="s">
        <v>226</v>
      </c>
    </row>
    <row r="4" spans="1:10" x14ac:dyDescent="0.2">
      <c r="A4" s="78"/>
      <c r="B4" s="78"/>
      <c r="C4" s="78"/>
      <c r="D4" s="78"/>
      <c r="E4" s="78"/>
      <c r="F4" s="78"/>
      <c r="G4" s="78"/>
      <c r="H4" s="78"/>
      <c r="I4" s="78"/>
      <c r="J4" s="79" t="s">
        <v>87</v>
      </c>
    </row>
    <row r="5" spans="1:10" x14ac:dyDescent="0.2">
      <c r="A5" s="15" t="s">
        <v>93</v>
      </c>
      <c r="B5" s="15" t="s">
        <v>10</v>
      </c>
      <c r="C5" s="15" t="s">
        <v>227</v>
      </c>
      <c r="D5" s="15" t="s">
        <v>94</v>
      </c>
      <c r="E5" s="30">
        <f>VLOOKUP(B5,dagsoorttabel1,2,FALSE)</f>
        <v>1</v>
      </c>
      <c r="F5" s="30">
        <v>1</v>
      </c>
      <c r="G5" s="30">
        <f>IF(prodnorm2&gt;0,1/prodnorm2,0)</f>
        <v>0</v>
      </c>
      <c r="H5" s="32">
        <f>dagwerk2</f>
        <v>0</v>
      </c>
      <c r="I5" s="33">
        <f>uurtarief2</f>
        <v>0</v>
      </c>
      <c r="J5" s="30">
        <v>578</v>
      </c>
    </row>
    <row r="6" spans="1:10" x14ac:dyDescent="0.2">
      <c r="A6" s="20" t="s">
        <v>96</v>
      </c>
      <c r="B6" s="20" t="s">
        <v>10</v>
      </c>
      <c r="C6" s="20" t="s">
        <v>227</v>
      </c>
      <c r="D6" s="20" t="s">
        <v>94</v>
      </c>
      <c r="E6" s="34">
        <f>VLOOKUP(B6,dagsoorttabel1,2,FALSE)</f>
        <v>1</v>
      </c>
      <c r="F6" s="34">
        <v>1</v>
      </c>
      <c r="G6" s="34">
        <f>IF(prodnorm3&gt;0,1/prodnorm3,0)</f>
        <v>0</v>
      </c>
      <c r="H6" s="36">
        <f>dagwerk3</f>
        <v>0</v>
      </c>
      <c r="I6" s="37">
        <f>uurtarief3</f>
        <v>0</v>
      </c>
      <c r="J6" s="34">
        <v>13</v>
      </c>
    </row>
    <row r="7" spans="1:10" x14ac:dyDescent="0.2">
      <c r="A7" s="20" t="s">
        <v>98</v>
      </c>
      <c r="B7" s="20" t="s">
        <v>10</v>
      </c>
      <c r="C7" s="20" t="s">
        <v>227</v>
      </c>
      <c r="D7" s="20" t="s">
        <v>94</v>
      </c>
      <c r="E7" s="34">
        <f>VLOOKUP(B7,dagsoorttabel1,2,FALSE)</f>
        <v>1</v>
      </c>
      <c r="F7" s="34">
        <v>1</v>
      </c>
      <c r="G7" s="34">
        <f>IF(prodnorm4&gt;0,1/prodnorm4,0)</f>
        <v>0</v>
      </c>
      <c r="H7" s="36">
        <f>dagwerk4</f>
        <v>0</v>
      </c>
      <c r="I7" s="37">
        <f>uurtarief4</f>
        <v>0</v>
      </c>
      <c r="J7" s="34">
        <v>36</v>
      </c>
    </row>
    <row r="8" spans="1:10" x14ac:dyDescent="0.2">
      <c r="A8" s="20" t="s">
        <v>100</v>
      </c>
      <c r="B8" s="20" t="s">
        <v>10</v>
      </c>
      <c r="C8" s="20" t="s">
        <v>227</v>
      </c>
      <c r="D8" s="20" t="s">
        <v>94</v>
      </c>
      <c r="E8" s="34">
        <f>VLOOKUP(B8,dagsoorttabel1,2,FALSE)</f>
        <v>1</v>
      </c>
      <c r="F8" s="34">
        <v>1</v>
      </c>
      <c r="G8" s="34">
        <f>IF(prodnorm5&gt;0,1/prodnorm5,0)</f>
        <v>0</v>
      </c>
      <c r="H8" s="36">
        <f>dagwerk5</f>
        <v>0</v>
      </c>
      <c r="I8" s="37">
        <f>uurtarief5</f>
        <v>0</v>
      </c>
      <c r="J8" s="34">
        <v>36</v>
      </c>
    </row>
    <row r="9" spans="1:10" x14ac:dyDescent="0.2">
      <c r="A9" s="20" t="s">
        <v>102</v>
      </c>
      <c r="B9" s="20" t="s">
        <v>10</v>
      </c>
      <c r="C9" s="20" t="s">
        <v>227</v>
      </c>
      <c r="D9" s="20" t="s">
        <v>94</v>
      </c>
      <c r="E9" s="34">
        <f>VLOOKUP(B9,dagsoorttabel1,2,FALSE)</f>
        <v>1</v>
      </c>
      <c r="F9" s="34">
        <v>1</v>
      </c>
      <c r="G9" s="34">
        <f>IF(prodnorm6&gt;0,1/prodnorm6,0)</f>
        <v>0</v>
      </c>
      <c r="H9" s="36">
        <f>dagwerk6</f>
        <v>0</v>
      </c>
      <c r="I9" s="37">
        <f>uurtarief6</f>
        <v>0</v>
      </c>
      <c r="J9" s="34">
        <v>762</v>
      </c>
    </row>
    <row r="10" spans="1:10" x14ac:dyDescent="0.2">
      <c r="A10" s="20" t="s">
        <v>102</v>
      </c>
      <c r="B10" s="20" t="s">
        <v>15</v>
      </c>
      <c r="C10" s="20" t="s">
        <v>227</v>
      </c>
      <c r="D10" s="20" t="s">
        <v>94</v>
      </c>
      <c r="E10" s="34">
        <f>VLOOKUP(B10,dagsoorttabel1,2,FALSE)</f>
        <v>0.2</v>
      </c>
      <c r="F10" s="34">
        <v>1</v>
      </c>
      <c r="G10" s="34">
        <f>IF(prodnorm7&gt;0,1/prodnorm7,0)</f>
        <v>0</v>
      </c>
      <c r="H10" s="36">
        <f>dagwerk7</f>
        <v>0</v>
      </c>
      <c r="I10" s="37">
        <f>uurtarief7</f>
        <v>0</v>
      </c>
      <c r="J10" s="34">
        <v>98</v>
      </c>
    </row>
    <row r="11" spans="1:10" x14ac:dyDescent="0.2">
      <c r="A11" s="20" t="s">
        <v>104</v>
      </c>
      <c r="B11" s="20" t="s">
        <v>10</v>
      </c>
      <c r="C11" s="20" t="s">
        <v>227</v>
      </c>
      <c r="D11" s="20" t="s">
        <v>94</v>
      </c>
      <c r="E11" s="34">
        <f>VLOOKUP(B11,dagsoorttabel1,2,FALSE)</f>
        <v>1</v>
      </c>
      <c r="F11" s="34">
        <v>1</v>
      </c>
      <c r="G11" s="34">
        <f>IF(prodnorm8&gt;0,1/prodnorm8,0)</f>
        <v>0</v>
      </c>
      <c r="H11" s="36">
        <f>dagwerk8</f>
        <v>0</v>
      </c>
      <c r="I11" s="37">
        <f>uurtarief8</f>
        <v>0</v>
      </c>
      <c r="J11" s="34">
        <v>131</v>
      </c>
    </row>
    <row r="12" spans="1:10" x14ac:dyDescent="0.2">
      <c r="A12" s="20" t="s">
        <v>106</v>
      </c>
      <c r="B12" s="20" t="s">
        <v>15</v>
      </c>
      <c r="C12" s="20" t="s">
        <v>227</v>
      </c>
      <c r="D12" s="20" t="s">
        <v>94</v>
      </c>
      <c r="E12" s="34">
        <f>VLOOKUP(B12,dagsoorttabel1,2,FALSE)</f>
        <v>0.2</v>
      </c>
      <c r="F12" s="34">
        <v>1</v>
      </c>
      <c r="G12" s="34">
        <f>IF(prodnorm9&gt;0,1/prodnorm9,0)</f>
        <v>0</v>
      </c>
      <c r="H12" s="36">
        <f>dagwerk9</f>
        <v>0</v>
      </c>
      <c r="I12" s="37">
        <f>uurtarief9</f>
        <v>0</v>
      </c>
      <c r="J12" s="34">
        <v>277.87</v>
      </c>
    </row>
    <row r="13" spans="1:10" x14ac:dyDescent="0.2">
      <c r="A13" s="20" t="s">
        <v>108</v>
      </c>
      <c r="B13" s="20" t="s">
        <v>10</v>
      </c>
      <c r="C13" s="20" t="s">
        <v>227</v>
      </c>
      <c r="D13" s="20" t="s">
        <v>94</v>
      </c>
      <c r="E13" s="34">
        <f>VLOOKUP(B13,dagsoorttabel1,2,FALSE)</f>
        <v>1</v>
      </c>
      <c r="F13" s="34">
        <v>1</v>
      </c>
      <c r="G13" s="34">
        <f>IF(prodnorm10&gt;0,1/prodnorm10,0)</f>
        <v>0</v>
      </c>
      <c r="H13" s="36">
        <f>dagwerk10</f>
        <v>0</v>
      </c>
      <c r="I13" s="37">
        <f>uurtarief10</f>
        <v>0</v>
      </c>
      <c r="J13" s="34">
        <v>23</v>
      </c>
    </row>
    <row r="14" spans="1:10" x14ac:dyDescent="0.2">
      <c r="A14" s="20" t="s">
        <v>110</v>
      </c>
      <c r="B14" s="20" t="s">
        <v>10</v>
      </c>
      <c r="C14" s="20" t="s">
        <v>227</v>
      </c>
      <c r="D14" s="20" t="s">
        <v>94</v>
      </c>
      <c r="E14" s="34">
        <f>VLOOKUP(B14,dagsoorttabel1,2,FALSE)</f>
        <v>1</v>
      </c>
      <c r="F14" s="34">
        <v>1</v>
      </c>
      <c r="G14" s="34">
        <f>IF(prodnorm11&gt;0,1/prodnorm11,0)</f>
        <v>0</v>
      </c>
      <c r="H14" s="36">
        <f>dagwerk11</f>
        <v>0</v>
      </c>
      <c r="I14" s="37">
        <f>uurtarief11</f>
        <v>0</v>
      </c>
      <c r="J14" s="34">
        <v>45</v>
      </c>
    </row>
    <row r="15" spans="1:10" x14ac:dyDescent="0.2">
      <c r="A15" s="20" t="s">
        <v>112</v>
      </c>
      <c r="B15" s="20" t="s">
        <v>10</v>
      </c>
      <c r="C15" s="20" t="s">
        <v>227</v>
      </c>
      <c r="D15" s="20" t="s">
        <v>94</v>
      </c>
      <c r="E15" s="34">
        <f>VLOOKUP(B15,dagsoorttabel1,2,FALSE)</f>
        <v>1</v>
      </c>
      <c r="F15" s="34">
        <v>1</v>
      </c>
      <c r="G15" s="34">
        <f>IF(prodnorm12&gt;0,1/prodnorm12,0)</f>
        <v>0</v>
      </c>
      <c r="H15" s="36">
        <f>dagwerk12</f>
        <v>0</v>
      </c>
      <c r="I15" s="37">
        <f>uurtarief12</f>
        <v>0</v>
      </c>
      <c r="J15" s="34">
        <v>38</v>
      </c>
    </row>
    <row r="16" spans="1:10" x14ac:dyDescent="0.2">
      <c r="A16" s="20" t="s">
        <v>114</v>
      </c>
      <c r="B16" s="20" t="s">
        <v>10</v>
      </c>
      <c r="C16" s="20" t="s">
        <v>227</v>
      </c>
      <c r="D16" s="20" t="s">
        <v>94</v>
      </c>
      <c r="E16" s="34">
        <f>VLOOKUP(B16,dagsoorttabel1,2,FALSE)</f>
        <v>1</v>
      </c>
      <c r="F16" s="34">
        <v>1</v>
      </c>
      <c r="G16" s="34">
        <f>IF(prodnorm13&gt;0,1/prodnorm13,0)</f>
        <v>0</v>
      </c>
      <c r="H16" s="36">
        <f>dagwerk13</f>
        <v>0</v>
      </c>
      <c r="I16" s="37">
        <f>uurtarief13</f>
        <v>0</v>
      </c>
      <c r="J16" s="34">
        <v>177</v>
      </c>
    </row>
    <row r="17" spans="1:10" x14ac:dyDescent="0.2">
      <c r="A17" s="25" t="s">
        <v>116</v>
      </c>
      <c r="B17" s="25" t="s">
        <v>10</v>
      </c>
      <c r="C17" s="25" t="s">
        <v>227</v>
      </c>
      <c r="D17" s="25" t="s">
        <v>94</v>
      </c>
      <c r="E17" s="38">
        <f>VLOOKUP(B17,dagsoorttabel1,2,FALSE)</f>
        <v>1</v>
      </c>
      <c r="F17" s="38">
        <v>1</v>
      </c>
      <c r="G17" s="38">
        <f>IF(prodnorm14&gt;0,1/prodnorm14,0)</f>
        <v>0</v>
      </c>
      <c r="H17" s="40">
        <f>dagwerk14</f>
        <v>0</v>
      </c>
      <c r="I17" s="41">
        <f>uurtarief14</f>
        <v>0</v>
      </c>
      <c r="J17" s="38">
        <v>20</v>
      </c>
    </row>
    <row r="18" spans="1:10" x14ac:dyDescent="0.2">
      <c r="A18" s="43" t="s">
        <v>118</v>
      </c>
      <c r="B18" s="44"/>
      <c r="C18" s="44"/>
      <c r="D18" s="44"/>
      <c r="E18" s="44"/>
      <c r="F18" s="44"/>
      <c r="G18" s="44"/>
      <c r="H18" s="44"/>
      <c r="I18" s="44"/>
      <c r="J18" s="80"/>
    </row>
  </sheetData>
  <pageMargins left="0.7" right="0.7" top="0.75" bottom="0.75" header="0.3" footer="0.3"/>
  <pageSetup paperSize="9" scale="70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70ACC-5233-4F0D-AA07-747D1AAC872E}">
  <dimension ref="A1:R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I3.4: ",tabeltype," objecten")</f>
        <v>Bijlage I3.4: Invultabel objecten</v>
      </c>
    </row>
    <row r="3" spans="1:18" ht="51" x14ac:dyDescent="0.2">
      <c r="A3" s="8" t="s">
        <v>121</v>
      </c>
      <c r="B3" s="8" t="s">
        <v>228</v>
      </c>
      <c r="C3" s="8" t="s">
        <v>229</v>
      </c>
      <c r="D3" s="8" t="s">
        <v>230</v>
      </c>
      <c r="E3" s="8" t="s">
        <v>7</v>
      </c>
      <c r="F3" s="8" t="s">
        <v>231</v>
      </c>
      <c r="G3" s="8" t="s">
        <v>232</v>
      </c>
      <c r="H3" s="8" t="s">
        <v>233</v>
      </c>
      <c r="I3" s="8" t="s">
        <v>234</v>
      </c>
      <c r="J3" s="8" t="s">
        <v>235</v>
      </c>
      <c r="K3" s="8" t="s">
        <v>236</v>
      </c>
      <c r="L3" s="8" t="s">
        <v>237</v>
      </c>
      <c r="M3" s="8" t="s">
        <v>238</v>
      </c>
      <c r="N3" s="8" t="s">
        <v>239</v>
      </c>
      <c r="O3" s="8" t="s">
        <v>240</v>
      </c>
      <c r="P3" s="8" t="s">
        <v>91</v>
      </c>
      <c r="Q3" s="8" t="s">
        <v>241</v>
      </c>
      <c r="R3" s="8" t="s">
        <v>242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81" t="s">
        <v>131</v>
      </c>
      <c r="B6" s="81" t="s">
        <v>243</v>
      </c>
      <c r="C6" s="81" t="s">
        <v>244</v>
      </c>
      <c r="D6" s="81" t="s">
        <v>245</v>
      </c>
      <c r="E6" s="82" t="s">
        <v>10</v>
      </c>
      <c r="F6" s="83">
        <f>gemuurtarief1</f>
        <v>0</v>
      </c>
      <c r="G6" s="84">
        <f>SUMPRODUCT(taakfreqtabel1,uurfactortabel1,kengetaltabel1,object1_opptabel1)*(1/VLOOKUP(E6,dagsoorttabel1,2,FALSE))</f>
        <v>0</v>
      </c>
      <c r="H6" s="84">
        <f>SUMPRODUCT(dagwerktabel1,taakfreqtabel1,uurfactortabel1,kengetaltabel1,object1_opptabel1)*(1/VLOOKUP(E6,dagsoorttabel1,2,FALSE))</f>
        <v>0</v>
      </c>
      <c r="I6" s="85"/>
      <c r="J6" s="84">
        <f>H6+I6</f>
        <v>0</v>
      </c>
      <c r="K6" s="84">
        <f>G6+I6</f>
        <v>0</v>
      </c>
      <c r="L6" s="86">
        <f>SUMPRODUCT(taakfreqtabel1,kengetaltabel1,tarieftabel1,object1_opptabel1)*(1/VLOOKUP(E6,dagsoorttabel1,2,FALSE))</f>
        <v>0</v>
      </c>
      <c r="M6" s="86">
        <f>F6*I6</f>
        <v>0</v>
      </c>
      <c r="N6" s="86">
        <f>SUM(L6:M6)</f>
        <v>0</v>
      </c>
      <c r="O6" s="84">
        <f>J6*dagenperjaar1*VLOOKUP(E6,dagsoorttabel1,2,FALSE)</f>
        <v>0</v>
      </c>
      <c r="P6" s="84">
        <f>K6*dagenperjaar1*VLOOKUP(E6,dagsoorttabel1,2,FALSE)</f>
        <v>0</v>
      </c>
      <c r="Q6" s="86">
        <f>N6*dagenperjaar1*VLOOKUP(E6,dagsoorttabel1,2,FALSE)</f>
        <v>0</v>
      </c>
      <c r="R6" s="86">
        <f>Q6/12</f>
        <v>0</v>
      </c>
    </row>
    <row r="7" spans="1:18" x14ac:dyDescent="0.2">
      <c r="A7" s="43" t="s">
        <v>118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f>SUM(O6:O6)</f>
        <v>0</v>
      </c>
      <c r="P7" s="45">
        <f>SUM(P6:P6)</f>
        <v>0</v>
      </c>
      <c r="Q7" s="46">
        <f>SUM(Q6:Q6)</f>
        <v>0</v>
      </c>
      <c r="R7" s="47">
        <f>SUM(R6:R6)</f>
        <v>0</v>
      </c>
    </row>
    <row r="8" spans="1:18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9"/>
    </row>
    <row r="10" spans="1:18" x14ac:dyDescent="0.2">
      <c r="A10" s="43" t="s">
        <v>246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>
        <f>urenjaartotaalhf1</f>
        <v>0</v>
      </c>
      <c r="P10" s="45">
        <f>urenjaartotaal1</f>
        <v>0</v>
      </c>
      <c r="Q10" s="46">
        <f>prijsjaartotaal1</f>
        <v>0</v>
      </c>
      <c r="R10" s="46">
        <f>prijsmaandtotaal1</f>
        <v>0</v>
      </c>
    </row>
    <row r="12" spans="1:18" x14ac:dyDescent="0.2">
      <c r="A12" s="43" t="s">
        <v>247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6">
        <f>Q10*1.21</f>
        <v>0</v>
      </c>
      <c r="R12" s="46">
        <f>R10*1.21</f>
        <v>0</v>
      </c>
    </row>
  </sheetData>
  <pageMargins left="0.7" right="0.7" top="0.75" bottom="0.75" header="0.3" footer="0.3"/>
  <pageSetup paperSize="9" scale="65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729D-AAEF-4A9A-8209-19B6AC209311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I3.5: ",tabeltype," niet-meewerkende objectleiding")</f>
        <v>Bijlage I3.5: Invultabel niet-meewerkende objectleiding</v>
      </c>
    </row>
    <row r="3" spans="1:11" ht="38.25" x14ac:dyDescent="0.2">
      <c r="A3" s="8" t="s">
        <v>248</v>
      </c>
      <c r="B3" s="8" t="s">
        <v>7</v>
      </c>
      <c r="C3" s="8" t="s">
        <v>249</v>
      </c>
      <c r="D3" s="8" t="s">
        <v>250</v>
      </c>
      <c r="E3" s="8" t="s">
        <v>251</v>
      </c>
      <c r="F3" s="8" t="s">
        <v>252</v>
      </c>
      <c r="G3" s="8" t="s">
        <v>253</v>
      </c>
      <c r="H3" s="8" t="s">
        <v>91</v>
      </c>
      <c r="I3" s="8" t="s">
        <v>254</v>
      </c>
      <c r="J3" s="8" t="s">
        <v>255</v>
      </c>
      <c r="K3" s="8" t="s">
        <v>256</v>
      </c>
    </row>
    <row r="4" spans="1:11" x14ac:dyDescent="0.2">
      <c r="A4" s="87"/>
      <c r="B4" s="88"/>
      <c r="C4" s="88"/>
      <c r="D4" s="88"/>
      <c r="E4" s="88"/>
      <c r="F4" s="88"/>
      <c r="G4" s="88"/>
      <c r="H4" s="88"/>
      <c r="I4" s="88"/>
      <c r="J4" s="88"/>
      <c r="K4" s="89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0" t="s">
        <v>130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257</v>
      </c>
      <c r="B8" s="15" t="s">
        <v>10</v>
      </c>
      <c r="C8" s="16">
        <f>IF(ISBLANK(B8),0,IF(ISERROR(VALUE(B8)),VLOOKUP(B8,dagsoorttabel1,2,FALSE)*dagenperjaar1,VALUE(B8)))</f>
        <v>200</v>
      </c>
      <c r="D8" s="15" t="s">
        <v>258</v>
      </c>
      <c r="E8" s="19"/>
      <c r="F8" s="91">
        <v>0.08</v>
      </c>
      <c r="G8" s="92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93">
        <f>dagenperjaar1</f>
        <v>200</v>
      </c>
      <c r="D9" s="94" t="s">
        <v>259</v>
      </c>
      <c r="E9" s="24"/>
      <c r="F9" s="23"/>
      <c r="G9" s="95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93">
        <f>dagenperjaar1</f>
        <v>200</v>
      </c>
      <c r="D10" s="94" t="s">
        <v>259</v>
      </c>
      <c r="E10" s="24"/>
      <c r="F10" s="23"/>
      <c r="G10" s="95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93">
        <f>dagenperjaar1</f>
        <v>200</v>
      </c>
      <c r="D11" s="94" t="s">
        <v>260</v>
      </c>
      <c r="E11" s="24"/>
      <c r="F11" s="96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97">
        <f>dagenperjaar1</f>
        <v>200</v>
      </c>
      <c r="D12" s="98" t="s">
        <v>260</v>
      </c>
      <c r="E12" s="29"/>
      <c r="F12" s="99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100" t="s">
        <v>261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43" t="s">
        <v>118</v>
      </c>
      <c r="B15" s="44"/>
      <c r="C15" s="44"/>
      <c r="D15" s="44"/>
      <c r="E15" s="44"/>
      <c r="F15" s="44"/>
      <c r="G15" s="44"/>
      <c r="H15" s="45">
        <f>tzujt1_1</f>
        <v>0</v>
      </c>
      <c r="I15" s="44"/>
      <c r="J15" s="46">
        <f>tzpjt1_1</f>
        <v>0</v>
      </c>
      <c r="K15" s="47">
        <f>tzpmt1_1</f>
        <v>0</v>
      </c>
    </row>
    <row r="16" spans="1:11" x14ac:dyDescent="0.2">
      <c r="A16" s="48"/>
      <c r="B16" s="44"/>
      <c r="C16" s="44"/>
      <c r="D16" s="44"/>
      <c r="E16" s="44"/>
      <c r="F16" s="44"/>
      <c r="G16" s="44"/>
      <c r="H16" s="44"/>
      <c r="I16" s="44"/>
      <c r="J16" s="44"/>
      <c r="K16" s="49"/>
    </row>
    <row r="18" spans="1:11" x14ac:dyDescent="0.2">
      <c r="A18" s="43" t="s">
        <v>262</v>
      </c>
      <c r="B18" s="44"/>
      <c r="C18" s="44"/>
      <c r="D18" s="44"/>
      <c r="E18" s="44"/>
      <c r="F18" s="44"/>
      <c r="G18" s="44"/>
      <c r="H18" s="45">
        <f>tzujt1</f>
        <v>0</v>
      </c>
      <c r="I18" s="44"/>
      <c r="J18" s="46">
        <f>tzpjt1</f>
        <v>0</v>
      </c>
      <c r="K18" s="46">
        <f>tzpmt1</f>
        <v>0</v>
      </c>
    </row>
    <row r="20" spans="1:11" x14ac:dyDescent="0.2">
      <c r="A20" s="43" t="s">
        <v>263</v>
      </c>
      <c r="B20" s="44"/>
      <c r="C20" s="44"/>
      <c r="D20" s="44"/>
      <c r="E20" s="44"/>
      <c r="F20" s="44"/>
      <c r="G20" s="44"/>
      <c r="H20" s="44"/>
      <c r="I20" s="44"/>
      <c r="J20" s="46">
        <f>J18*1.21</f>
        <v>0</v>
      </c>
      <c r="K20" s="46">
        <f>K18*1.21</f>
        <v>0</v>
      </c>
    </row>
  </sheetData>
  <pageMargins left="0.7" right="0.7" top="0.75" bottom="0.75" header="0.3" footer="0.3"/>
  <pageSetup paperSize="9" scale="65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1F93-EAA8-41FD-AF4F-6ABC27784209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I3.6: ",tabeltype," totaalblad objecten")</f>
        <v>Bijlage I3.6: Invultabel totaalblad objecten</v>
      </c>
    </row>
    <row r="3" spans="1:12" ht="38.25" x14ac:dyDescent="0.2">
      <c r="A3" s="8" t="s">
        <v>121</v>
      </c>
      <c r="B3" s="8" t="s">
        <v>228</v>
      </c>
      <c r="C3" s="8" t="s">
        <v>229</v>
      </c>
      <c r="D3" s="8" t="s">
        <v>230</v>
      </c>
      <c r="E3" s="8" t="s">
        <v>240</v>
      </c>
      <c r="F3" s="8" t="s">
        <v>91</v>
      </c>
      <c r="G3" s="8" t="s">
        <v>264</v>
      </c>
      <c r="H3" s="8" t="s">
        <v>265</v>
      </c>
      <c r="I3" s="8" t="s">
        <v>266</v>
      </c>
      <c r="J3" s="8" t="s">
        <v>267</v>
      </c>
      <c r="K3" s="8" t="s">
        <v>268</v>
      </c>
      <c r="L3" s="8" t="s">
        <v>269</v>
      </c>
    </row>
    <row r="4" spans="1:12" x14ac:dyDescent="0.2">
      <c r="A4" s="81" t="s">
        <v>131</v>
      </c>
      <c r="B4" s="81" t="s">
        <v>243</v>
      </c>
      <c r="C4" s="81" t="s">
        <v>244</v>
      </c>
      <c r="D4" s="81" t="s">
        <v>245</v>
      </c>
      <c r="E4" s="84">
        <f>objecturenhf1_1</f>
        <v>0</v>
      </c>
      <c r="F4" s="84">
        <f>objecturen1_1</f>
        <v>0</v>
      </c>
      <c r="G4" s="86">
        <f>objectprijs1_1</f>
        <v>0</v>
      </c>
      <c r="H4" s="84">
        <f>tzujt1_1</f>
        <v>0</v>
      </c>
      <c r="I4" s="86">
        <f>tzpjt1_1</f>
        <v>0</v>
      </c>
      <c r="J4" s="86">
        <f>G4+I4</f>
        <v>0</v>
      </c>
      <c r="K4" s="86">
        <f>J4/12</f>
        <v>0</v>
      </c>
      <c r="L4" s="86">
        <f>K4*1.21</f>
        <v>0</v>
      </c>
    </row>
    <row r="6" spans="1:12" x14ac:dyDescent="0.2">
      <c r="A6" s="43" t="s">
        <v>270</v>
      </c>
      <c r="B6" s="44"/>
      <c r="C6" s="44"/>
      <c r="D6" s="44"/>
      <c r="E6" s="45">
        <f>SUM(E4:E4)</f>
        <v>0</v>
      </c>
      <c r="F6" s="45">
        <f>SUM(F4:F4)</f>
        <v>0</v>
      </c>
      <c r="G6" s="46">
        <f>SUM(G4:G4)</f>
        <v>0</v>
      </c>
      <c r="H6" s="45">
        <f>SUM(H4:H4)</f>
        <v>0</v>
      </c>
      <c r="I6" s="46">
        <f>SUM(I4:I4)</f>
        <v>0</v>
      </c>
      <c r="J6" s="46">
        <f>SUM(J4:J4)</f>
        <v>0</v>
      </c>
      <c r="K6" s="46">
        <f>SUM(K4:K4)</f>
        <v>0</v>
      </c>
      <c r="L6" s="46">
        <f>SUM(L4:L4)</f>
        <v>0</v>
      </c>
    </row>
  </sheetData>
  <pageMargins left="0.7" right="0.7" top="0.75" bottom="0.75" header="0.3" footer="0.3"/>
  <pageSetup paperSize="9" scale="65" orientation="landscape" r:id="rId1"/>
  <headerFooter>
    <oddFooter>&amp;LMeridiaan College                                           &amp;ROpmaakdatum: 06-11-2020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4F2C-1ACC-4303-8579-D4C76E35C4C4}">
  <dimension ref="A1:L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I3.7: ",tabeltype," afroep")</f>
        <v>Bijlage I3.7: Invultabel afroep</v>
      </c>
    </row>
    <row r="3" spans="1:12" ht="38.25" x14ac:dyDescent="0.2">
      <c r="A3" s="8" t="s">
        <v>271</v>
      </c>
      <c r="B3" s="8" t="s">
        <v>7</v>
      </c>
      <c r="C3" s="8" t="s">
        <v>272</v>
      </c>
      <c r="D3" s="8" t="s">
        <v>27</v>
      </c>
      <c r="E3" s="8" t="s">
        <v>30</v>
      </c>
      <c r="F3" s="8" t="s">
        <v>273</v>
      </c>
      <c r="G3" s="8" t="s">
        <v>274</v>
      </c>
      <c r="H3" s="8" t="s">
        <v>275</v>
      </c>
      <c r="I3" s="8" t="s">
        <v>276</v>
      </c>
      <c r="J3" s="8" t="s">
        <v>277</v>
      </c>
      <c r="K3" s="8" t="s">
        <v>92</v>
      </c>
      <c r="L3" s="8" t="s">
        <v>242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278</v>
      </c>
      <c r="B6" s="15" t="s">
        <v>18</v>
      </c>
      <c r="C6" s="16">
        <f>IF(ISBLANK(B6),0,IF(ISERROR(VALUE(B6)),VLOOKUP(B6,dagsoorttabel1,2,FALSE)*dagenperjaar1,VALUE(B6)))</f>
        <v>10</v>
      </c>
      <c r="D6" s="15" t="s">
        <v>279</v>
      </c>
      <c r="E6" s="15" t="s">
        <v>280</v>
      </c>
      <c r="F6" s="101"/>
      <c r="G6" s="19"/>
      <c r="H6" s="102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281</v>
      </c>
      <c r="B7" s="20" t="s">
        <v>18</v>
      </c>
      <c r="C7" s="21">
        <f>IF(ISBLANK(B7),0,IF(ISERROR(VALUE(B7)),VLOOKUP(B7,dagsoorttabel1,2,FALSE)*dagenperjaar1,VALUE(B7)))</f>
        <v>10</v>
      </c>
      <c r="D7" s="20" t="s">
        <v>282</v>
      </c>
      <c r="E7" s="20" t="s">
        <v>280</v>
      </c>
      <c r="F7" s="103"/>
      <c r="G7" s="24"/>
      <c r="H7" s="104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283</v>
      </c>
      <c r="B8" s="20" t="s">
        <v>18</v>
      </c>
      <c r="C8" s="21">
        <f>IF(ISBLANK(B8),0,IF(ISERROR(VALUE(B8)),VLOOKUP(B8,dagsoorttabel1,2,FALSE)*dagenperjaar1,VALUE(B8)))</f>
        <v>10</v>
      </c>
      <c r="D8" s="20" t="s">
        <v>284</v>
      </c>
      <c r="E8" s="20" t="s">
        <v>280</v>
      </c>
      <c r="F8" s="105">
        <v>4</v>
      </c>
      <c r="G8" s="24"/>
      <c r="H8" s="104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285</v>
      </c>
      <c r="B9" s="20" t="s">
        <v>18</v>
      </c>
      <c r="C9" s="21">
        <f>IF(ISBLANK(B9),0,IF(ISERROR(VALUE(B9)),VLOOKUP(B9,dagsoorttabel1,2,FALSE)*dagenperjaar1,VALUE(B9)))</f>
        <v>10</v>
      </c>
      <c r="D9" s="20" t="s">
        <v>286</v>
      </c>
      <c r="E9" s="20" t="s">
        <v>280</v>
      </c>
      <c r="F9" s="105">
        <v>10</v>
      </c>
      <c r="G9" s="24"/>
      <c r="H9" s="104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5" t="s">
        <v>287</v>
      </c>
      <c r="B10" s="25" t="s">
        <v>18</v>
      </c>
      <c r="C10" s="26">
        <f>IF(ISBLANK(B10),0,IF(ISERROR(VALUE(B10)),VLOOKUP(B10,dagsoorttabel1,2,FALSE)*dagenperjaar1,VALUE(B10)))</f>
        <v>10</v>
      </c>
      <c r="D10" s="25" t="s">
        <v>288</v>
      </c>
      <c r="E10" s="25" t="s">
        <v>280</v>
      </c>
      <c r="F10" s="106">
        <v>4</v>
      </c>
      <c r="G10" s="29"/>
      <c r="H10" s="107"/>
      <c r="I10" s="29"/>
      <c r="J10" s="41">
        <f>IF(ISBLANK(F10),0,F10)*I10</f>
        <v>0</v>
      </c>
      <c r="K10" s="41">
        <f>C10*J10</f>
        <v>0</v>
      </c>
      <c r="L10" s="41">
        <f>K10/12</f>
        <v>0</v>
      </c>
    </row>
    <row r="11" spans="1:12" x14ac:dyDescent="0.2">
      <c r="A11" s="43" t="s">
        <v>118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SUM(K6:K10)</f>
        <v>0</v>
      </c>
      <c r="L11" s="108">
        <f>K11/12</f>
        <v>0</v>
      </c>
    </row>
    <row r="13" spans="1:12" x14ac:dyDescent="0.2">
      <c r="A13" s="43" t="s">
        <v>289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prijsjaarafroep1</f>
        <v>0</v>
      </c>
      <c r="L13" s="108">
        <f>K13/12</f>
        <v>0</v>
      </c>
    </row>
  </sheetData>
  <pageMargins left="0.7" right="0.7" top="0.75" bottom="0.75" header="0.3" footer="0.3"/>
  <pageSetup paperSize="9" scale="65" orientation="landscape" r:id="rId1"/>
  <headerFooter>
    <oddFooter>&amp;LMeridiaan College                                           &amp;ROpmaakdatum: 06-11-2020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191</vt:i4>
      </vt:variant>
    </vt:vector>
  </HeadingPairs>
  <TitlesOfParts>
    <vt:vector size="202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Totaal</vt:lpstr>
      <vt:lpstr>Afroep!Afdruktitels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catdw_1_DHB_1</vt:lpstr>
      <vt:lpstr>catdw_1_DHV_40</vt:lpstr>
      <vt:lpstr>catdw_1_EZB_1</vt:lpstr>
      <vt:lpstr>catdw_1_EZV_40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catdw_1_PHB_1</vt:lpstr>
      <vt:lpstr>catdw_1_PHV_40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catfd_1_DHB_1</vt:lpstr>
      <vt:lpstr>catfd_1_DHV_40</vt:lpstr>
      <vt:lpstr>catfd_1_EZB_1</vt:lpstr>
      <vt:lpstr>catfd_1_EZV_40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catfd_1_PHB_1</vt:lpstr>
      <vt:lpstr>catfd_1_PHV_40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catpn_1_DHB_1</vt:lpstr>
      <vt:lpstr>catpn_1_DHV_40</vt:lpstr>
      <vt:lpstr>catpn_1_EZB_1</vt:lpstr>
      <vt:lpstr>catpn_1_EZV_40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catpn_1_PHB_1</vt:lpstr>
      <vt:lpstr>catpn_1_PHV_40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cattf_1_DHB_1</vt:lpstr>
      <vt:lpstr>cattf_1_DHV_40</vt:lpstr>
      <vt:lpstr>cattf_1_EZB_1</vt:lpstr>
      <vt:lpstr>cattf_1_EZV_40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cattf_1_PHB_1</vt:lpstr>
      <vt:lpstr>cattf_1_PHV_40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dagwerk2</vt:lpstr>
      <vt:lpstr>dagwerk3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prodnorm2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2020-11-06T07:26:01Z</dcterms:created>
  <dcterms:modified xsi:type="dcterms:W3CDTF">2020-11-06T07:27:42Z</dcterms:modified>
</cp:coreProperties>
</file>