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OMO\Aanbesteding schoonmaak 2020_2021\Invultabellen\"/>
    </mc:Choice>
  </mc:AlternateContent>
  <xr:revisionPtr revIDLastSave="2" documentId="8_{8B7BD5A8-0B3B-4B96-9505-F29377633206}" xr6:coauthVersionLast="46" xr6:coauthVersionMax="46" xr10:uidLastSave="{1C1CF44D-1519-4A39-AF0C-E2D408EE20E3}"/>
  <bookViews>
    <workbookView xWindow="-108" yWindow="-108" windowWidth="19416" windowHeight="10608" firstSheet="1" activeTab="10" xr2:uid="{4B6F7336-4C9C-4EDF-A993-62E20189B1C3}"/>
  </bookViews>
  <sheets>
    <sheet name="Omreken" sheetId="1" r:id="rId1"/>
    <sheet name="Categorienormen" sheetId="2" r:id="rId2"/>
    <sheet name="Regulier werk" sheetId="3" r:id="rId3"/>
    <sheet name="Ruimten werkdag" sheetId="4" r:id="rId4"/>
    <sheet name="Objectinformatie" sheetId="5" r:id="rId5"/>
    <sheet name="Objecten" sheetId="6" r:id="rId6"/>
    <sheet name="Niet-meewerkende objectleiding" sheetId="7" r:id="rId7"/>
    <sheet name="Totaalblad Objecten" sheetId="8" r:id="rId8"/>
    <sheet name="Afroep incidenteel" sheetId="9" r:id="rId9"/>
    <sheet name="Regiewerk" sheetId="10" r:id="rId10"/>
    <sheet name="Glas" sheetId="11" r:id="rId11"/>
    <sheet name="Glas per locatie" sheetId="12" r:id="rId12"/>
    <sheet name="Totaal" sheetId="13" r:id="rId13"/>
  </sheets>
  <definedNames>
    <definedName name="_xlnm.Print_Titles" localSheetId="8">'Afroep incidenteel'!$1:$3</definedName>
    <definedName name="_xlnm.Print_Titles" localSheetId="1">Categorienormen!$1:$3</definedName>
    <definedName name="_xlnm.Print_Titles" localSheetId="10">Glas!$1:$3</definedName>
    <definedName name="_xlnm.Print_Titles" localSheetId="11">'Glas per locatie'!$1:$3</definedName>
    <definedName name="_xlnm.Print_Titles" localSheetId="6">'Niet-meewerkende objectleiding'!$1:$3</definedName>
    <definedName name="_xlnm.Print_Titles" localSheetId="5">Objecten!$1:$3</definedName>
    <definedName name="_xlnm.Print_Titles" localSheetId="4">Objectinformatie!$A:$D,Objectinformatie!$1:$4</definedName>
    <definedName name="_xlnm.Print_Titles" localSheetId="9">Regiewerk!$1:$3</definedName>
    <definedName name="_xlnm.Print_Titles" localSheetId="2">'Regulier werk'!$1:$3</definedName>
    <definedName name="_xlnm.Print_Titles" localSheetId="3">'Ruimten werkdag'!$1:$3</definedName>
    <definedName name="_xlnm.Print_Titles" localSheetId="12">Totaal!$1:$3</definedName>
    <definedName name="_xlnm.Print_Titles" localSheetId="7">'Totaalblad Objecten'!$A:$A,'Totaalblad Objecten'!$1:$3</definedName>
    <definedName name="catdw_1_AFVB_1">Categorienormen!$F$6</definedName>
    <definedName name="catdw_1_GSHB_1">Categorienormen!$F$13</definedName>
    <definedName name="catdw_1_GSHV_4">Categorienormen!$F$14</definedName>
    <definedName name="catdw_1_GSHV_40">Categorienormen!$F$15</definedName>
    <definedName name="catdw_1_KAHB_1">Categorienormen!$F$26</definedName>
    <definedName name="catdw_1_KAHV_40">Categorienormen!$F$27</definedName>
    <definedName name="catdw_1_LLHB_1">Categorienormen!$F$7</definedName>
    <definedName name="catdw_1_LLHV_40">Categorienormen!$F$8</definedName>
    <definedName name="catdw_1_LLZB_1">Categorienormen!$F$9</definedName>
    <definedName name="catdw_1_LLZV_40">Categorienormen!$F$10</definedName>
    <definedName name="catdw_1_LOHB_1">Categorienormen!$F$11</definedName>
    <definedName name="catdw_1_LOHV_40">Categorienormen!$F$12</definedName>
    <definedName name="catdw_1_OAHB_1">Categorienormen!$F$28</definedName>
    <definedName name="catdw_1_OAHV_40">Categorienormen!$F$29</definedName>
    <definedName name="catdw_1_PAHB_1">Categorienormen!$F$16</definedName>
    <definedName name="catdw_1_PAHV_40">Categorienormen!$F$17</definedName>
    <definedName name="catdw_1_PSHB_1">Categorienormen!$F$18</definedName>
    <definedName name="catdw_1_PSHV_40">Categorienormen!$F$19</definedName>
    <definedName name="catdw_1_SDHB_1">Categorienormen!$F$20</definedName>
    <definedName name="catdw_1_SDHV_40">Categorienormen!$F$21</definedName>
    <definedName name="catdw_1_SKHB_1">Categorienormen!$F$22</definedName>
    <definedName name="catdw_1_SKHV_40">Categorienormen!$F$23</definedName>
    <definedName name="catdw_1_STHB_1">Categorienormen!$F$24</definedName>
    <definedName name="catdw_1_STHV_40">Categorienormen!$F$25</definedName>
    <definedName name="catdw_1_VAHB_1">Categorienormen!$F$30</definedName>
    <definedName name="catdw_1_VAHV_40">Categorienormen!$F$31</definedName>
    <definedName name="catdw_1_VAZB_1">Categorienormen!$F$32</definedName>
    <definedName name="catdw_1_VAZV_40">Categorienormen!$F$33</definedName>
    <definedName name="catdw_1_VEZB_1">Categorienormen!$F$34</definedName>
    <definedName name="catdw_1_VEZV_40">Categorienormen!$F$35</definedName>
    <definedName name="catdw_1_VOHB_1">Categorienormen!$F$36</definedName>
    <definedName name="catdw_1_VOHV_40">Categorienormen!$F$37</definedName>
    <definedName name="catdw_1_VTHB_1">Categorienormen!$F$38</definedName>
    <definedName name="catdw_1_VTHV_40">Categorienormen!$F$39</definedName>
    <definedName name="catfd_1_AFVB_1">Categorienormen!$C$6</definedName>
    <definedName name="catfd_1_GSHB_1">Categorienormen!$C$13</definedName>
    <definedName name="catfd_1_GSHV_4">Categorienormen!$C$14</definedName>
    <definedName name="catfd_1_GSHV_40">Categorienormen!$C$15</definedName>
    <definedName name="catfd_1_KAHB_1">Categorienormen!$C$26</definedName>
    <definedName name="catfd_1_KAHV_40">Categorienormen!$C$27</definedName>
    <definedName name="catfd_1_LLHB_1">Categorienormen!$C$7</definedName>
    <definedName name="catfd_1_LLHV_40">Categorienormen!$C$8</definedName>
    <definedName name="catfd_1_LLZB_1">Categorienormen!$C$9</definedName>
    <definedName name="catfd_1_LLZV_40">Categorienormen!$C$10</definedName>
    <definedName name="catfd_1_LOHB_1">Categorienormen!$C$11</definedName>
    <definedName name="catfd_1_LOHV_40">Categorienormen!$C$12</definedName>
    <definedName name="catfd_1_OAHB_1">Categorienormen!$C$28</definedName>
    <definedName name="catfd_1_OAHV_40">Categorienormen!$C$29</definedName>
    <definedName name="catfd_1_PAHB_1">Categorienormen!$C$16</definedName>
    <definedName name="catfd_1_PAHV_40">Categorienormen!$C$17</definedName>
    <definedName name="catfd_1_PSHB_1">Categorienormen!$C$18</definedName>
    <definedName name="catfd_1_PSHV_40">Categorienormen!$C$19</definedName>
    <definedName name="catfd_1_SDHB_1">Categorienormen!$C$20</definedName>
    <definedName name="catfd_1_SDHV_40">Categorienormen!$C$21</definedName>
    <definedName name="catfd_1_SKHB_1">Categorienormen!$C$22</definedName>
    <definedName name="catfd_1_SKHV_40">Categorienormen!$C$23</definedName>
    <definedName name="catfd_1_STHB_1">Categorienormen!$C$24</definedName>
    <definedName name="catfd_1_STHV_40">Categorienormen!$C$25</definedName>
    <definedName name="catfd_1_VAHB_1">Categorienormen!$C$30</definedName>
    <definedName name="catfd_1_VAHV_40">Categorienormen!$C$31</definedName>
    <definedName name="catfd_1_VAZB_1">Categorienormen!$C$32</definedName>
    <definedName name="catfd_1_VAZV_40">Categorienormen!$C$33</definedName>
    <definedName name="catfd_1_VEZB_1">Categorienormen!$C$34</definedName>
    <definedName name="catfd_1_VEZV_40">Categorienormen!$C$35</definedName>
    <definedName name="catfd_1_VOHB_1">Categorienormen!$C$36</definedName>
    <definedName name="catfd_1_VOHV_40">Categorienormen!$C$37</definedName>
    <definedName name="catfd_1_VTHB_1">Categorienormen!$C$38</definedName>
    <definedName name="catfd_1_VTHV_40">Categorienormen!$C$39</definedName>
    <definedName name="catpn_1_AFVB_1">Categorienormen!$E$6</definedName>
    <definedName name="catpn_1_GSHB_1">Categorienormen!$E$13</definedName>
    <definedName name="catpn_1_GSHV_4">Categorienormen!$E$14</definedName>
    <definedName name="catpn_1_GSHV_40">Categorienormen!$E$15</definedName>
    <definedName name="catpn_1_KAHB_1">Categorienormen!$E$26</definedName>
    <definedName name="catpn_1_KAHV_40">Categorienormen!$E$27</definedName>
    <definedName name="catpn_1_LLHB_1">Categorienormen!$E$7</definedName>
    <definedName name="catpn_1_LLHV_40">Categorienormen!$E$8</definedName>
    <definedName name="catpn_1_LLZB_1">Categorienormen!$E$9</definedName>
    <definedName name="catpn_1_LLZV_40">Categorienormen!$E$10</definedName>
    <definedName name="catpn_1_LOHB_1">Categorienormen!$E$11</definedName>
    <definedName name="catpn_1_LOHV_40">Categorienormen!$E$12</definedName>
    <definedName name="catpn_1_OAHB_1">Categorienormen!$E$28</definedName>
    <definedName name="catpn_1_OAHV_40">Categorienormen!$E$29</definedName>
    <definedName name="catpn_1_PAHB_1">Categorienormen!$E$16</definedName>
    <definedName name="catpn_1_PAHV_40">Categorienormen!$E$17</definedName>
    <definedName name="catpn_1_PSHB_1">Categorienormen!$E$18</definedName>
    <definedName name="catpn_1_PSHV_40">Categorienormen!$E$19</definedName>
    <definedName name="catpn_1_SDHB_1">Categorienormen!$E$20</definedName>
    <definedName name="catpn_1_SDHV_40">Categorienormen!$E$21</definedName>
    <definedName name="catpn_1_SKHB_1">Categorienormen!$E$22</definedName>
    <definedName name="catpn_1_SKHV_40">Categorienormen!$E$23</definedName>
    <definedName name="catpn_1_STHB_1">Categorienormen!$E$24</definedName>
    <definedName name="catpn_1_STHV_40">Categorienormen!$E$25</definedName>
    <definedName name="catpn_1_VAHB_1">Categorienormen!$E$30</definedName>
    <definedName name="catpn_1_VAHV_40">Categorienormen!$E$31</definedName>
    <definedName name="catpn_1_VAZB_1">Categorienormen!$E$32</definedName>
    <definedName name="catpn_1_VAZV_40">Categorienormen!$E$33</definedName>
    <definedName name="catpn_1_VEZB_1">Categorienormen!$E$34</definedName>
    <definedName name="catpn_1_VEZV_40">Categorienormen!$E$35</definedName>
    <definedName name="catpn_1_VOHB_1">Categorienormen!$E$36</definedName>
    <definedName name="catpn_1_VOHV_40">Categorienormen!$E$37</definedName>
    <definedName name="catpn_1_VTHB_1">Categorienormen!$E$38</definedName>
    <definedName name="catpn_1_VTHV_40">Categorienormen!$E$39</definedName>
    <definedName name="cattf_1_AFVB_1">Categorienormen!$H$6</definedName>
    <definedName name="cattf_1_GSHB_1">Categorienormen!$H$13</definedName>
    <definedName name="cattf_1_GSHV_4">Categorienormen!$H$14</definedName>
    <definedName name="cattf_1_GSHV_40">Categorienormen!$H$15</definedName>
    <definedName name="cattf_1_KAHB_1">Categorienormen!$H$26</definedName>
    <definedName name="cattf_1_KAHV_40">Categorienormen!$H$27</definedName>
    <definedName name="cattf_1_LLHB_1">Categorienormen!$H$7</definedName>
    <definedName name="cattf_1_LLHV_40">Categorienormen!$H$8</definedName>
    <definedName name="cattf_1_LLZB_1">Categorienormen!$H$9</definedName>
    <definedName name="cattf_1_LLZV_40">Categorienormen!$H$10</definedName>
    <definedName name="cattf_1_LOHB_1">Categorienormen!$H$11</definedName>
    <definedName name="cattf_1_LOHV_40">Categorienormen!$H$12</definedName>
    <definedName name="cattf_1_OAHB_1">Categorienormen!$H$28</definedName>
    <definedName name="cattf_1_OAHV_40">Categorienormen!$H$29</definedName>
    <definedName name="cattf_1_PAHB_1">Categorienormen!$H$16</definedName>
    <definedName name="cattf_1_PAHV_40">Categorienormen!$H$17</definedName>
    <definedName name="cattf_1_PSHB_1">Categorienormen!$H$18</definedName>
    <definedName name="cattf_1_PSHV_40">Categorienormen!$H$19</definedName>
    <definedName name="cattf_1_SDHB_1">Categorienormen!$H$20</definedName>
    <definedName name="cattf_1_SDHV_40">Categorienormen!$H$21</definedName>
    <definedName name="cattf_1_SKHB_1">Categorienormen!$H$22</definedName>
    <definedName name="cattf_1_SKHV_40">Categorienormen!$H$23</definedName>
    <definedName name="cattf_1_STHB_1">Categorienormen!$H$24</definedName>
    <definedName name="cattf_1_STHV_40">Categorienormen!$H$25</definedName>
    <definedName name="cattf_1_VAHB_1">Categorienormen!$H$30</definedName>
    <definedName name="cattf_1_VAHV_40">Categorienormen!$H$31</definedName>
    <definedName name="cattf_1_VAZB_1">Categorienormen!$H$32</definedName>
    <definedName name="cattf_1_VAZV_40">Categorienormen!$H$33</definedName>
    <definedName name="cattf_1_VEZB_1">Categorienormen!$H$34</definedName>
    <definedName name="cattf_1_VEZV_40">Categorienormen!$H$35</definedName>
    <definedName name="cattf_1_VOHB_1">Categorienormen!$H$36</definedName>
    <definedName name="cattf_1_VOHV_40">Categorienormen!$H$37</definedName>
    <definedName name="cattf_1_VTHB_1">Categorienormen!$H$38</definedName>
    <definedName name="cattf_1_VTHV_40">Categorienormen!$H$39</definedName>
    <definedName name="dagenperjaar1">Omreken!$B$9</definedName>
    <definedName name="dagenperjaar2">Omreken!$E$9</definedName>
    <definedName name="dagenperjaar3">Omreken!$H$9</definedName>
    <definedName name="dagenperweek1">Omreken!$B$10</definedName>
    <definedName name="dagenperweek2">Omreken!$E$10</definedName>
    <definedName name="dagenperweek3">Omreken!$H$10</definedName>
    <definedName name="dagsoorttabel1">Omreken!$A$13:$B$30</definedName>
    <definedName name="dagsoorttabel2">Omreken!$D$13:$E$24</definedName>
    <definedName name="dagsoorttabel3">Omreken!$G$13:$H$14</definedName>
    <definedName name="dagwerk10">'Regulier werk'!$H$12</definedName>
    <definedName name="dagwerk11">'Regulier werk'!$H$13</definedName>
    <definedName name="dagwerk12">'Regulier werk'!$H$14</definedName>
    <definedName name="dagwerk13">'Regulier werk'!$H$15</definedName>
    <definedName name="dagwerk14">'Regulier werk'!$H$16</definedName>
    <definedName name="dagwerk15">'Regulier werk'!$H$17</definedName>
    <definedName name="dagwerk16">'Regulier werk'!$H$18</definedName>
    <definedName name="dagwerk17">'Regulier werk'!$H$19</definedName>
    <definedName name="dagwerk18">'Regulier werk'!$H$20</definedName>
    <definedName name="dagwerk19">'Regulier werk'!$H$21</definedName>
    <definedName name="dagwerk20">'Regulier werk'!$H$22</definedName>
    <definedName name="dagwerk21">'Regulier werk'!$H$23</definedName>
    <definedName name="dagwerk4">'Regulier werk'!$H$6</definedName>
    <definedName name="dagwerk5">'Regulier werk'!$H$7</definedName>
    <definedName name="dagwerk6">'Regulier werk'!$H$8</definedName>
    <definedName name="dagwerk7">'Regulier werk'!$H$9</definedName>
    <definedName name="dagwerk8">'Regulier werk'!$H$10</definedName>
    <definedName name="dagwerk9">'Regulier werk'!$H$11</definedName>
    <definedName name="dagwerktabel1">Objectinformatie!$H$5:$H$22</definedName>
    <definedName name="gemuurtarief1">'Regulier werk'!$J$26</definedName>
    <definedName name="kengetaltabel1">Objectinformatie!$G$5:$G$22</definedName>
    <definedName name="object1_gemuurtarief1">'Ruimten werkdag'!$Q$140</definedName>
    <definedName name="object1_opptabel1">Objectinformatie!$J$5:$J$22</definedName>
    <definedName name="object1_prijsdag1">'Ruimten werkdag'!$T$140</definedName>
    <definedName name="object1_prijsjaar1">'Ruimten werkdag'!$V$140</definedName>
    <definedName name="object1_urendag1">'Ruimten werkdag'!$R$140</definedName>
    <definedName name="object1_urendaghf1">'Ruimten werkdag'!$S$140</definedName>
    <definedName name="object1_urenjaar1">'Ruimten werkdag'!$U$140</definedName>
    <definedName name="objectprijs1_1">Objecten!$L$6</definedName>
    <definedName name="objecturen1_1">Objecten!$K$6</definedName>
    <definedName name="objecturenhf1_1">Objecten!$J$6</definedName>
    <definedName name="prijsdag1">'Regulier werk'!$L$24</definedName>
    <definedName name="prijsjaar">'Regulier werk'!$N$29</definedName>
    <definedName name="prijsjaar1">'Regulier werk'!$N$24</definedName>
    <definedName name="prijsjaarglas">Glas!$K$11</definedName>
    <definedName name="prijsjaarglas1">Glas!$K$9</definedName>
    <definedName name="prijsjaarnietmeewerkend">'Niet-meewerkende objectleiding'!$J$17</definedName>
    <definedName name="prijsjaarregie">Regiewerk!$K$11</definedName>
    <definedName name="prijsjaarregie1">Regiewerk!$K$9</definedName>
    <definedName name="prijsjaartotaal">Objecten!$L$10</definedName>
    <definedName name="prijsjaartotaal1">Objecten!$L$7</definedName>
    <definedName name="prijsjaartotaaloverzicht">'Totaalblad Objecten'!$B$13</definedName>
    <definedName name="prijsmaandtotaal1">Objecten!$M$7</definedName>
    <definedName name="prodnorm10">'Regulier werk'!$G$12</definedName>
    <definedName name="prodnorm11">'Regulier werk'!$G$13</definedName>
    <definedName name="prodnorm12">'Regulier werk'!$G$14</definedName>
    <definedName name="prodnorm13">'Regulier werk'!$G$15</definedName>
    <definedName name="prodnorm14">'Regulier werk'!$G$16</definedName>
    <definedName name="prodnorm15">'Regulier werk'!$G$17</definedName>
    <definedName name="prodnorm16">'Regulier werk'!$G$18</definedName>
    <definedName name="prodnorm17">'Regulier werk'!$G$19</definedName>
    <definedName name="prodnorm18">'Regulier werk'!$G$20</definedName>
    <definedName name="prodnorm19">'Regulier werk'!$G$21</definedName>
    <definedName name="prodnorm20">'Regulier werk'!$G$22</definedName>
    <definedName name="prodnorm21">'Regulier werk'!$G$23</definedName>
    <definedName name="prodnorm4">'Regulier werk'!$G$6</definedName>
    <definedName name="prodnorm5">'Regulier werk'!$G$7</definedName>
    <definedName name="prodnorm6">'Regulier werk'!$G$8</definedName>
    <definedName name="prodnorm7">'Regulier werk'!$G$9</definedName>
    <definedName name="prodnorm8">'Regulier werk'!$G$10</definedName>
    <definedName name="prodnorm9">'Regulier werk'!$G$11</definedName>
    <definedName name="taakfreqtabel1">Objectinformatie!$E$5:$E$22</definedName>
    <definedName name="tabeltype">Omreken!$B$5:$B$5</definedName>
    <definedName name="tarieftabel1">Objectinformatie!$I$5:$I$22</definedName>
    <definedName name="tzpjt1">'Niet-meewerkende objectleiding'!$J$14</definedName>
    <definedName name="tzpjt1_1">'Niet-meewerkende objectleiding'!$J$12</definedName>
    <definedName name="tzpmt1">'Niet-meewerkende objectleiding'!$K$14</definedName>
    <definedName name="tzpmt1_1">'Niet-meewerkende objectleiding'!$K$12</definedName>
    <definedName name="tzujt1">'Niet-meewerkende objectleiding'!$H$14</definedName>
    <definedName name="tzujt1_1">'Niet-meewerkende objectleiding'!$H$12</definedName>
    <definedName name="urendag1">'Regulier werk'!$K$24</definedName>
    <definedName name="urenjaar">'Regulier werk'!$M$29</definedName>
    <definedName name="urenjaar1">'Regulier werk'!$M$24</definedName>
    <definedName name="urenjaarnietmeewerkend">'Niet-meewerkende objectleiding'!$H$17</definedName>
    <definedName name="urenjaartotaal">Objecten!$K$10</definedName>
    <definedName name="urenjaartotaal1">Objecten!$K$7</definedName>
    <definedName name="urenjaartotaalhf">Objecten!$J$10</definedName>
    <definedName name="urenjaartotaalhf1">Objecten!$J$7</definedName>
    <definedName name="urenjaartotaaloverzicht">'Totaalblad Objecten'!$B$11</definedName>
    <definedName name="urenjaartotaaloverzichthf">'Totaalblad Objecten'!$B$10</definedName>
    <definedName name="uurfactortabel1">Objectinformatie!$F$5:$F$22</definedName>
    <definedName name="uurtarief10">'Regulier werk'!$J$12</definedName>
    <definedName name="uurtarief11">'Regulier werk'!$J$13</definedName>
    <definedName name="uurtarief12">'Regulier werk'!$J$14</definedName>
    <definedName name="uurtarief13">'Regulier werk'!$J$15</definedName>
    <definedName name="uurtarief14">'Regulier werk'!$J$16</definedName>
    <definedName name="uurtarief15">'Regulier werk'!$J$17</definedName>
    <definedName name="uurtarief16">'Regulier werk'!$J$18</definedName>
    <definedName name="uurtarief17">'Regulier werk'!$J$19</definedName>
    <definedName name="uurtarief18">'Regulier werk'!$J$20</definedName>
    <definedName name="uurtarief19">'Regulier werk'!$J$21</definedName>
    <definedName name="uurtarief20">'Regulier werk'!$J$22</definedName>
    <definedName name="uurtarief21">'Regulier werk'!$J$23</definedName>
    <definedName name="uurtarief4">'Regulier werk'!$J$6</definedName>
    <definedName name="uurtarief5">'Regulier werk'!$J$7</definedName>
    <definedName name="uurtarief6">'Regulier werk'!$J$8</definedName>
    <definedName name="uurtarief7">'Regulier werk'!$J$9</definedName>
    <definedName name="uurtarief8">'Regulier werk'!$J$10</definedName>
    <definedName name="uurtarief9">'Regulier werk'!$J$11</definedName>
    <definedName name="vp_leiding">Totaal!$F$5</definedName>
    <definedName name="vp_regie">Totaal!$F$6</definedName>
    <definedName name="vp_regulier">Totaal!$F$4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3" l="1"/>
  <c r="J8" i="12"/>
  <c r="K8" i="12" s="1"/>
  <c r="H8" i="12"/>
  <c r="K7" i="12"/>
  <c r="J7" i="12"/>
  <c r="H7" i="12"/>
  <c r="J6" i="12"/>
  <c r="K6" i="12" s="1"/>
  <c r="K9" i="12" s="1"/>
  <c r="H6" i="12"/>
  <c r="A1" i="12"/>
  <c r="J8" i="11"/>
  <c r="J7" i="11"/>
  <c r="J6" i="11"/>
  <c r="A1" i="11"/>
  <c r="J8" i="10"/>
  <c r="J7" i="10"/>
  <c r="C7" i="10"/>
  <c r="K7" i="10" s="1"/>
  <c r="L7" i="10" s="1"/>
  <c r="J6" i="10"/>
  <c r="A1" i="10"/>
  <c r="A1" i="9"/>
  <c r="B8" i="8"/>
  <c r="A1" i="8"/>
  <c r="J11" i="7"/>
  <c r="K11" i="7" s="1"/>
  <c r="H11" i="7"/>
  <c r="C11" i="7"/>
  <c r="I11" i="7" s="1"/>
  <c r="K10" i="7"/>
  <c r="J10" i="7"/>
  <c r="I10" i="7"/>
  <c r="H10" i="7"/>
  <c r="C10" i="7"/>
  <c r="J9" i="7"/>
  <c r="K9" i="7" s="1"/>
  <c r="H9" i="7"/>
  <c r="C9" i="7"/>
  <c r="I9" i="7" s="1"/>
  <c r="J8" i="7"/>
  <c r="J12" i="7" s="1"/>
  <c r="I8" i="7"/>
  <c r="H8" i="7"/>
  <c r="H12" i="7" s="1"/>
  <c r="C8" i="7"/>
  <c r="A1" i="7"/>
  <c r="A1" i="6"/>
  <c r="Q123" i="4"/>
  <c r="O116" i="4"/>
  <c r="M115" i="4"/>
  <c r="O106" i="4"/>
  <c r="O105" i="4"/>
  <c r="Q104" i="4"/>
  <c r="M102" i="4"/>
  <c r="O97" i="4"/>
  <c r="Q94" i="4"/>
  <c r="O92" i="4"/>
  <c r="Q91" i="4"/>
  <c r="O89" i="4"/>
  <c r="Q88" i="4"/>
  <c r="O87" i="4"/>
  <c r="Q86" i="4"/>
  <c r="O84" i="4"/>
  <c r="M83" i="4"/>
  <c r="O74" i="4"/>
  <c r="O73" i="4"/>
  <c r="Q72" i="4"/>
  <c r="O72" i="4"/>
  <c r="O65" i="4"/>
  <c r="Q64" i="4"/>
  <c r="Q63" i="4"/>
  <c r="Q62" i="4"/>
  <c r="O60" i="4"/>
  <c r="M60" i="4"/>
  <c r="Q59" i="4"/>
  <c r="M59" i="4"/>
  <c r="N58" i="4"/>
  <c r="O57" i="4"/>
  <c r="Q56" i="4"/>
  <c r="O56" i="4"/>
  <c r="O55" i="4"/>
  <c r="Q54" i="4"/>
  <c r="N54" i="4"/>
  <c r="N53" i="4"/>
  <c r="O52" i="4"/>
  <c r="M51" i="4"/>
  <c r="Q49" i="4"/>
  <c r="O49" i="4"/>
  <c r="Q48" i="4"/>
  <c r="O48" i="4"/>
  <c r="O47" i="4"/>
  <c r="Q45" i="4"/>
  <c r="N45" i="4"/>
  <c r="O43" i="4"/>
  <c r="Q42" i="4"/>
  <c r="O42" i="4"/>
  <c r="N42" i="4"/>
  <c r="O41" i="4"/>
  <c r="N41" i="4"/>
  <c r="Q40" i="4"/>
  <c r="Q34" i="4"/>
  <c r="N34" i="4"/>
  <c r="Q33" i="4"/>
  <c r="O33" i="4"/>
  <c r="N33" i="4"/>
  <c r="M33" i="4"/>
  <c r="Q32" i="4"/>
  <c r="Q31" i="4"/>
  <c r="Q30" i="4"/>
  <c r="Q28" i="4"/>
  <c r="O28" i="4"/>
  <c r="N28" i="4"/>
  <c r="M28" i="4"/>
  <c r="R28" i="4" s="1"/>
  <c r="U28" i="4" s="1"/>
  <c r="V28" i="4" s="1"/>
  <c r="Q27" i="4"/>
  <c r="O27" i="4"/>
  <c r="M27" i="4"/>
  <c r="N26" i="4"/>
  <c r="O25" i="4"/>
  <c r="Q24" i="4"/>
  <c r="O24" i="4"/>
  <c r="O23" i="4"/>
  <c r="N23" i="4"/>
  <c r="Q22" i="4"/>
  <c r="N22" i="4"/>
  <c r="Q21" i="4"/>
  <c r="N21" i="4"/>
  <c r="O20" i="4"/>
  <c r="N19" i="4"/>
  <c r="S19" i="4" s="1"/>
  <c r="M19" i="4"/>
  <c r="R19" i="4" s="1"/>
  <c r="U19" i="4" s="1"/>
  <c r="V19" i="4" s="1"/>
  <c r="Q18" i="4"/>
  <c r="N18" i="4"/>
  <c r="Q17" i="4"/>
  <c r="O17" i="4"/>
  <c r="N17" i="4"/>
  <c r="Q16" i="4"/>
  <c r="O15" i="4"/>
  <c r="Q13" i="4"/>
  <c r="N13" i="4"/>
  <c r="M13" i="4"/>
  <c r="Q12" i="4"/>
  <c r="O11" i="4"/>
  <c r="M11" i="4"/>
  <c r="O10" i="4"/>
  <c r="N10" i="4"/>
  <c r="R10" i="4" s="1"/>
  <c r="U10" i="4" s="1"/>
  <c r="M10" i="4"/>
  <c r="O9" i="4"/>
  <c r="M9" i="4"/>
  <c r="Q8" i="4"/>
  <c r="O8" i="4"/>
  <c r="O6" i="4"/>
  <c r="M6" i="4"/>
  <c r="A1" i="4"/>
  <c r="J23" i="3"/>
  <c r="Q107" i="4" s="1"/>
  <c r="H23" i="3"/>
  <c r="O108" i="4" s="1"/>
  <c r="G23" i="3"/>
  <c r="N108" i="4" s="1"/>
  <c r="J22" i="3"/>
  <c r="Q47" i="4" s="1"/>
  <c r="H22" i="3"/>
  <c r="H21" i="5" s="1"/>
  <c r="G22" i="3"/>
  <c r="N47" i="4" s="1"/>
  <c r="F22" i="3"/>
  <c r="M21" i="3"/>
  <c r="N21" i="3" s="1"/>
  <c r="K21" i="3"/>
  <c r="L21" i="3" s="1"/>
  <c r="J21" i="3"/>
  <c r="I20" i="5" s="1"/>
  <c r="H21" i="3"/>
  <c r="H20" i="5" s="1"/>
  <c r="G21" i="3"/>
  <c r="N5" i="4" s="1"/>
  <c r="M20" i="3"/>
  <c r="N20" i="3" s="1"/>
  <c r="K20" i="3"/>
  <c r="L20" i="3" s="1"/>
  <c r="J20" i="3"/>
  <c r="I19" i="5" s="1"/>
  <c r="H20" i="3"/>
  <c r="H19" i="5" s="1"/>
  <c r="G20" i="3"/>
  <c r="G19" i="5" s="1"/>
  <c r="J19" i="3"/>
  <c r="Q115" i="4" s="1"/>
  <c r="H19" i="3"/>
  <c r="O44" i="4" s="1"/>
  <c r="G19" i="3"/>
  <c r="N44" i="4" s="1"/>
  <c r="J18" i="3"/>
  <c r="Q51" i="4" s="1"/>
  <c r="H18" i="3"/>
  <c r="O51" i="4" s="1"/>
  <c r="G18" i="3"/>
  <c r="N51" i="4" s="1"/>
  <c r="F18" i="3"/>
  <c r="M17" i="3"/>
  <c r="N17" i="3" s="1"/>
  <c r="K17" i="3"/>
  <c r="L17" i="3" s="1"/>
  <c r="J17" i="3"/>
  <c r="Q19" i="4" s="1"/>
  <c r="H17" i="3"/>
  <c r="O19" i="4" s="1"/>
  <c r="G17" i="3"/>
  <c r="G16" i="5" s="1"/>
  <c r="K16" i="3"/>
  <c r="L16" i="3" s="1"/>
  <c r="J16" i="3"/>
  <c r="Q25" i="4" s="1"/>
  <c r="H16" i="3"/>
  <c r="O22" i="4" s="1"/>
  <c r="G16" i="3"/>
  <c r="N25" i="4" s="1"/>
  <c r="J15" i="3"/>
  <c r="H15" i="3"/>
  <c r="H14" i="5" s="1"/>
  <c r="G15" i="3"/>
  <c r="K15" i="3" s="1"/>
  <c r="M15" i="3" s="1"/>
  <c r="N15" i="3" s="1"/>
  <c r="J14" i="3"/>
  <c r="Q90" i="4" s="1"/>
  <c r="H14" i="3"/>
  <c r="O90" i="4" s="1"/>
  <c r="G14" i="3"/>
  <c r="N90" i="4" s="1"/>
  <c r="F14" i="3"/>
  <c r="M13" i="3"/>
  <c r="N13" i="3" s="1"/>
  <c r="K13" i="3"/>
  <c r="L13" i="3" s="1"/>
  <c r="J13" i="3"/>
  <c r="Q29" i="4" s="1"/>
  <c r="H13" i="3"/>
  <c r="O29" i="4" s="1"/>
  <c r="G13" i="3"/>
  <c r="N29" i="4" s="1"/>
  <c r="K12" i="3"/>
  <c r="M12" i="3" s="1"/>
  <c r="N12" i="3" s="1"/>
  <c r="J12" i="3"/>
  <c r="I11" i="5" s="1"/>
  <c r="H12" i="3"/>
  <c r="H11" i="5" s="1"/>
  <c r="G12" i="3"/>
  <c r="G11" i="5" s="1"/>
  <c r="J11" i="3"/>
  <c r="Q129" i="4" s="1"/>
  <c r="H11" i="3"/>
  <c r="O129" i="4" s="1"/>
  <c r="G11" i="3"/>
  <c r="N133" i="4" s="1"/>
  <c r="J10" i="3"/>
  <c r="Q136" i="4" s="1"/>
  <c r="H10" i="3"/>
  <c r="O76" i="4" s="1"/>
  <c r="G10" i="3"/>
  <c r="N69" i="4" s="1"/>
  <c r="M9" i="3"/>
  <c r="N9" i="3" s="1"/>
  <c r="K9" i="3"/>
  <c r="L9" i="3" s="1"/>
  <c r="J9" i="3"/>
  <c r="I8" i="5" s="1"/>
  <c r="H9" i="3"/>
  <c r="O54" i="4" s="1"/>
  <c r="G9" i="3"/>
  <c r="G8" i="5" s="1"/>
  <c r="K8" i="3"/>
  <c r="M8" i="3" s="1"/>
  <c r="N8" i="3" s="1"/>
  <c r="J8" i="3"/>
  <c r="I7" i="5" s="1"/>
  <c r="H8" i="3"/>
  <c r="O32" i="4" s="1"/>
  <c r="G8" i="3"/>
  <c r="N32" i="4" s="1"/>
  <c r="F8" i="3"/>
  <c r="J7" i="3"/>
  <c r="H7" i="3"/>
  <c r="O31" i="4" s="1"/>
  <c r="G7" i="3"/>
  <c r="K7" i="3" s="1"/>
  <c r="M7" i="3" s="1"/>
  <c r="N7" i="3" s="1"/>
  <c r="J6" i="3"/>
  <c r="Q122" i="4" s="1"/>
  <c r="H6" i="3"/>
  <c r="O122" i="4" s="1"/>
  <c r="G6" i="3"/>
  <c r="N101" i="4" s="1"/>
  <c r="A1" i="3"/>
  <c r="A1" i="2"/>
  <c r="H14" i="1"/>
  <c r="H13" i="1"/>
  <c r="E24" i="1"/>
  <c r="E23" i="1"/>
  <c r="E22" i="1"/>
  <c r="E21" i="1"/>
  <c r="E20" i="1"/>
  <c r="E19" i="1"/>
  <c r="E18" i="1"/>
  <c r="E17" i="1"/>
  <c r="E16" i="1"/>
  <c r="E15" i="1"/>
  <c r="E14" i="1"/>
  <c r="E13" i="1"/>
  <c r="B30" i="1"/>
  <c r="C8" i="10" s="1"/>
  <c r="K8" i="10" s="1"/>
  <c r="L8" i="10" s="1"/>
  <c r="B29" i="1"/>
  <c r="C7" i="12" s="1"/>
  <c r="L7" i="12" s="1"/>
  <c r="M7" i="12" s="1"/>
  <c r="B28" i="1"/>
  <c r="B27" i="1"/>
  <c r="M32" i="4" s="1"/>
  <c r="B26" i="1"/>
  <c r="B25" i="1"/>
  <c r="B24" i="1"/>
  <c r="B23" i="1"/>
  <c r="E12" i="5" s="1"/>
  <c r="B22" i="1"/>
  <c r="B21" i="1"/>
  <c r="M101" i="4" s="1"/>
  <c r="B20" i="1"/>
  <c r="B19" i="1"/>
  <c r="M126" i="4" s="1"/>
  <c r="B18" i="1"/>
  <c r="B17" i="1"/>
  <c r="E20" i="5" s="1"/>
  <c r="B16" i="1"/>
  <c r="B15" i="1"/>
  <c r="B14" i="1"/>
  <c r="B13" i="1"/>
  <c r="L7" i="3" l="1"/>
  <c r="L15" i="3"/>
  <c r="R101" i="4"/>
  <c r="U101" i="4" s="1"/>
  <c r="V101" i="4" s="1"/>
  <c r="R47" i="4"/>
  <c r="U47" i="4" s="1"/>
  <c r="V47" i="4" s="1"/>
  <c r="T28" i="4"/>
  <c r="R32" i="4"/>
  <c r="U32" i="4" s="1"/>
  <c r="V32" i="4" s="1"/>
  <c r="T51" i="4"/>
  <c r="T19" i="4"/>
  <c r="H14" i="7"/>
  <c r="H17" i="7" s="1"/>
  <c r="D5" i="13" s="1"/>
  <c r="D9" i="13" s="1"/>
  <c r="C14" i="8"/>
  <c r="B14" i="8" s="1"/>
  <c r="R51" i="4"/>
  <c r="U51" i="4" s="1"/>
  <c r="V51" i="4" s="1"/>
  <c r="S28" i="4"/>
  <c r="J14" i="7"/>
  <c r="J17" i="7" s="1"/>
  <c r="C15" i="8"/>
  <c r="B15" i="8" s="1"/>
  <c r="M16" i="3"/>
  <c r="N16" i="3" s="1"/>
  <c r="O5" i="4"/>
  <c r="M23" i="4"/>
  <c r="R23" i="4" s="1"/>
  <c r="U23" i="4" s="1"/>
  <c r="V23" i="4" s="1"/>
  <c r="N30" i="4"/>
  <c r="O37" i="4"/>
  <c r="Q44" i="4"/>
  <c r="M55" i="4"/>
  <c r="N62" i="4"/>
  <c r="O69" i="4"/>
  <c r="Q76" i="4"/>
  <c r="M87" i="4"/>
  <c r="N94" i="4"/>
  <c r="O101" i="4"/>
  <c r="Q108" i="4"/>
  <c r="M119" i="4"/>
  <c r="N126" i="4"/>
  <c r="O133" i="4"/>
  <c r="G12" i="5"/>
  <c r="G20" i="5"/>
  <c r="Q5" i="4"/>
  <c r="M16" i="4"/>
  <c r="O30" i="4"/>
  <c r="Q37" i="4"/>
  <c r="M48" i="4"/>
  <c r="N55" i="4"/>
  <c r="O62" i="4"/>
  <c r="Q69" i="4"/>
  <c r="M80" i="4"/>
  <c r="N87" i="4"/>
  <c r="O94" i="4"/>
  <c r="Q101" i="4"/>
  <c r="M112" i="4"/>
  <c r="N119" i="4"/>
  <c r="O126" i="4"/>
  <c r="Q133" i="4"/>
  <c r="H12" i="5"/>
  <c r="N16" i="4"/>
  <c r="M41" i="4"/>
  <c r="R41" i="4" s="1"/>
  <c r="N48" i="4"/>
  <c r="M73" i="4"/>
  <c r="N80" i="4"/>
  <c r="M105" i="4"/>
  <c r="N112" i="4"/>
  <c r="O119" i="4"/>
  <c r="Q126" i="4"/>
  <c r="M137" i="4"/>
  <c r="I12" i="5"/>
  <c r="N9" i="4"/>
  <c r="O16" i="4"/>
  <c r="Q23" i="4"/>
  <c r="M34" i="4"/>
  <c r="R34" i="4" s="1"/>
  <c r="U34" i="4" s="1"/>
  <c r="V34" i="4" s="1"/>
  <c r="Q55" i="4"/>
  <c r="M66" i="4"/>
  <c r="N73" i="4"/>
  <c r="O80" i="4"/>
  <c r="Q87" i="4"/>
  <c r="M98" i="4"/>
  <c r="N105" i="4"/>
  <c r="O112" i="4"/>
  <c r="Q119" i="4"/>
  <c r="M130" i="4"/>
  <c r="N137" i="4"/>
  <c r="E5" i="5"/>
  <c r="E13" i="5"/>
  <c r="E21" i="5"/>
  <c r="K8" i="7"/>
  <c r="K12" i="7" s="1"/>
  <c r="K14" i="7" s="1"/>
  <c r="K17" i="7" s="1"/>
  <c r="K19" i="7" s="1"/>
  <c r="N66" i="4"/>
  <c r="Q80" i="4"/>
  <c r="M91" i="4"/>
  <c r="N98" i="4"/>
  <c r="Q112" i="4"/>
  <c r="M123" i="4"/>
  <c r="N130" i="4"/>
  <c r="O137" i="4"/>
  <c r="G5" i="5"/>
  <c r="G13" i="5"/>
  <c r="G21" i="5"/>
  <c r="C8" i="12"/>
  <c r="L8" i="12" s="1"/>
  <c r="M8" i="12" s="1"/>
  <c r="Q9" i="4"/>
  <c r="M20" i="4"/>
  <c r="N27" i="4"/>
  <c r="O34" i="4"/>
  <c r="Q41" i="4"/>
  <c r="M52" i="4"/>
  <c r="N59" i="4"/>
  <c r="O66" i="4"/>
  <c r="Q73" i="4"/>
  <c r="M84" i="4"/>
  <c r="N91" i="4"/>
  <c r="O98" i="4"/>
  <c r="Q105" i="4"/>
  <c r="M116" i="4"/>
  <c r="N123" i="4"/>
  <c r="O130" i="4"/>
  <c r="Q137" i="4"/>
  <c r="H5" i="5"/>
  <c r="H13" i="5"/>
  <c r="F6" i="3"/>
  <c r="F10" i="3"/>
  <c r="N20" i="4"/>
  <c r="M45" i="4"/>
  <c r="N52" i="4"/>
  <c r="O59" i="4"/>
  <c r="Q66" i="4"/>
  <c r="M77" i="4"/>
  <c r="N84" i="4"/>
  <c r="O91" i="4"/>
  <c r="Q98" i="4"/>
  <c r="M109" i="4"/>
  <c r="N116" i="4"/>
  <c r="O123" i="4"/>
  <c r="Q130" i="4"/>
  <c r="I5" i="5"/>
  <c r="I13" i="5"/>
  <c r="I21" i="5"/>
  <c r="N109" i="4"/>
  <c r="M134" i="4"/>
  <c r="E6" i="5"/>
  <c r="E14" i="5"/>
  <c r="E22" i="5"/>
  <c r="C6" i="11"/>
  <c r="K6" i="11" s="1"/>
  <c r="M38" i="4"/>
  <c r="N6" i="4"/>
  <c r="O13" i="4"/>
  <c r="Q20" i="4"/>
  <c r="M31" i="4"/>
  <c r="N38" i="4"/>
  <c r="O45" i="4"/>
  <c r="Q52" i="4"/>
  <c r="M63" i="4"/>
  <c r="N70" i="4"/>
  <c r="O77" i="4"/>
  <c r="Q84" i="4"/>
  <c r="M95" i="4"/>
  <c r="N102" i="4"/>
  <c r="O109" i="4"/>
  <c r="Q116" i="4"/>
  <c r="M127" i="4"/>
  <c r="N134" i="4"/>
  <c r="G6" i="5"/>
  <c r="G14" i="5"/>
  <c r="G22" i="5"/>
  <c r="M70" i="4"/>
  <c r="N77" i="4"/>
  <c r="M24" i="4"/>
  <c r="N31" i="4"/>
  <c r="O38" i="4"/>
  <c r="M56" i="4"/>
  <c r="N63" i="4"/>
  <c r="O70" i="4"/>
  <c r="Q77" i="4"/>
  <c r="M88" i="4"/>
  <c r="N95" i="4"/>
  <c r="O102" i="4"/>
  <c r="Q109" i="4"/>
  <c r="M120" i="4"/>
  <c r="N127" i="4"/>
  <c r="O134" i="4"/>
  <c r="H6" i="5"/>
  <c r="H22" i="5"/>
  <c r="K14" i="3"/>
  <c r="K18" i="3"/>
  <c r="K22" i="3"/>
  <c r="Q6" i="4"/>
  <c r="R13" i="4"/>
  <c r="M17" i="4"/>
  <c r="R17" i="4" s="1"/>
  <c r="N24" i="4"/>
  <c r="Q38" i="4"/>
  <c r="R45" i="4"/>
  <c r="M49" i="4"/>
  <c r="N56" i="4"/>
  <c r="O63" i="4"/>
  <c r="Q70" i="4"/>
  <c r="M81" i="4"/>
  <c r="N88" i="4"/>
  <c r="O95" i="4"/>
  <c r="Q102" i="4"/>
  <c r="M113" i="4"/>
  <c r="N120" i="4"/>
  <c r="O127" i="4"/>
  <c r="Q134" i="4"/>
  <c r="I6" i="5"/>
  <c r="I14" i="5"/>
  <c r="I22" i="5"/>
  <c r="K10" i="3"/>
  <c r="M42" i="4"/>
  <c r="R42" i="4" s="1"/>
  <c r="N49" i="4"/>
  <c r="M74" i="4"/>
  <c r="N81" i="4"/>
  <c r="O88" i="4"/>
  <c r="Q95" i="4"/>
  <c r="M106" i="4"/>
  <c r="N113" i="4"/>
  <c r="O120" i="4"/>
  <c r="Q127" i="4"/>
  <c r="M138" i="4"/>
  <c r="E7" i="5"/>
  <c r="E15" i="5"/>
  <c r="C7" i="11"/>
  <c r="K7" i="11" s="1"/>
  <c r="L7" i="11" s="1"/>
  <c r="M35" i="4"/>
  <c r="M67" i="4"/>
  <c r="N74" i="4"/>
  <c r="O81" i="4"/>
  <c r="M99" i="4"/>
  <c r="N106" i="4"/>
  <c r="O113" i="4"/>
  <c r="Q120" i="4"/>
  <c r="M131" i="4"/>
  <c r="N138" i="4"/>
  <c r="G7" i="5"/>
  <c r="G15" i="5"/>
  <c r="N67" i="4"/>
  <c r="Q81" i="4"/>
  <c r="M92" i="4"/>
  <c r="N99" i="4"/>
  <c r="Q113" i="4"/>
  <c r="M124" i="4"/>
  <c r="N131" i="4"/>
  <c r="O138" i="4"/>
  <c r="H7" i="5"/>
  <c r="H15" i="5"/>
  <c r="F7" i="3"/>
  <c r="F11" i="3"/>
  <c r="F15" i="3"/>
  <c r="F19" i="3"/>
  <c r="F23" i="3"/>
  <c r="Q10" i="4"/>
  <c r="T10" i="4" s="1"/>
  <c r="M21" i="4"/>
  <c r="R21" i="4" s="1"/>
  <c r="O35" i="4"/>
  <c r="M53" i="4"/>
  <c r="R53" i="4" s="1"/>
  <c r="N60" i="4"/>
  <c r="O67" i="4"/>
  <c r="Q74" i="4"/>
  <c r="M85" i="4"/>
  <c r="N92" i="4"/>
  <c r="O99" i="4"/>
  <c r="Q106" i="4"/>
  <c r="M117" i="4"/>
  <c r="N124" i="4"/>
  <c r="O131" i="4"/>
  <c r="Q138" i="4"/>
  <c r="I15" i="5"/>
  <c r="N35" i="4"/>
  <c r="M78" i="4"/>
  <c r="N85" i="4"/>
  <c r="Q99" i="4"/>
  <c r="M110" i="4"/>
  <c r="N117" i="4"/>
  <c r="O124" i="4"/>
  <c r="Q131" i="4"/>
  <c r="E8" i="5"/>
  <c r="E16" i="5"/>
  <c r="C8" i="11"/>
  <c r="K8" i="11" s="1"/>
  <c r="L8" i="11" s="1"/>
  <c r="M46" i="4"/>
  <c r="M7" i="4"/>
  <c r="S10" i="4"/>
  <c r="N14" i="4"/>
  <c r="O21" i="4"/>
  <c r="M39" i="4"/>
  <c r="N46" i="4"/>
  <c r="O53" i="4"/>
  <c r="Q60" i="4"/>
  <c r="M71" i="4"/>
  <c r="N78" i="4"/>
  <c r="O85" i="4"/>
  <c r="Q92" i="4"/>
  <c r="M103" i="4"/>
  <c r="N110" i="4"/>
  <c r="O117" i="4"/>
  <c r="Q124" i="4"/>
  <c r="M135" i="4"/>
  <c r="N7" i="4"/>
  <c r="O14" i="4"/>
  <c r="N39" i="4"/>
  <c r="O46" i="4"/>
  <c r="Q53" i="4"/>
  <c r="M64" i="4"/>
  <c r="N71" i="4"/>
  <c r="O78" i="4"/>
  <c r="Q85" i="4"/>
  <c r="M96" i="4"/>
  <c r="N103" i="4"/>
  <c r="O110" i="4"/>
  <c r="Q117" i="4"/>
  <c r="M128" i="4"/>
  <c r="N135" i="4"/>
  <c r="H8" i="5"/>
  <c r="H16" i="5"/>
  <c r="Q35" i="4"/>
  <c r="K11" i="3"/>
  <c r="M11" i="3" s="1"/>
  <c r="N11" i="3" s="1"/>
  <c r="K19" i="3"/>
  <c r="M19" i="3" s="1"/>
  <c r="N19" i="3" s="1"/>
  <c r="K23" i="3"/>
  <c r="M23" i="3" s="1"/>
  <c r="N23" i="3" s="1"/>
  <c r="O7" i="4"/>
  <c r="Q14" i="4"/>
  <c r="M25" i="4"/>
  <c r="R25" i="4" s="1"/>
  <c r="O39" i="4"/>
  <c r="Q46" i="4"/>
  <c r="M57" i="4"/>
  <c r="N64" i="4"/>
  <c r="O71" i="4"/>
  <c r="Q78" i="4"/>
  <c r="M89" i="4"/>
  <c r="N96" i="4"/>
  <c r="O103" i="4"/>
  <c r="Q110" i="4"/>
  <c r="M121" i="4"/>
  <c r="N128" i="4"/>
  <c r="O135" i="4"/>
  <c r="I16" i="5"/>
  <c r="M14" i="4"/>
  <c r="Q67" i="4"/>
  <c r="Q7" i="4"/>
  <c r="M18" i="4"/>
  <c r="Q39" i="4"/>
  <c r="M50" i="4"/>
  <c r="N57" i="4"/>
  <c r="O64" i="4"/>
  <c r="Q71" i="4"/>
  <c r="M82" i="4"/>
  <c r="N89" i="4"/>
  <c r="O96" i="4"/>
  <c r="Q103" i="4"/>
  <c r="M114" i="4"/>
  <c r="N121" i="4"/>
  <c r="O128" i="4"/>
  <c r="Q135" i="4"/>
  <c r="E9" i="5"/>
  <c r="E17" i="5"/>
  <c r="M43" i="4"/>
  <c r="M75" i="4"/>
  <c r="M107" i="4"/>
  <c r="M139" i="4"/>
  <c r="G9" i="5"/>
  <c r="G17" i="5"/>
  <c r="K6" i="3"/>
  <c r="N50" i="4"/>
  <c r="N82" i="4"/>
  <c r="Q96" i="4"/>
  <c r="N114" i="4"/>
  <c r="O121" i="4"/>
  <c r="Q128" i="4"/>
  <c r="N11" i="4"/>
  <c r="O18" i="4"/>
  <c r="M36" i="4"/>
  <c r="N43" i="4"/>
  <c r="O50" i="4"/>
  <c r="Q57" i="4"/>
  <c r="M68" i="4"/>
  <c r="N75" i="4"/>
  <c r="O82" i="4"/>
  <c r="Q89" i="4"/>
  <c r="M100" i="4"/>
  <c r="N107" i="4"/>
  <c r="O114" i="4"/>
  <c r="Q121" i="4"/>
  <c r="M132" i="4"/>
  <c r="N139" i="4"/>
  <c r="H9" i="5"/>
  <c r="H17" i="5"/>
  <c r="F16" i="3"/>
  <c r="Q50" i="4"/>
  <c r="M93" i="4"/>
  <c r="N100" i="4"/>
  <c r="O107" i="4"/>
  <c r="Q114" i="4"/>
  <c r="M125" i="4"/>
  <c r="N132" i="4"/>
  <c r="O139" i="4"/>
  <c r="I9" i="5"/>
  <c r="I17" i="5"/>
  <c r="C6" i="10"/>
  <c r="K6" i="10" s="1"/>
  <c r="F20" i="3"/>
  <c r="M29" i="4"/>
  <c r="R29" i="4" s="1"/>
  <c r="N36" i="4"/>
  <c r="M61" i="4"/>
  <c r="N68" i="4"/>
  <c r="O75" i="4"/>
  <c r="Q82" i="4"/>
  <c r="Q11" i="4"/>
  <c r="R18" i="4"/>
  <c r="U18" i="4" s="1"/>
  <c r="V18" i="4" s="1"/>
  <c r="M22" i="4"/>
  <c r="R22" i="4" s="1"/>
  <c r="T22" i="4" s="1"/>
  <c r="O36" i="4"/>
  <c r="Q43" i="4"/>
  <c r="M54" i="4"/>
  <c r="R54" i="4" s="1"/>
  <c r="N61" i="4"/>
  <c r="O68" i="4"/>
  <c r="Q75" i="4"/>
  <c r="M86" i="4"/>
  <c r="N93" i="4"/>
  <c r="O100" i="4"/>
  <c r="M118" i="4"/>
  <c r="N125" i="4"/>
  <c r="O132" i="4"/>
  <c r="Q139" i="4"/>
  <c r="E10" i="5"/>
  <c r="E18" i="5"/>
  <c r="F12" i="3"/>
  <c r="M47" i="4"/>
  <c r="Q68" i="4"/>
  <c r="M79" i="4"/>
  <c r="N86" i="4"/>
  <c r="O93" i="4"/>
  <c r="Q100" i="4"/>
  <c r="M111" i="4"/>
  <c r="N118" i="4"/>
  <c r="O125" i="4"/>
  <c r="Q132" i="4"/>
  <c r="G10" i="5"/>
  <c r="G18" i="5"/>
  <c r="C6" i="12"/>
  <c r="L6" i="12" s="1"/>
  <c r="M15" i="4"/>
  <c r="Q36" i="4"/>
  <c r="O61" i="4"/>
  <c r="M8" i="4"/>
  <c r="N15" i="4"/>
  <c r="M40" i="4"/>
  <c r="Q61" i="4"/>
  <c r="M72" i="4"/>
  <c r="N79" i="4"/>
  <c r="O86" i="4"/>
  <c r="Q93" i="4"/>
  <c r="M104" i="4"/>
  <c r="N111" i="4"/>
  <c r="O118" i="4"/>
  <c r="Q125" i="4"/>
  <c r="M136" i="4"/>
  <c r="H10" i="5"/>
  <c r="H18" i="5"/>
  <c r="N8" i="4"/>
  <c r="N40" i="4"/>
  <c r="M65" i="4"/>
  <c r="N72" i="4"/>
  <c r="O79" i="4"/>
  <c r="M97" i="4"/>
  <c r="N104" i="4"/>
  <c r="O111" i="4"/>
  <c r="Q118" i="4"/>
  <c r="M129" i="4"/>
  <c r="N136" i="4"/>
  <c r="I10" i="5"/>
  <c r="I18" i="5"/>
  <c r="L8" i="3"/>
  <c r="L12" i="3"/>
  <c r="Q15" i="4"/>
  <c r="M26" i="4"/>
  <c r="R26" i="4" s="1"/>
  <c r="O40" i="4"/>
  <c r="M58" i="4"/>
  <c r="R58" i="4" s="1"/>
  <c r="N65" i="4"/>
  <c r="Q79" i="4"/>
  <c r="M90" i="4"/>
  <c r="R90" i="4" s="1"/>
  <c r="N97" i="4"/>
  <c r="O104" i="4"/>
  <c r="Q111" i="4"/>
  <c r="M122" i="4"/>
  <c r="N129" i="4"/>
  <c r="O136" i="4"/>
  <c r="E11" i="5"/>
  <c r="E19" i="5"/>
  <c r="N122" i="4"/>
  <c r="M12" i="4"/>
  <c r="O26" i="4"/>
  <c r="M44" i="4"/>
  <c r="R44" i="4" s="1"/>
  <c r="O58" i="4"/>
  <c r="Q65" i="4"/>
  <c r="M76" i="4"/>
  <c r="N83" i="4"/>
  <c r="Q97" i="4"/>
  <c r="M108" i="4"/>
  <c r="R108" i="4" s="1"/>
  <c r="N115" i="4"/>
  <c r="F13" i="3"/>
  <c r="F17" i="3"/>
  <c r="M5" i="4"/>
  <c r="R5" i="4" s="1"/>
  <c r="N12" i="4"/>
  <c r="Q26" i="4"/>
  <c r="R33" i="4"/>
  <c r="U33" i="4" s="1"/>
  <c r="V33" i="4" s="1"/>
  <c r="M37" i="4"/>
  <c r="Q58" i="4"/>
  <c r="M69" i="4"/>
  <c r="R69" i="4" s="1"/>
  <c r="N76" i="4"/>
  <c r="O83" i="4"/>
  <c r="O115" i="4"/>
  <c r="M133" i="4"/>
  <c r="R133" i="4" s="1"/>
  <c r="F9" i="3"/>
  <c r="F21" i="3"/>
  <c r="O12" i="4"/>
  <c r="M30" i="4"/>
  <c r="N37" i="4"/>
  <c r="M62" i="4"/>
  <c r="Q83" i="4"/>
  <c r="M94" i="4"/>
  <c r="U44" i="4" l="1"/>
  <c r="V44" i="4" s="1"/>
  <c r="S44" i="4"/>
  <c r="U133" i="4"/>
  <c r="V133" i="4" s="1"/>
  <c r="S133" i="4"/>
  <c r="U26" i="4"/>
  <c r="V26" i="4" s="1"/>
  <c r="S26" i="4"/>
  <c r="U42" i="4"/>
  <c r="V42" i="4" s="1"/>
  <c r="S42" i="4"/>
  <c r="T42" i="4"/>
  <c r="U17" i="4"/>
  <c r="V17" i="4" s="1"/>
  <c r="T17" i="4"/>
  <c r="S17" i="4"/>
  <c r="U21" i="4"/>
  <c r="V21" i="4" s="1"/>
  <c r="T21" i="4"/>
  <c r="S21" i="4"/>
  <c r="U90" i="4"/>
  <c r="V90" i="4" s="1"/>
  <c r="T90" i="4"/>
  <c r="S90" i="4"/>
  <c r="U25" i="4"/>
  <c r="V25" i="4" s="1"/>
  <c r="T25" i="4"/>
  <c r="S25" i="4"/>
  <c r="R140" i="4"/>
  <c r="U5" i="4"/>
  <c r="S5" i="4"/>
  <c r="S140" i="4" s="1"/>
  <c r="U53" i="4"/>
  <c r="V53" i="4" s="1"/>
  <c r="S53" i="4"/>
  <c r="U29" i="4"/>
  <c r="V29" i="4" s="1"/>
  <c r="T29" i="4"/>
  <c r="S29" i="4"/>
  <c r="U69" i="4"/>
  <c r="V69" i="4" s="1"/>
  <c r="S69" i="4"/>
  <c r="U108" i="4"/>
  <c r="V108" i="4" s="1"/>
  <c r="S108" i="4"/>
  <c r="U58" i="4"/>
  <c r="V58" i="4" s="1"/>
  <c r="S58" i="4"/>
  <c r="R24" i="4"/>
  <c r="S24" i="4"/>
  <c r="R102" i="4"/>
  <c r="U102" i="4" s="1"/>
  <c r="V102" i="4" s="1"/>
  <c r="R48" i="4"/>
  <c r="S47" i="4"/>
  <c r="R52" i="4"/>
  <c r="U52" i="4" s="1"/>
  <c r="V52" i="4" s="1"/>
  <c r="R98" i="4"/>
  <c r="U98" i="4" s="1"/>
  <c r="V98" i="4" s="1"/>
  <c r="S41" i="4"/>
  <c r="U41" i="4"/>
  <c r="V41" i="4" s="1"/>
  <c r="T13" i="4"/>
  <c r="U13" i="4"/>
  <c r="V13" i="4" s="1"/>
  <c r="S16" i="4"/>
  <c r="R16" i="4"/>
  <c r="T44" i="4"/>
  <c r="S101" i="4"/>
  <c r="T89" i="4"/>
  <c r="R75" i="4"/>
  <c r="U75" i="4" s="1"/>
  <c r="V75" i="4" s="1"/>
  <c r="T6" i="4"/>
  <c r="R20" i="4"/>
  <c r="U20" i="4" s="1"/>
  <c r="V20" i="4" s="1"/>
  <c r="S79" i="4"/>
  <c r="R79" i="4"/>
  <c r="U79" i="4" s="1"/>
  <c r="V79" i="4" s="1"/>
  <c r="R107" i="4"/>
  <c r="R57" i="4"/>
  <c r="U57" i="4" s="1"/>
  <c r="V57" i="4" s="1"/>
  <c r="M22" i="3"/>
  <c r="N22" i="3" s="1"/>
  <c r="L22" i="3"/>
  <c r="R70" i="4"/>
  <c r="U70" i="4" s="1"/>
  <c r="V70" i="4" s="1"/>
  <c r="S66" i="4"/>
  <c r="R66" i="4"/>
  <c r="U66" i="4" s="1"/>
  <c r="V66" i="4" s="1"/>
  <c r="T133" i="4"/>
  <c r="R30" i="4"/>
  <c r="R65" i="4"/>
  <c r="U65" i="4" s="1"/>
  <c r="V65" i="4" s="1"/>
  <c r="R76" i="4"/>
  <c r="U76" i="4" s="1"/>
  <c r="V76" i="4" s="1"/>
  <c r="R14" i="4"/>
  <c r="U14" i="4" s="1"/>
  <c r="V14" i="4" s="1"/>
  <c r="M18" i="3"/>
  <c r="N18" i="3" s="1"/>
  <c r="L18" i="3"/>
  <c r="T121" i="4"/>
  <c r="R113" i="4"/>
  <c r="U113" i="4" s="1"/>
  <c r="V113" i="4" s="1"/>
  <c r="M14" i="3"/>
  <c r="N14" i="3" s="1"/>
  <c r="L14" i="3"/>
  <c r="T52" i="4"/>
  <c r="R119" i="4"/>
  <c r="U119" i="4" s="1"/>
  <c r="V119" i="4" s="1"/>
  <c r="H6" i="6"/>
  <c r="J6" i="6" s="1"/>
  <c r="S54" i="4"/>
  <c r="U54" i="4"/>
  <c r="V54" i="4" s="1"/>
  <c r="R15" i="4"/>
  <c r="U15" i="4" s="1"/>
  <c r="V15" i="4" s="1"/>
  <c r="S15" i="4"/>
  <c r="T58" i="4"/>
  <c r="S38" i="4"/>
  <c r="R38" i="4"/>
  <c r="U38" i="4" s="1"/>
  <c r="V38" i="4" s="1"/>
  <c r="I6" i="6"/>
  <c r="L6" i="6" s="1"/>
  <c r="G6" i="6"/>
  <c r="K6" i="6" s="1"/>
  <c r="T101" i="4"/>
  <c r="R137" i="4"/>
  <c r="U137" i="4" s="1"/>
  <c r="V137" i="4" s="1"/>
  <c r="T66" i="4"/>
  <c r="R46" i="4"/>
  <c r="U46" i="4" s="1"/>
  <c r="V46" i="4" s="1"/>
  <c r="R36" i="4"/>
  <c r="U36" i="4" s="1"/>
  <c r="V36" i="4" s="1"/>
  <c r="R11" i="4"/>
  <c r="U11" i="4" s="1"/>
  <c r="V11" i="4" s="1"/>
  <c r="L19" i="3"/>
  <c r="R81" i="4"/>
  <c r="U81" i="4" s="1"/>
  <c r="V81" i="4" s="1"/>
  <c r="R127" i="4"/>
  <c r="U127" i="4" s="1"/>
  <c r="V127" i="4" s="1"/>
  <c r="R123" i="4"/>
  <c r="S123" i="4" s="1"/>
  <c r="R87" i="4"/>
  <c r="U87" i="4" s="1"/>
  <c r="V87" i="4" s="1"/>
  <c r="J19" i="7"/>
  <c r="E5" i="13"/>
  <c r="F5" i="13" s="1"/>
  <c r="V10" i="4"/>
  <c r="T18" i="4"/>
  <c r="M6" i="12"/>
  <c r="L9" i="12"/>
  <c r="M9" i="12" s="1"/>
  <c r="T128" i="4"/>
  <c r="L11" i="3"/>
  <c r="S103" i="4"/>
  <c r="R103" i="4"/>
  <c r="U103" i="4" s="1"/>
  <c r="V103" i="4" s="1"/>
  <c r="T119" i="4"/>
  <c r="S13" i="4"/>
  <c r="R62" i="4"/>
  <c r="R49" i="4"/>
  <c r="T109" i="4"/>
  <c r="R6" i="4"/>
  <c r="U6" i="4" s="1"/>
  <c r="V6" i="4" s="1"/>
  <c r="T105" i="4"/>
  <c r="T69" i="4"/>
  <c r="L6" i="10"/>
  <c r="K9" i="10"/>
  <c r="R114" i="4"/>
  <c r="U114" i="4" s="1"/>
  <c r="V114" i="4" s="1"/>
  <c r="T67" i="4"/>
  <c r="T85" i="4"/>
  <c r="R131" i="4"/>
  <c r="U131" i="4" s="1"/>
  <c r="V131" i="4" s="1"/>
  <c r="R105" i="4"/>
  <c r="U105" i="4" s="1"/>
  <c r="V105" i="4" s="1"/>
  <c r="S32" i="4"/>
  <c r="R89" i="4"/>
  <c r="U89" i="4" s="1"/>
  <c r="V89" i="4" s="1"/>
  <c r="K9" i="11"/>
  <c r="L6" i="11"/>
  <c r="S91" i="4"/>
  <c r="R91" i="4"/>
  <c r="R55" i="4"/>
  <c r="U55" i="4" s="1"/>
  <c r="V55" i="4" s="1"/>
  <c r="R80" i="4"/>
  <c r="U80" i="4" s="1"/>
  <c r="V80" i="4" s="1"/>
  <c r="S71" i="4"/>
  <c r="R71" i="4"/>
  <c r="U71" i="4" s="1"/>
  <c r="V71" i="4" s="1"/>
  <c r="T87" i="4"/>
  <c r="T47" i="4"/>
  <c r="R97" i="4"/>
  <c r="U97" i="4" s="1"/>
  <c r="V97" i="4" s="1"/>
  <c r="U45" i="4"/>
  <c r="V45" i="4" s="1"/>
  <c r="T45" i="4"/>
  <c r="R72" i="4"/>
  <c r="S72" i="4" s="1"/>
  <c r="R99" i="4"/>
  <c r="U99" i="4" s="1"/>
  <c r="V99" i="4" s="1"/>
  <c r="T77" i="4"/>
  <c r="T73" i="4"/>
  <c r="R130" i="4"/>
  <c r="U130" i="4" s="1"/>
  <c r="V130" i="4" s="1"/>
  <c r="T53" i="4"/>
  <c r="R73" i="4"/>
  <c r="U73" i="4" s="1"/>
  <c r="V73" i="4" s="1"/>
  <c r="R12" i="4"/>
  <c r="R136" i="4"/>
  <c r="S136" i="4" s="1"/>
  <c r="M10" i="3"/>
  <c r="N10" i="3" s="1"/>
  <c r="L10" i="3"/>
  <c r="R63" i="4"/>
  <c r="S63" i="4" s="1"/>
  <c r="R59" i="4"/>
  <c r="S59" i="4" s="1"/>
  <c r="R84" i="4"/>
  <c r="U84" i="4" s="1"/>
  <c r="V84" i="4" s="1"/>
  <c r="T79" i="4"/>
  <c r="R135" i="4"/>
  <c r="U135" i="4" s="1"/>
  <c r="V135" i="4" s="1"/>
  <c r="R68" i="4"/>
  <c r="U68" i="4" s="1"/>
  <c r="V68" i="4" s="1"/>
  <c r="T132" i="4"/>
  <c r="R86" i="4"/>
  <c r="S86" i="4" s="1"/>
  <c r="S128" i="4"/>
  <c r="R128" i="4"/>
  <c r="U128" i="4" s="1"/>
  <c r="V128" i="4" s="1"/>
  <c r="R8" i="4"/>
  <c r="R39" i="4"/>
  <c r="U39" i="4" s="1"/>
  <c r="V39" i="4" s="1"/>
  <c r="R35" i="4"/>
  <c r="U35" i="4" s="1"/>
  <c r="V35" i="4" s="1"/>
  <c r="R67" i="4"/>
  <c r="U67" i="4" s="1"/>
  <c r="V67" i="4" s="1"/>
  <c r="R109" i="4"/>
  <c r="U109" i="4" s="1"/>
  <c r="V109" i="4" s="1"/>
  <c r="T5" i="4"/>
  <c r="T140" i="4" s="1"/>
  <c r="T43" i="4"/>
  <c r="T39" i="4"/>
  <c r="R120" i="4"/>
  <c r="U120" i="4" s="1"/>
  <c r="V120" i="4" s="1"/>
  <c r="T41" i="4"/>
  <c r="U22" i="4"/>
  <c r="V22" i="4" s="1"/>
  <c r="S22" i="4"/>
  <c r="T57" i="4"/>
  <c r="T118" i="4"/>
  <c r="T97" i="4"/>
  <c r="R40" i="4"/>
  <c r="S40" i="4" s="1"/>
  <c r="R122" i="4"/>
  <c r="S122" i="4"/>
  <c r="R100" i="4"/>
  <c r="U100" i="4" s="1"/>
  <c r="V100" i="4" s="1"/>
  <c r="R96" i="4"/>
  <c r="U96" i="4" s="1"/>
  <c r="V96" i="4" s="1"/>
  <c r="S7" i="4"/>
  <c r="R7" i="4"/>
  <c r="U7" i="4" s="1"/>
  <c r="V7" i="4" s="1"/>
  <c r="R31" i="4"/>
  <c r="S31" i="4" s="1"/>
  <c r="T23" i="4"/>
  <c r="T32" i="4"/>
  <c r="T103" i="4"/>
  <c r="S132" i="4"/>
  <c r="R132" i="4"/>
  <c r="U132" i="4" s="1"/>
  <c r="V132" i="4" s="1"/>
  <c r="R138" i="4"/>
  <c r="U138" i="4" s="1"/>
  <c r="V138" i="4" s="1"/>
  <c r="T102" i="4"/>
  <c r="R27" i="4"/>
  <c r="S23" i="4"/>
  <c r="R83" i="4"/>
  <c r="U83" i="4" s="1"/>
  <c r="V83" i="4" s="1"/>
  <c r="T96" i="4"/>
  <c r="R85" i="4"/>
  <c r="U85" i="4" s="1"/>
  <c r="V85" i="4" s="1"/>
  <c r="T83" i="4"/>
  <c r="T125" i="4"/>
  <c r="T50" i="4"/>
  <c r="T78" i="4"/>
  <c r="R124" i="4"/>
  <c r="U124" i="4" s="1"/>
  <c r="V124" i="4" s="1"/>
  <c r="S77" i="4"/>
  <c r="R77" i="4"/>
  <c r="U77" i="4" s="1"/>
  <c r="V77" i="4" s="1"/>
  <c r="S9" i="4"/>
  <c r="R9" i="4"/>
  <c r="U9" i="4" s="1"/>
  <c r="V9" i="4" s="1"/>
  <c r="R126" i="4"/>
  <c r="U126" i="4" s="1"/>
  <c r="V126" i="4" s="1"/>
  <c r="S51" i="4"/>
  <c r="R74" i="4"/>
  <c r="U74" i="4" s="1"/>
  <c r="V74" i="4" s="1"/>
  <c r="S74" i="4"/>
  <c r="T7" i="4"/>
  <c r="R115" i="4"/>
  <c r="S115" i="4" s="1"/>
  <c r="R118" i="4"/>
  <c r="U118" i="4" s="1"/>
  <c r="V118" i="4" s="1"/>
  <c r="R104" i="4"/>
  <c r="R125" i="4"/>
  <c r="U125" i="4" s="1"/>
  <c r="V125" i="4" s="1"/>
  <c r="R88" i="4"/>
  <c r="T9" i="4"/>
  <c r="T33" i="4"/>
  <c r="R60" i="4"/>
  <c r="U60" i="4" s="1"/>
  <c r="V60" i="4" s="1"/>
  <c r="T15" i="4"/>
  <c r="T26" i="4"/>
  <c r="R82" i="4"/>
  <c r="U82" i="4" s="1"/>
  <c r="V82" i="4" s="1"/>
  <c r="R110" i="4"/>
  <c r="U110" i="4" s="1"/>
  <c r="V110" i="4" s="1"/>
  <c r="R116" i="4"/>
  <c r="U116" i="4" s="1"/>
  <c r="V116" i="4" s="1"/>
  <c r="T108" i="4"/>
  <c r="T34" i="4"/>
  <c r="T38" i="4"/>
  <c r="L23" i="3"/>
  <c r="K24" i="3"/>
  <c r="M6" i="3"/>
  <c r="L6" i="3"/>
  <c r="R37" i="4"/>
  <c r="U37" i="4" s="1"/>
  <c r="V37" i="4" s="1"/>
  <c r="R111" i="4"/>
  <c r="U111" i="4" s="1"/>
  <c r="V111" i="4" s="1"/>
  <c r="S111" i="4"/>
  <c r="R64" i="4"/>
  <c r="S64" i="4" s="1"/>
  <c r="S106" i="4"/>
  <c r="R106" i="4"/>
  <c r="U106" i="4" s="1"/>
  <c r="V106" i="4" s="1"/>
  <c r="T70" i="4"/>
  <c r="T126" i="4"/>
  <c r="S45" i="4"/>
  <c r="T74" i="4"/>
  <c r="T14" i="4"/>
  <c r="R117" i="4"/>
  <c r="U117" i="4" s="1"/>
  <c r="V117" i="4" s="1"/>
  <c r="T65" i="4"/>
  <c r="T111" i="4"/>
  <c r="R93" i="4"/>
  <c r="U93" i="4" s="1"/>
  <c r="V93" i="4" s="1"/>
  <c r="R139" i="4"/>
  <c r="U139" i="4" s="1"/>
  <c r="V139" i="4" s="1"/>
  <c r="R92" i="4"/>
  <c r="U92" i="4" s="1"/>
  <c r="V92" i="4" s="1"/>
  <c r="R94" i="4"/>
  <c r="S18" i="4"/>
  <c r="S34" i="4"/>
  <c r="R78" i="4"/>
  <c r="U78" i="4" s="1"/>
  <c r="V78" i="4" s="1"/>
  <c r="T116" i="4"/>
  <c r="R61" i="4"/>
  <c r="U61" i="4" s="1"/>
  <c r="V61" i="4" s="1"/>
  <c r="R43" i="4"/>
  <c r="U43" i="4" s="1"/>
  <c r="V43" i="4" s="1"/>
  <c r="R95" i="4"/>
  <c r="U95" i="4" s="1"/>
  <c r="V95" i="4" s="1"/>
  <c r="R50" i="4"/>
  <c r="U50" i="4" s="1"/>
  <c r="V50" i="4" s="1"/>
  <c r="S129" i="4"/>
  <c r="R129" i="4"/>
  <c r="T106" i="4"/>
  <c r="R121" i="4"/>
  <c r="U121" i="4" s="1"/>
  <c r="V121" i="4" s="1"/>
  <c r="T46" i="4"/>
  <c r="R56" i="4"/>
  <c r="R134" i="4"/>
  <c r="U134" i="4" s="1"/>
  <c r="V134" i="4" s="1"/>
  <c r="R112" i="4"/>
  <c r="U112" i="4" s="1"/>
  <c r="V112" i="4" s="1"/>
  <c r="T54" i="4"/>
  <c r="S33" i="4"/>
  <c r="S112" i="4" l="1"/>
  <c r="S75" i="4"/>
  <c r="S81" i="4"/>
  <c r="T75" i="4"/>
  <c r="S124" i="4"/>
  <c r="T99" i="4"/>
  <c r="S113" i="4"/>
  <c r="S11" i="4"/>
  <c r="S14" i="4"/>
  <c r="T16" i="4"/>
  <c r="U16" i="4"/>
  <c r="V16" i="4" s="1"/>
  <c r="V5" i="4"/>
  <c r="V140" i="4" s="1"/>
  <c r="U140" i="4"/>
  <c r="Q140" i="4" s="1"/>
  <c r="T124" i="4"/>
  <c r="S135" i="4"/>
  <c r="S6" i="4"/>
  <c r="S36" i="4"/>
  <c r="S76" i="4"/>
  <c r="T84" i="4"/>
  <c r="S139" i="4"/>
  <c r="S100" i="4"/>
  <c r="U49" i="4"/>
  <c r="V49" i="4" s="1"/>
  <c r="T49" i="4"/>
  <c r="S46" i="4"/>
  <c r="S65" i="4"/>
  <c r="S49" i="4"/>
  <c r="U30" i="4"/>
  <c r="V30" i="4" s="1"/>
  <c r="T30" i="4"/>
  <c r="T71" i="4"/>
  <c r="S127" i="4"/>
  <c r="S60" i="4"/>
  <c r="T131" i="4"/>
  <c r="S30" i="4"/>
  <c r="S110" i="4"/>
  <c r="U62" i="4"/>
  <c r="V62" i="4" s="1"/>
  <c r="T62" i="4"/>
  <c r="S137" i="4"/>
  <c r="S99" i="4"/>
  <c r="S80" i="4"/>
  <c r="S62" i="4"/>
  <c r="S98" i="4"/>
  <c r="K7" i="6"/>
  <c r="C12" i="8"/>
  <c r="C11" i="8"/>
  <c r="B11" i="8" s="1"/>
  <c r="B4" i="13" s="1"/>
  <c r="B9" i="13" s="1"/>
  <c r="B11" i="13" s="1"/>
  <c r="L7" i="6"/>
  <c r="L10" i="6" s="1"/>
  <c r="L12" i="6" s="1"/>
  <c r="M6" i="6"/>
  <c r="M7" i="6" s="1"/>
  <c r="M10" i="6" s="1"/>
  <c r="M12" i="6" s="1"/>
  <c r="C13" i="8"/>
  <c r="S20" i="4"/>
  <c r="S114" i="4"/>
  <c r="T113" i="4"/>
  <c r="S95" i="4"/>
  <c r="S109" i="4"/>
  <c r="U91" i="4"/>
  <c r="V91" i="4" s="1"/>
  <c r="T91" i="4"/>
  <c r="T137" i="4"/>
  <c r="S70" i="4"/>
  <c r="S52" i="4"/>
  <c r="T100" i="4"/>
  <c r="U12" i="4"/>
  <c r="V12" i="4" s="1"/>
  <c r="T12" i="4"/>
  <c r="U27" i="4"/>
  <c r="V27" i="4" s="1"/>
  <c r="T27" i="4"/>
  <c r="T117" i="4"/>
  <c r="T81" i="4"/>
  <c r="U136" i="4"/>
  <c r="V136" i="4" s="1"/>
  <c r="T136" i="4"/>
  <c r="S37" i="4"/>
  <c r="S12" i="4"/>
  <c r="T48" i="4"/>
  <c r="U48" i="4"/>
  <c r="V48" i="4" s="1"/>
  <c r="U122" i="4"/>
  <c r="V122" i="4" s="1"/>
  <c r="T122" i="4"/>
  <c r="U40" i="4"/>
  <c r="V40" i="4" s="1"/>
  <c r="T40" i="4"/>
  <c r="S97" i="4"/>
  <c r="S67" i="4"/>
  <c r="L24" i="3"/>
  <c r="T82" i="4"/>
  <c r="K11" i="11"/>
  <c r="L9" i="11"/>
  <c r="T95" i="4"/>
  <c r="T127" i="4"/>
  <c r="S48" i="4"/>
  <c r="S82" i="4"/>
  <c r="T93" i="4"/>
  <c r="S117" i="4"/>
  <c r="U63" i="4"/>
  <c r="V63" i="4" s="1"/>
  <c r="T63" i="4"/>
  <c r="S27" i="4"/>
  <c r="U104" i="4"/>
  <c r="V104" i="4" s="1"/>
  <c r="T104" i="4"/>
  <c r="U64" i="4"/>
  <c r="V64" i="4" s="1"/>
  <c r="T64" i="4"/>
  <c r="S43" i="4"/>
  <c r="S78" i="4"/>
  <c r="M24" i="3"/>
  <c r="N6" i="3"/>
  <c r="N24" i="3" s="1"/>
  <c r="N29" i="3" s="1"/>
  <c r="S35" i="4"/>
  <c r="T36" i="4"/>
  <c r="T11" i="4"/>
  <c r="T35" i="4"/>
  <c r="T112" i="4"/>
  <c r="U123" i="4"/>
  <c r="V123" i="4" s="1"/>
  <c r="T123" i="4"/>
  <c r="T20" i="4"/>
  <c r="U56" i="4"/>
  <c r="V56" i="4" s="1"/>
  <c r="T56" i="4"/>
  <c r="T55" i="4"/>
  <c r="S118" i="4"/>
  <c r="S61" i="4"/>
  <c r="K11" i="10"/>
  <c r="L9" i="10"/>
  <c r="S85" i="4"/>
  <c r="S84" i="4"/>
  <c r="T134" i="4"/>
  <c r="S55" i="4"/>
  <c r="U94" i="4"/>
  <c r="V94" i="4" s="1"/>
  <c r="T94" i="4"/>
  <c r="S39" i="4"/>
  <c r="S73" i="4"/>
  <c r="S89" i="4"/>
  <c r="S57" i="4"/>
  <c r="S102" i="4"/>
  <c r="S131" i="4"/>
  <c r="S93" i="4"/>
  <c r="T139" i="4"/>
  <c r="U115" i="4"/>
  <c r="V115" i="4" s="1"/>
  <c r="T115" i="4"/>
  <c r="U31" i="4"/>
  <c r="V31" i="4" s="1"/>
  <c r="T31" i="4"/>
  <c r="S126" i="4"/>
  <c r="T138" i="4"/>
  <c r="T110" i="4"/>
  <c r="T60" i="4"/>
  <c r="U107" i="4"/>
  <c r="V107" i="4" s="1"/>
  <c r="T107" i="4"/>
  <c r="U86" i="4"/>
  <c r="V86" i="4" s="1"/>
  <c r="T86" i="4"/>
  <c r="S121" i="4"/>
  <c r="U88" i="4"/>
  <c r="V88" i="4" s="1"/>
  <c r="T88" i="4"/>
  <c r="U59" i="4"/>
  <c r="V59" i="4" s="1"/>
  <c r="T59" i="4"/>
  <c r="S120" i="4"/>
  <c r="T135" i="4"/>
  <c r="S104" i="4"/>
  <c r="S94" i="4"/>
  <c r="T98" i="4"/>
  <c r="T114" i="4"/>
  <c r="T61" i="4"/>
  <c r="T76" i="4"/>
  <c r="S107" i="4"/>
  <c r="U24" i="4"/>
  <c r="V24" i="4" s="1"/>
  <c r="T24" i="4"/>
  <c r="S68" i="4"/>
  <c r="S88" i="4"/>
  <c r="T120" i="4"/>
  <c r="C10" i="8"/>
  <c r="B10" i="8" s="1"/>
  <c r="C4" i="13" s="1"/>
  <c r="C9" i="13" s="1"/>
  <c r="J7" i="6"/>
  <c r="J10" i="6" s="1"/>
  <c r="S134" i="4"/>
  <c r="S56" i="4"/>
  <c r="U129" i="4"/>
  <c r="V129" i="4" s="1"/>
  <c r="T129" i="4"/>
  <c r="T68" i="4"/>
  <c r="U8" i="4"/>
  <c r="V8" i="4" s="1"/>
  <c r="T8" i="4"/>
  <c r="S92" i="4"/>
  <c r="S8" i="4"/>
  <c r="S130" i="4"/>
  <c r="U72" i="4"/>
  <c r="V72" i="4" s="1"/>
  <c r="T72" i="4"/>
  <c r="S83" i="4"/>
  <c r="S50" i="4"/>
  <c r="S125" i="4"/>
  <c r="S138" i="4"/>
  <c r="T130" i="4"/>
  <c r="T92" i="4"/>
  <c r="S116" i="4"/>
  <c r="S96" i="4"/>
  <c r="T37" i="4"/>
  <c r="S105" i="4"/>
  <c r="S87" i="4"/>
  <c r="S119" i="4"/>
  <c r="T80" i="4"/>
  <c r="M29" i="3" l="1"/>
  <c r="J26" i="3"/>
  <c r="F6" i="6" s="1"/>
  <c r="K10" i="6"/>
  <c r="B12" i="8"/>
  <c r="E6" i="13"/>
  <c r="F6" i="13" s="1"/>
  <c r="L11" i="10"/>
  <c r="B13" i="8"/>
  <c r="E4" i="13" s="1"/>
  <c r="C16" i="8"/>
  <c r="E7" i="13"/>
  <c r="F7" i="13" s="1"/>
  <c r="L11" i="11"/>
  <c r="E9" i="13" l="1"/>
  <c r="F9" i="13" s="1"/>
  <c r="F4" i="13"/>
  <c r="F13" i="13" s="1"/>
  <c r="B16" i="8"/>
  <c r="B21" i="8" s="1"/>
  <c r="C21" i="8"/>
  <c r="C17" i="8"/>
  <c r="B17" i="8" l="1"/>
  <c r="C18" i="8"/>
  <c r="B18" i="8" s="1"/>
</calcChain>
</file>

<file path=xl/sharedStrings.xml><?xml version="1.0" encoding="utf-8"?>
<sst xmlns="http://schemas.openxmlformats.org/spreadsheetml/2006/main" count="2470" uniqueCount="512">
  <si>
    <t>Blad 'Omreken'</t>
  </si>
  <si>
    <t>Dit blad mag niet worden gewijzigd!</t>
  </si>
  <si>
    <t>Type:</t>
  </si>
  <si>
    <t>Invultabel</t>
  </si>
  <si>
    <t xml:space="preserve">werkdag             </t>
  </si>
  <si>
    <t xml:space="preserve">werkdag vakantie    </t>
  </si>
  <si>
    <t xml:space="preserve">weekenddag          </t>
  </si>
  <si>
    <t xml:space="preserve">per jaar: </t>
  </si>
  <si>
    <t xml:space="preserve">per week: </t>
  </si>
  <si>
    <t>FREQ</t>
  </si>
  <si>
    <t>FACTOR</t>
  </si>
  <si>
    <t>5W</t>
  </si>
  <si>
    <t>2W</t>
  </si>
  <si>
    <t>210J</t>
  </si>
  <si>
    <t>4W</t>
  </si>
  <si>
    <t>1W</t>
  </si>
  <si>
    <t>205J</t>
  </si>
  <si>
    <t>3W</t>
  </si>
  <si>
    <t>200J</t>
  </si>
  <si>
    <t>26J</t>
  </si>
  <si>
    <t>120J</t>
  </si>
  <si>
    <t>12J</t>
  </si>
  <si>
    <t>6J</t>
  </si>
  <si>
    <t>80J</t>
  </si>
  <si>
    <t>4J</t>
  </si>
  <si>
    <t>3J</t>
  </si>
  <si>
    <t>40J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</si>
  <si>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</si>
  <si>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</si>
  <si>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</si>
  <si>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</si>
  <si>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</si>
  <si>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</si>
  <si>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</si>
  <si>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</si>
  <si>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</si>
  <si>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</si>
  <si>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</si>
  <si>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AFVB</t>
  </si>
  <si>
    <t xml:space="preserve">B    </t>
  </si>
  <si>
    <t>Afvalbak afnemen/zak verwisselen (basis)</t>
  </si>
  <si>
    <t>m²/uur</t>
  </si>
  <si>
    <t>LLHB</t>
  </si>
  <si>
    <t>Leslokaal - harde vloeren (basis)</t>
  </si>
  <si>
    <t>LLHV</t>
  </si>
  <si>
    <t>Leslokaal - harde vloeren (volledig)</t>
  </si>
  <si>
    <t>LLZB</t>
  </si>
  <si>
    <t>Leslokaal - zachte vloeren (basis)</t>
  </si>
  <si>
    <t>LLZV</t>
  </si>
  <si>
    <t>Leslokaal - zachte vloeren (volledig)</t>
  </si>
  <si>
    <t>LOHB</t>
  </si>
  <si>
    <t>Open leerruimten - harde vloeren (basis)</t>
  </si>
  <si>
    <t>LOHV</t>
  </si>
  <si>
    <t>Open leerruimten - harde vloeren (volledig)</t>
  </si>
  <si>
    <t>GSHB</t>
  </si>
  <si>
    <t xml:space="preserve">G    </t>
  </si>
  <si>
    <t>Gymzalen/sportruimten/toestelberging - harde vloeren (basis)</t>
  </si>
  <si>
    <t>GSHV</t>
  </si>
  <si>
    <t>Gymzalen/sportruimten/toestelberging - harde vloeren (volledig)</t>
  </si>
  <si>
    <t>PAHB</t>
  </si>
  <si>
    <t xml:space="preserve">PA   </t>
  </si>
  <si>
    <t>Praktijk atelier - harde vloeren (basis)</t>
  </si>
  <si>
    <t>PAHV</t>
  </si>
  <si>
    <t>Praktijk atelier - harde vloeren (volledig)</t>
  </si>
  <si>
    <t>PSHB</t>
  </si>
  <si>
    <t xml:space="preserve">PS   </t>
  </si>
  <si>
    <t>Praktijk standaard - harde vloeren (basis)</t>
  </si>
  <si>
    <t>PSHV</t>
  </si>
  <si>
    <t>Praktijk standaard - harde vloeren (volledig)</t>
  </si>
  <si>
    <t>SDHB</t>
  </si>
  <si>
    <t xml:space="preserve">S    </t>
  </si>
  <si>
    <t>Douche/badkamer - harde vloeren (basis)</t>
  </si>
  <si>
    <t>SDHV</t>
  </si>
  <si>
    <t>Douche/badkamer - harde vloeren (volledig)</t>
  </si>
  <si>
    <t>SKHB</t>
  </si>
  <si>
    <t>Kleedruimten - harde vloeren (basis)</t>
  </si>
  <si>
    <t>SKHV</t>
  </si>
  <si>
    <t>Kleedruimten - harde vloeren (volledig)</t>
  </si>
  <si>
    <t>STHB</t>
  </si>
  <si>
    <t>Toiletten - harde vloeren (basis)</t>
  </si>
  <si>
    <t>STHV</t>
  </si>
  <si>
    <t>Toiletten - harde vloeren (volledig)</t>
  </si>
  <si>
    <t>KAHB</t>
  </si>
  <si>
    <t xml:space="preserve">V    </t>
  </si>
  <si>
    <t>Aula/kantine - harde vloeren (basis)</t>
  </si>
  <si>
    <t>KAHV</t>
  </si>
  <si>
    <t>Aula/kantine - harde vloeren (volledig)</t>
  </si>
  <si>
    <t>OAHB</t>
  </si>
  <si>
    <t>Opslag/archief/magazijn - harde vloeren (basis)</t>
  </si>
  <si>
    <t>OAHV</t>
  </si>
  <si>
    <t>Opslag/archief/magazijn - harde vloeren (volledig)</t>
  </si>
  <si>
    <t>VAHB</t>
  </si>
  <si>
    <t>Verkeer algemeen - harde vloeren (basis)</t>
  </si>
  <si>
    <t>VAHV</t>
  </si>
  <si>
    <t>Verkeer algemeen - harde vloeren (volledig)</t>
  </si>
  <si>
    <t>VAZB</t>
  </si>
  <si>
    <t>Verkeer algemeen - zachte vloeren (basis)</t>
  </si>
  <si>
    <t>VAZV</t>
  </si>
  <si>
    <t>Verkeer algemeen - zachte vloeren (volledig)</t>
  </si>
  <si>
    <t>VEZB</t>
  </si>
  <si>
    <t>Entree - zachte vloeren (basis)</t>
  </si>
  <si>
    <t>VEZV</t>
  </si>
  <si>
    <t>Entree - zachte vloeren (volledig)</t>
  </si>
  <si>
    <t>VOHB</t>
  </si>
  <si>
    <t>Verkeer overigen - harde vloeren (basis)</t>
  </si>
  <si>
    <t>VOHV</t>
  </si>
  <si>
    <t>Verkeer overigen - harde vloeren (volledig)</t>
  </si>
  <si>
    <t>VTHB</t>
  </si>
  <si>
    <t>Trap - harde vloeren (basis)</t>
  </si>
  <si>
    <t>VTHV</t>
  </si>
  <si>
    <t>Trap - harde vloeren (volledig)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</si>
  <si>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</si>
  <si>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</si>
  <si>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</si>
  <si>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</si>
  <si>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</si>
  <si>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</si>
  <si>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</si>
  <si>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</si>
  <si>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AFV</t>
  </si>
  <si>
    <t>interieur</t>
  </si>
  <si>
    <t>Afvalbak afnemen/zak verwisselen</t>
  </si>
  <si>
    <t>GSH</t>
  </si>
  <si>
    <t>Gymzaal/sportruimten/toestelberging - harde vloeren</t>
  </si>
  <si>
    <t>KAH</t>
  </si>
  <si>
    <t>Aula/kantine - harde vloeren</t>
  </si>
  <si>
    <t>LLH</t>
  </si>
  <si>
    <t>Leslokaal - harde vloeren</t>
  </si>
  <si>
    <t>LLZ</t>
  </si>
  <si>
    <t>Leslokaal - zachte vloeren</t>
  </si>
  <si>
    <t>LOH</t>
  </si>
  <si>
    <t>Open studieruimten - harde vloeren</t>
  </si>
  <si>
    <t>OAH</t>
  </si>
  <si>
    <t>Opslag/archief/magazijn - harde vloeren</t>
  </si>
  <si>
    <t>PAH</t>
  </si>
  <si>
    <t>Praktijklokaal atelier - harde vloeren</t>
  </si>
  <si>
    <t>PSH</t>
  </si>
  <si>
    <t>Praktijklokaal standaard - harde vloeren</t>
  </si>
  <si>
    <t>SDH</t>
  </si>
  <si>
    <t>Douche - harde vloeren</t>
  </si>
  <si>
    <t>SKH</t>
  </si>
  <si>
    <t>Kleedruimte - harde vloeren</t>
  </si>
  <si>
    <t>STH</t>
  </si>
  <si>
    <t>Toilet - harde vloeren</t>
  </si>
  <si>
    <t>VAH</t>
  </si>
  <si>
    <t>Verkeer algemeen - harde vloeren</t>
  </si>
  <si>
    <t>VAZ</t>
  </si>
  <si>
    <t>Verkeer algemeen - zachte vloeren</t>
  </si>
  <si>
    <t>VEZ</t>
  </si>
  <si>
    <t>Entree - zachte vloeren</t>
  </si>
  <si>
    <t>VOH</t>
  </si>
  <si>
    <t>Verkeer overigen - harde vloeren</t>
  </si>
  <si>
    <t>VTH</t>
  </si>
  <si>
    <t>Trap - harde vloeren</t>
  </si>
  <si>
    <t xml:space="preserve">Totaal werkdag             </t>
  </si>
  <si>
    <t xml:space="preserve">Gemiddeld uurtarief werkdag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</si>
  <si>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</si>
  <si>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</si>
  <si>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</si>
  <si>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</si>
  <si>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</si>
  <si>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</si>
  <si>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</si>
  <si>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</si>
  <si>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VSR</t>
  </si>
  <si>
    <t>KOSTENPLAATS</t>
  </si>
  <si>
    <t>UREN HOOG-FREQUENT/ DAG</t>
  </si>
  <si>
    <t>091 - Kwadrant, Hanze College, Bouwlingstraat 74, OOSTERHOUT NB</t>
  </si>
  <si>
    <t>091</t>
  </si>
  <si>
    <t/>
  </si>
  <si>
    <t>00</t>
  </si>
  <si>
    <t>0.01</t>
  </si>
  <si>
    <t>Entree</t>
  </si>
  <si>
    <t>tapijt</t>
  </si>
  <si>
    <t>V</t>
  </si>
  <si>
    <t>0.02</t>
  </si>
  <si>
    <t>Zorg en Welzijn</t>
  </si>
  <si>
    <t>linoleum</t>
  </si>
  <si>
    <t>L</t>
  </si>
  <si>
    <t>0.02a</t>
  </si>
  <si>
    <t>Toilet heren</t>
  </si>
  <si>
    <t>dhgt</t>
  </si>
  <si>
    <t>S</t>
  </si>
  <si>
    <t>0.02b</t>
  </si>
  <si>
    <t>Toilet dames</t>
  </si>
  <si>
    <t>0.02c</t>
  </si>
  <si>
    <t>Toilet dames en heren</t>
  </si>
  <si>
    <t>0.08a</t>
  </si>
  <si>
    <t>Trap</t>
  </si>
  <si>
    <t>0.08b</t>
  </si>
  <si>
    <t>Hal</t>
  </si>
  <si>
    <t>0.08c</t>
  </si>
  <si>
    <t>Bordes</t>
  </si>
  <si>
    <t>0.10</t>
  </si>
  <si>
    <t>0.14</t>
  </si>
  <si>
    <t>Toilet</t>
  </si>
  <si>
    <t>0.15</t>
  </si>
  <si>
    <t>0.17c</t>
  </si>
  <si>
    <t>0.18a</t>
  </si>
  <si>
    <t>Douche</t>
  </si>
  <si>
    <t>0.18b</t>
  </si>
  <si>
    <t>Kleedruimte</t>
  </si>
  <si>
    <t>0.19a</t>
  </si>
  <si>
    <t>Kleedruimte docent</t>
  </si>
  <si>
    <t>0.19b</t>
  </si>
  <si>
    <t>Toilet docent</t>
  </si>
  <si>
    <t>0.19c</t>
  </si>
  <si>
    <t>Douche docent</t>
  </si>
  <si>
    <t>0.20a</t>
  </si>
  <si>
    <t>0.20b</t>
  </si>
  <si>
    <t>0.20c</t>
  </si>
  <si>
    <t>0.21a</t>
  </si>
  <si>
    <t>0.21b</t>
  </si>
  <si>
    <t>0.21c</t>
  </si>
  <si>
    <t>0.22</t>
  </si>
  <si>
    <t>Berging</t>
  </si>
  <si>
    <t>sportvloer</t>
  </si>
  <si>
    <t>0.23</t>
  </si>
  <si>
    <t>steen</t>
  </si>
  <si>
    <t>0.24</t>
  </si>
  <si>
    <t>Sporthal</t>
  </si>
  <si>
    <t>0.25</t>
  </si>
  <si>
    <t>0.26</t>
  </si>
  <si>
    <t>0.28</t>
  </si>
  <si>
    <t>Douches</t>
  </si>
  <si>
    <t>0.29</t>
  </si>
  <si>
    <t>Gang</t>
  </si>
  <si>
    <t>0.30</t>
  </si>
  <si>
    <t>Leslokaal</t>
  </si>
  <si>
    <t>0.32a</t>
  </si>
  <si>
    <t>0.33a</t>
  </si>
  <si>
    <t>0.33b</t>
  </si>
  <si>
    <t>0.34a</t>
  </si>
  <si>
    <t>inloopmat</t>
  </si>
  <si>
    <t>0.34b</t>
  </si>
  <si>
    <t>0.35</t>
  </si>
  <si>
    <t>0.36</t>
  </si>
  <si>
    <t>0.45a</t>
  </si>
  <si>
    <t>0.45b</t>
  </si>
  <si>
    <t>Hal onder trap</t>
  </si>
  <si>
    <t>0.45c</t>
  </si>
  <si>
    <t>0.50</t>
  </si>
  <si>
    <t>Garderobe</t>
  </si>
  <si>
    <t>0.52</t>
  </si>
  <si>
    <t>0.53</t>
  </si>
  <si>
    <t>0.54</t>
  </si>
  <si>
    <t>0.59a</t>
  </si>
  <si>
    <t>Kantine</t>
  </si>
  <si>
    <t>0.59b</t>
  </si>
  <si>
    <t>Gang kantine</t>
  </si>
  <si>
    <t>0.61</t>
  </si>
  <si>
    <t>Hal kluisjes</t>
  </si>
  <si>
    <t>0.64a</t>
  </si>
  <si>
    <t>0.65b</t>
  </si>
  <si>
    <t>0.67</t>
  </si>
  <si>
    <t>00NB</t>
  </si>
  <si>
    <t>0.70</t>
  </si>
  <si>
    <t>Computerlokaal</t>
  </si>
  <si>
    <t>0.71</t>
  </si>
  <si>
    <t>0.72</t>
  </si>
  <si>
    <t>0.77a</t>
  </si>
  <si>
    <t>0.77b</t>
  </si>
  <si>
    <t>pvc</t>
  </si>
  <si>
    <t>0.78a</t>
  </si>
  <si>
    <t>0.78b</t>
  </si>
  <si>
    <t>0.86</t>
  </si>
  <si>
    <t>0.87</t>
  </si>
  <si>
    <t>0.88</t>
  </si>
  <si>
    <t>01</t>
  </si>
  <si>
    <t>1.01a</t>
  </si>
  <si>
    <t>1.01b</t>
  </si>
  <si>
    <t>1.02</t>
  </si>
  <si>
    <t>1.03</t>
  </si>
  <si>
    <t>1.04</t>
  </si>
  <si>
    <t>1.05</t>
  </si>
  <si>
    <t>1.06</t>
  </si>
  <si>
    <t>1.08</t>
  </si>
  <si>
    <t>1.09a</t>
  </si>
  <si>
    <t>1.09b</t>
  </si>
  <si>
    <t>1.09c</t>
  </si>
  <si>
    <t>Traphal</t>
  </si>
  <si>
    <t>1.11a</t>
  </si>
  <si>
    <t>1.11b</t>
  </si>
  <si>
    <t>1.13</t>
  </si>
  <si>
    <t>1.15a</t>
  </si>
  <si>
    <t>Praktijklokaal</t>
  </si>
  <si>
    <t>1.15b</t>
  </si>
  <si>
    <t>1.15c</t>
  </si>
  <si>
    <t>1.16a</t>
  </si>
  <si>
    <t>1.18</t>
  </si>
  <si>
    <t>1.20</t>
  </si>
  <si>
    <t>1.21</t>
  </si>
  <si>
    <t>1.23</t>
  </si>
  <si>
    <t>1.24</t>
  </si>
  <si>
    <t>1.25</t>
  </si>
  <si>
    <t>1.29</t>
  </si>
  <si>
    <t>1.30</t>
  </si>
  <si>
    <t>1.31a</t>
  </si>
  <si>
    <t>1.31b</t>
  </si>
  <si>
    <t>1.31c</t>
  </si>
  <si>
    <t>1.32</t>
  </si>
  <si>
    <t>1.34</t>
  </si>
  <si>
    <t>1.36</t>
  </si>
  <si>
    <t>02</t>
  </si>
  <si>
    <t>2.01</t>
  </si>
  <si>
    <t>2.02</t>
  </si>
  <si>
    <t>2.03</t>
  </si>
  <si>
    <t>2.04</t>
  </si>
  <si>
    <t>2.05</t>
  </si>
  <si>
    <t>2.06</t>
  </si>
  <si>
    <t>2.07</t>
  </si>
  <si>
    <t>2.08</t>
  </si>
  <si>
    <t>2.10</t>
  </si>
  <si>
    <t>2.12</t>
  </si>
  <si>
    <t>2.13</t>
  </si>
  <si>
    <t>2.14</t>
  </si>
  <si>
    <t>2.15/2.16</t>
  </si>
  <si>
    <t>2.18</t>
  </si>
  <si>
    <t>2.19</t>
  </si>
  <si>
    <t>2.21</t>
  </si>
  <si>
    <t>2.22</t>
  </si>
  <si>
    <t>Totaal werkdag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</si>
  <si>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</si>
  <si>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</si>
  <si>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</si>
  <si>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</si>
  <si>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</si>
  <si>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</si>
  <si>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</si>
  <si>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091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</si>
  <si>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</si>
  <si>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</si>
  <si>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</si>
  <si>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</si>
  <si>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</si>
  <si>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</si>
  <si>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</si>
  <si>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PRIJS/ UITVOERING</t>
  </si>
  <si>
    <t>UREN HOOG-FREQUENT/ JAAR</t>
  </si>
  <si>
    <t>PRIJS/ JAAR (EURO)</t>
  </si>
  <si>
    <t>PRIJS/ MAAND (EURO)</t>
  </si>
  <si>
    <t>Kwadrant, Hanze College</t>
  </si>
  <si>
    <t>Bouwlingstraat 74</t>
  </si>
  <si>
    <t>OOSTERHOUT NB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</si>
  <si>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</si>
  <si>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</si>
  <si>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</si>
  <si>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</si>
  <si>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</si>
  <si>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</si>
  <si>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</si>
  <si>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</si>
  <si>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</si>
  <si>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</si>
  <si>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</si>
  <si>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&lt;invullen functie afh. van uren uitvoering per jaar&gt;</t>
  </si>
  <si>
    <t>&lt;invullen functie met vaste uren per dag&gt;</t>
  </si>
  <si>
    <t>Totaal 091 - Kwadrant, Hanze College, Bouwlingstraat 74, OOSTERHOUT NB</t>
  </si>
  <si>
    <t>Totaal niet-meewerkende objectleiding</t>
  </si>
  <si>
    <t>Totaal niet-meewerkende objectleiding (incl. BTW)</t>
  </si>
  <si>
    <t>Object</t>
  </si>
  <si>
    <t>TOTAAL</t>
  </si>
  <si>
    <t>Kostenplaats</t>
  </si>
  <si>
    <t>Naam</t>
  </si>
  <si>
    <t>Adres</t>
  </si>
  <si>
    <t>Plaats</t>
  </si>
  <si>
    <t>Oppervlakte in onderhoud</t>
  </si>
  <si>
    <t>Uren hoog-frequent/ jaar</t>
  </si>
  <si>
    <t xml:space="preserve">Uren/ jaar werkdag             </t>
  </si>
  <si>
    <t xml:space="preserve">Gemiddelde productienorm werkdag             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</si>
  <si>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</si>
  <si>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</si>
  <si>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</si>
  <si>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</si>
  <si>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</si>
  <si>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</si>
  <si>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Prijs per m² per jaar</t>
  </si>
  <si>
    <t>BEURT</t>
  </si>
  <si>
    <t>STAFFEL</t>
  </si>
  <si>
    <t>PRIJS/ EENHEID (EURO)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</si>
  <si>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</si>
  <si>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</si>
  <si>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</si>
  <si>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</si>
  <si>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</si>
  <si>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</si>
  <si>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</si>
  <si>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</si>
  <si>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</si>
  <si>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</si>
  <si>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</si>
  <si>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</si>
  <si>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</si>
  <si>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</si>
  <si>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</si>
  <si>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</si>
  <si>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</si>
  <si>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</si>
  <si>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</si>
  <si>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</si>
  <si>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</si>
  <si>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</si>
  <si>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</si>
  <si>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</si>
  <si>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</si>
  <si>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</si>
  <si>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</si>
  <si>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</si>
  <si>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</si>
  <si>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</si>
  <si>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</si>
  <si>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</si>
  <si>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</si>
  <si>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</si>
  <si>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</si>
  <si>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3010A</t>
  </si>
  <si>
    <t>Lamellen (verticaal) reinigen (alumin)</t>
  </si>
  <si>
    <t>3010B</t>
  </si>
  <si>
    <t>3010C</t>
  </si>
  <si>
    <t>3010D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</si>
  <si>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</si>
  <si>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</si>
  <si>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</si>
  <si>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</si>
  <si>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</si>
  <si>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</si>
  <si>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</si>
  <si>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</si>
  <si>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</si>
  <si>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</si>
  <si>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</si>
  <si>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</si>
  <si>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</si>
  <si>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</si>
  <si>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</si>
  <si>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</si>
  <si>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</si>
  <si>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</si>
  <si>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</si>
  <si>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</si>
  <si>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</si>
  <si>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</si>
  <si>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</si>
  <si>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</si>
  <si>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</si>
  <si>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</si>
  <si>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</si>
  <si>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</si>
  <si>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</si>
  <si>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</si>
  <si>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</si>
  <si>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</si>
  <si>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</si>
  <si>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</si>
  <si>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</si>
  <si>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</si>
  <si>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</si>
  <si>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</si>
  <si>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</si>
  <si>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</si>
  <si>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</si>
  <si>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</si>
  <si>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</si>
  <si>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</si>
  <si>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</si>
  <si>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</si>
  <si>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</si>
  <si>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</si>
  <si>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</si>
  <si>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</si>
  <si>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</si>
  <si>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</si>
  <si>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</si>
  <si>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</si>
  <si>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</si>
  <si>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</si>
  <si>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</si>
  <si>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</si>
  <si>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</si>
  <si>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</si>
  <si>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FREQ (DAGEN)</t>
  </si>
  <si>
    <t>HOEVEELHEID /KEER</t>
  </si>
  <si>
    <t>UURTARIEF (EURO)</t>
  </si>
  <si>
    <t>NORM</t>
  </si>
  <si>
    <t>PRIJS/ KEER</t>
  </si>
  <si>
    <t>9000</t>
  </si>
  <si>
    <t>Medewerker regiewerkzaamheden</t>
  </si>
  <si>
    <t>9050</t>
  </si>
  <si>
    <t>Medewerker regiewerkzaamheden weekend</t>
  </si>
  <si>
    <t>9100</t>
  </si>
  <si>
    <t>Medewerker specialistische werkzaamheden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</si>
  <si>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</si>
  <si>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</si>
  <si>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</si>
  <si>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</si>
  <si>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</si>
  <si>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</si>
  <si>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(m² is totaal)</t>
  </si>
  <si>
    <t>Totaal glas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</si>
  <si>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</si>
  <si>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</si>
  <si>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</si>
  <si>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</si>
  <si>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</si>
  <si>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</si>
  <si>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</si>
  <si>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</si>
  <si>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Regie (geschat)</t>
  </si>
  <si>
    <t>Glas</t>
  </si>
  <si>
    <t>Totaal generaal</t>
  </si>
  <si>
    <t>Percentage objectleiding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</si>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</sst>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9" xfId="0" applyFill="1" applyBorder="1"/>
    <xf numFmtId="49" fontId="0" fillId="2" borderId="10" xfId="0" applyNumberFormat="1" applyFill="1" applyBorder="1"/>
    <xf numFmtId="1" fontId="0" fillId="2" borderId="10" xfId="0" applyNumberFormat="1" applyFill="1" applyBorder="1"/>
    <xf numFmtId="4" fontId="0" fillId="0" borderId="10" xfId="0" applyNumberFormat="1" applyBorder="1" applyProtection="1">
      <protection locked="0"/>
    </xf>
    <xf numFmtId="10" fontId="0" fillId="0" borderId="10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49" fontId="0" fillId="2" borderId="11" xfId="0" applyNumberFormat="1" applyFill="1" applyBorder="1"/>
    <xf numFmtId="1" fontId="0" fillId="2" borderId="11" xfId="0" applyNumberFormat="1" applyFill="1" applyBorder="1"/>
    <xf numFmtId="4" fontId="0" fillId="0" borderId="11" xfId="0" applyNumberFormat="1" applyBorder="1" applyProtection="1">
      <protection locked="0"/>
    </xf>
    <xf numFmtId="10" fontId="0" fillId="0" borderId="11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49" fontId="0" fillId="2" borderId="12" xfId="0" applyNumberFormat="1" applyFill="1" applyBorder="1"/>
    <xf numFmtId="1" fontId="0" fillId="2" borderId="12" xfId="0" applyNumberFormat="1" applyFill="1" applyBorder="1"/>
    <xf numFmtId="4" fontId="0" fillId="0" borderId="12" xfId="0" applyNumberFormat="1" applyBorder="1" applyProtection="1">
      <protection locked="0"/>
    </xf>
    <xf numFmtId="10" fontId="0" fillId="0" borderId="12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4" fontId="0" fillId="2" borderId="10" xfId="0" applyNumberFormat="1" applyFill="1" applyBorder="1"/>
    <xf numFmtId="165" fontId="0" fillId="2" borderId="10" xfId="0" applyNumberFormat="1" applyFill="1" applyBorder="1"/>
    <xf numFmtId="10" fontId="0" fillId="2" borderId="10" xfId="0" applyNumberFormat="1" applyFill="1" applyBorder="1"/>
    <xf numFmtId="164" fontId="0" fillId="2" borderId="10" xfId="0" applyNumberFormat="1" applyFill="1" applyBorder="1"/>
    <xf numFmtId="4" fontId="0" fillId="2" borderId="11" xfId="0" applyNumberFormat="1" applyFill="1" applyBorder="1"/>
    <xf numFmtId="165" fontId="0" fillId="2" borderId="11" xfId="0" applyNumberFormat="1" applyFill="1" applyBorder="1"/>
    <xf numFmtId="10" fontId="0" fillId="2" borderId="11" xfId="0" applyNumberFormat="1" applyFill="1" applyBorder="1"/>
    <xf numFmtId="164" fontId="0" fillId="2" borderId="11" xfId="0" applyNumberFormat="1" applyFill="1" applyBorder="1"/>
    <xf numFmtId="4" fontId="0" fillId="2" borderId="12" xfId="0" applyNumberFormat="1" applyFill="1" applyBorder="1"/>
    <xf numFmtId="165" fontId="0" fillId="2" borderId="12" xfId="0" applyNumberFormat="1" applyFill="1" applyBorder="1"/>
    <xf numFmtId="10" fontId="0" fillId="2" borderId="12" xfId="0" applyNumberFormat="1" applyFill="1" applyBorder="1"/>
    <xf numFmtId="164" fontId="0" fillId="2" borderId="12" xfId="0" applyNumberFormat="1" applyFill="1" applyBorder="1"/>
    <xf numFmtId="0" fontId="0" fillId="3" borderId="13" xfId="0" applyFill="1" applyBorder="1"/>
    <xf numFmtId="49" fontId="0" fillId="3" borderId="7" xfId="0" applyNumberFormat="1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14" xfId="0" applyFill="1" applyBorder="1"/>
    <xf numFmtId="49" fontId="0" fillId="3" borderId="15" xfId="0" applyNumberFormat="1" applyFill="1" applyBorder="1" applyAlignment="1">
      <alignment wrapText="1"/>
    </xf>
    <xf numFmtId="0" fontId="0" fillId="3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164" fontId="0" fillId="2" borderId="19" xfId="0" applyNumberFormat="1" applyFill="1" applyBorder="1"/>
    <xf numFmtId="164" fontId="0" fillId="2" borderId="20" xfId="0" applyNumberFormat="1" applyFill="1" applyBorder="1"/>
    <xf numFmtId="49" fontId="0" fillId="2" borderId="21" xfId="0" applyNumberFormat="1" applyFill="1" applyBorder="1"/>
    <xf numFmtId="49" fontId="0" fillId="2" borderId="22" xfId="0" applyNumberFormat="1" applyFill="1" applyBorder="1"/>
    <xf numFmtId="49" fontId="0" fillId="2" borderId="22" xfId="0" applyNumberFormat="1" applyFill="1" applyBorder="1" applyAlignment="1">
      <alignment wrapText="1"/>
    </xf>
    <xf numFmtId="4" fontId="0" fillId="2" borderId="22" xfId="0" applyNumberFormat="1" applyFill="1" applyBorder="1"/>
    <xf numFmtId="165" fontId="0" fillId="2" borderId="22" xfId="0" applyNumberFormat="1" applyFill="1" applyBorder="1"/>
    <xf numFmtId="10" fontId="0" fillId="2" borderId="22" xfId="0" applyNumberFormat="1" applyFill="1" applyBorder="1"/>
    <xf numFmtId="164" fontId="0" fillId="2" borderId="22" xfId="0" applyNumberFormat="1" applyFill="1" applyBorder="1"/>
    <xf numFmtId="164" fontId="0" fillId="2" borderId="23" xfId="0" applyNumberFormat="1" applyFill="1" applyBorder="1"/>
    <xf numFmtId="49" fontId="0" fillId="2" borderId="24" xfId="0" applyNumberFormat="1" applyFill="1" applyBorder="1"/>
    <xf numFmtId="49" fontId="0" fillId="2" borderId="25" xfId="0" applyNumberFormat="1" applyFill="1" applyBorder="1"/>
    <xf numFmtId="49" fontId="0" fillId="2" borderId="25" xfId="0" applyNumberFormat="1" applyFill="1" applyBorder="1" applyAlignment="1">
      <alignment wrapText="1"/>
    </xf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164" fontId="0" fillId="2" borderId="25" xfId="0" applyNumberFormat="1" applyFill="1" applyBorder="1"/>
    <xf numFmtId="164" fontId="0" fillId="2" borderId="26" xfId="0" applyNumberFormat="1" applyFill="1" applyBorder="1"/>
    <xf numFmtId="49" fontId="0" fillId="3" borderId="3" xfId="0" applyNumberFormat="1" applyFill="1" applyBorder="1"/>
    <xf numFmtId="0" fontId="0" fillId="3" borderId="17" xfId="0" applyFill="1" applyBorder="1"/>
    <xf numFmtId="49" fontId="0" fillId="3" borderId="17" xfId="0" applyNumberFormat="1" applyFill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1" fontId="0" fillId="0" borderId="10" xfId="0" applyNumberFormat="1" applyBorder="1"/>
    <xf numFmtId="49" fontId="0" fillId="0" borderId="10" xfId="0" applyNumberFormat="1" applyBorder="1"/>
    <xf numFmtId="4" fontId="0" fillId="3" borderId="10" xfId="0" applyNumberFormat="1" applyFill="1" applyBorder="1"/>
    <xf numFmtId="1" fontId="0" fillId="0" borderId="11" xfId="0" applyNumberFormat="1" applyBorder="1"/>
    <xf numFmtId="49" fontId="0" fillId="0" borderId="11" xfId="0" applyNumberFormat="1" applyBorder="1"/>
    <xf numFmtId="4" fontId="0" fillId="3" borderId="11" xfId="0" applyNumberFormat="1" applyFill="1" applyBorder="1"/>
    <xf numFmtId="10" fontId="0" fillId="3" borderId="11" xfId="0" applyNumberFormat="1" applyFill="1" applyBorder="1"/>
    <xf numFmtId="1" fontId="0" fillId="0" borderId="12" xfId="0" applyNumberFormat="1" applyBorder="1"/>
    <xf numFmtId="49" fontId="0" fillId="0" borderId="12" xfId="0" applyNumberFormat="1" applyBorder="1"/>
    <xf numFmtId="10" fontId="0" fillId="3" borderId="12" xfId="0" applyNumberFormat="1" applyFill="1" applyBorder="1"/>
    <xf numFmtId="49" fontId="0" fillId="3" borderId="7" xfId="0" applyNumberFormat="1" applyFill="1" applyBorder="1" applyAlignment="1"/>
    <xf numFmtId="49" fontId="0" fillId="3" borderId="10" xfId="0" applyNumberFormat="1" applyFill="1" applyBorder="1" applyAlignment="1">
      <alignment wrapText="1"/>
    </xf>
    <xf numFmtId="49" fontId="0" fillId="3" borderId="11" xfId="0" applyNumberFormat="1" applyFill="1" applyBorder="1" applyAlignment="1">
      <alignment wrapText="1"/>
    </xf>
    <xf numFmtId="49" fontId="0" fillId="3" borderId="12" xfId="0" applyNumberFormat="1" applyFill="1" applyBorder="1" applyAlignment="1">
      <alignment wrapText="1"/>
    </xf>
    <xf numFmtId="49" fontId="0" fillId="3" borderId="10" xfId="0" applyNumberFormat="1" applyFill="1" applyBorder="1"/>
    <xf numFmtId="49" fontId="0" fillId="3" borderId="11" xfId="0" applyNumberFormat="1" applyFill="1" applyBorder="1"/>
    <xf numFmtId="0" fontId="0" fillId="3" borderId="11" xfId="0" applyFill="1" applyBorder="1"/>
    <xf numFmtId="4" fontId="0" fillId="4" borderId="10" xfId="0" applyNumberFormat="1" applyFill="1" applyBorder="1" applyProtection="1">
      <protection locked="0"/>
    </xf>
    <xf numFmtId="4" fontId="0" fillId="3" borderId="10" xfId="0" applyNumberFormat="1" applyFill="1" applyBorder="1" applyProtection="1">
      <protection locked="0"/>
    </xf>
    <xf numFmtId="4" fontId="0" fillId="4" borderId="11" xfId="0" applyNumberFormat="1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4" borderId="12" xfId="0" applyNumberFormat="1" applyFill="1" applyBorder="1" applyProtection="1">
      <protection locked="0"/>
    </xf>
    <xf numFmtId="4" fontId="0" fillId="3" borderId="12" xfId="0" applyNumberFormat="1" applyFill="1" applyBorder="1" applyProtection="1">
      <protection locked="0"/>
    </xf>
    <xf numFmtId="0" fontId="0" fillId="3" borderId="7" xfId="0" applyFill="1" applyBorder="1" applyAlignment="1"/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4" fontId="0" fillId="3" borderId="12" xfId="0" applyNumberFormat="1" applyFill="1" applyBorder="1"/>
    <xf numFmtId="0" fontId="0" fillId="2" borderId="16" xfId="0" applyFill="1" applyBorder="1"/>
    <xf numFmtId="0" fontId="0" fillId="2" borderId="13" xfId="0" applyFill="1" applyBorder="1"/>
    <xf numFmtId="4" fontId="0" fillId="3" borderId="15" xfId="0" applyNumberFormat="1" applyFill="1" applyBorder="1"/>
    <xf numFmtId="164" fontId="0" fillId="3" borderId="15" xfId="0" applyNumberFormat="1" applyFill="1" applyBorder="1"/>
    <xf numFmtId="0" fontId="0" fillId="3" borderId="15" xfId="0" applyFill="1" applyBorder="1"/>
    <xf numFmtId="49" fontId="0" fillId="2" borderId="15" xfId="0" applyNumberFormat="1" applyFill="1" applyBorder="1"/>
    <xf numFmtId="49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4" fontId="0" fillId="2" borderId="15" xfId="0" applyNumberFormat="1" applyFill="1" applyBorder="1"/>
    <xf numFmtId="164" fontId="0" fillId="2" borderId="15" xfId="0" applyNumberFormat="1" applyFill="1" applyBorder="1"/>
    <xf numFmtId="0" fontId="0" fillId="3" borderId="16" xfId="0" applyFill="1" applyBorder="1" applyAlignment="1"/>
    <xf numFmtId="164" fontId="0" fillId="3" borderId="14" xfId="0" applyNumberFormat="1" applyFill="1" applyBorder="1"/>
    <xf numFmtId="10" fontId="0" fillId="3" borderId="15" xfId="0" applyNumberFormat="1" applyFill="1" applyBorder="1"/>
    <xf numFmtId="49" fontId="1" fillId="3" borderId="15" xfId="0" applyNumberFormat="1" applyFont="1" applyFill="1" applyBorder="1"/>
    <xf numFmtId="164" fontId="1" fillId="2" borderId="15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4DA4-60CA-4E2F-8F8B-2445A3011699}">
  <dimension ref="A1:H30"/>
  <sheetViews>
    <sheetView workbookViewId="0"/>
  </sheetViews>
  <sheetFormatPr defaultRowHeight="12.6"/>
  <sheetData>
    <row r="1" spans="1:8">
      <c r="A1" s="1" t="s">
        <v>0</v>
      </c>
    </row>
    <row r="3" spans="1:8">
      <c r="A3" t="s">
        <v>1</v>
      </c>
    </row>
    <row r="5" spans="1:8">
      <c r="A5" t="s">
        <v>2</v>
      </c>
      <c r="B5" t="s">
        <v>3</v>
      </c>
    </row>
    <row r="7" spans="1:8">
      <c r="A7" s="4" t="s">
        <v>4</v>
      </c>
      <c r="B7" s="5"/>
      <c r="D7" s="4" t="s">
        <v>5</v>
      </c>
      <c r="E7" s="5"/>
      <c r="G7" s="4" t="s">
        <v>6</v>
      </c>
      <c r="H7" s="5"/>
    </row>
    <row r="8" spans="1:8">
      <c r="A8" s="2"/>
      <c r="B8" s="3"/>
      <c r="D8" s="2"/>
      <c r="E8" s="3"/>
      <c r="G8" s="2"/>
      <c r="H8" s="3"/>
    </row>
    <row r="9" spans="1:8">
      <c r="A9" s="2" t="s">
        <v>7</v>
      </c>
      <c r="B9" s="3">
        <v>255</v>
      </c>
      <c r="D9" s="2" t="s">
        <v>7</v>
      </c>
      <c r="E9" s="3">
        <v>8</v>
      </c>
      <c r="G9" s="2" t="s">
        <v>7</v>
      </c>
      <c r="H9" s="3">
        <v>102</v>
      </c>
    </row>
    <row r="10" spans="1:8">
      <c r="A10" s="2" t="s">
        <v>8</v>
      </c>
      <c r="B10" s="3">
        <v>5</v>
      </c>
      <c r="D10" s="2" t="s">
        <v>8</v>
      </c>
      <c r="E10" s="3">
        <v>1</v>
      </c>
      <c r="G10" s="2" t="s">
        <v>8</v>
      </c>
      <c r="H10" s="3">
        <v>2</v>
      </c>
    </row>
    <row r="11" spans="1:8">
      <c r="A11" s="2"/>
      <c r="B11" s="3"/>
      <c r="D11" s="2"/>
      <c r="E11" s="3"/>
      <c r="G11" s="2"/>
      <c r="H11" s="3"/>
    </row>
    <row r="12" spans="1:8">
      <c r="A12" s="2" t="s">
        <v>9</v>
      </c>
      <c r="B12" s="3" t="s">
        <v>10</v>
      </c>
      <c r="D12" s="2" t="s">
        <v>9</v>
      </c>
      <c r="E12" s="3" t="s">
        <v>10</v>
      </c>
      <c r="G12" s="2" t="s">
        <v>9</v>
      </c>
      <c r="H12" s="3" t="s">
        <v>10</v>
      </c>
    </row>
    <row r="13" spans="1:8">
      <c r="A13" s="2" t="s">
        <v>11</v>
      </c>
      <c r="B13" s="3">
        <f>IF(A13="2½W",2.5/dagenperweek1,IF(RIGHT(A13,1)="W",VALUE(LEFT(A13,LEN(A13)-1))/dagenperweek1,IF(RIGHT(A13,1)="J",VALUE(LEFT(A13,LEN(A13)-1))/dagenperjaar1,"handmatig!")))</f>
        <v>1</v>
      </c>
      <c r="D13" s="2" t="s">
        <v>11</v>
      </c>
      <c r="E13" s="3">
        <f>IF(D13="2½W",2.5/dagenperweek2,IF(RIGHT(D13,1)="W",VALUE(LEFT(D13,LEN(D13)-1))/dagenperweek2,IF(RIGHT(D13,1)="J",VALUE(LEFT(D13,LEN(D13)-1))/dagenperjaar2,"handmatig!")))</f>
        <v>5</v>
      </c>
      <c r="G13" s="2" t="s">
        <v>12</v>
      </c>
      <c r="H13" s="3">
        <f>IF(G13="2½W",2.5/dagenperweek3,IF(RIGHT(G13,1)="W",VALUE(LEFT(G13,LEN(G13)-1))/dagenperweek3,IF(RIGHT(G13,1)="J",VALUE(LEFT(G13,LEN(G13)-1))/dagenperjaar3,"handmatig!")))</f>
        <v>1</v>
      </c>
    </row>
    <row r="14" spans="1:8">
      <c r="A14" s="2" t="s">
        <v>13</v>
      </c>
      <c r="B14" s="3">
        <f>IF(A14="2½W",2.5/dagenperweek1,IF(RIGHT(A14,1)="W",VALUE(LEFT(A14,LEN(A14)-1))/dagenperweek1,IF(RIGHT(A14,1)="J",VALUE(LEFT(A14,LEN(A14)-1))/dagenperjaar1,"handmatig!")))</f>
        <v>0.82352941176470584</v>
      </c>
      <c r="D14" s="2" t="s">
        <v>14</v>
      </c>
      <c r="E14" s="3">
        <f>IF(D14="2½W",2.5/dagenperweek2,IF(RIGHT(D14,1)="W",VALUE(LEFT(D14,LEN(D14)-1))/dagenperweek2,IF(RIGHT(D14,1)="J",VALUE(LEFT(D14,LEN(D14)-1))/dagenperjaar2,"handmatig!")))</f>
        <v>4</v>
      </c>
      <c r="G14" s="102" t="s">
        <v>15</v>
      </c>
      <c r="H14" s="103">
        <f>IF(G14="2½W",2.5/dagenperweek3,IF(RIGHT(G14,1)="W",VALUE(LEFT(G14,LEN(G14)-1))/dagenperweek3,IF(RIGHT(G14,1)="J",VALUE(LEFT(G14,LEN(G14)-1))/dagenperjaar3,"handmatig!")))</f>
        <v>0.5</v>
      </c>
    </row>
    <row r="15" spans="1:8">
      <c r="A15" s="2" t="s">
        <v>16</v>
      </c>
      <c r="B15" s="3">
        <f>IF(A15="2½W",2.5/dagenperweek1,IF(RIGHT(A15,1)="W",VALUE(LEFT(A15,LEN(A15)-1))/dagenperweek1,IF(RIGHT(A15,1)="J",VALUE(LEFT(A15,LEN(A15)-1))/dagenperjaar1,"handmatig!")))</f>
        <v>0.80392156862745101</v>
      </c>
      <c r="D15" s="2" t="s">
        <v>17</v>
      </c>
      <c r="E15" s="3">
        <f>IF(D15="2½W",2.5/dagenperweek2,IF(RIGHT(D15,1)="W",VALUE(LEFT(D15,LEN(D15)-1))/dagenperweek2,IF(RIGHT(D15,1)="J",VALUE(LEFT(D15,LEN(D15)-1))/dagenperjaar2,"handmatig!")))</f>
        <v>3</v>
      </c>
    </row>
    <row r="16" spans="1:8">
      <c r="A16" s="2" t="s">
        <v>14</v>
      </c>
      <c r="B16" s="3">
        <f>IF(A16="2½W",2.5/dagenperweek1,IF(RIGHT(A16,1)="W",VALUE(LEFT(A16,LEN(A16)-1))/dagenperweek1,IF(RIGHT(A16,1)="J",VALUE(LEFT(A16,LEN(A16)-1))/dagenperjaar1,"handmatig!")))</f>
        <v>0.8</v>
      </c>
      <c r="D16" s="2" t="s">
        <v>12</v>
      </c>
      <c r="E16" s="3">
        <f>IF(D16="2½W",2.5/dagenperweek2,IF(RIGHT(D16,1)="W",VALUE(LEFT(D16,LEN(D16)-1))/dagenperweek2,IF(RIGHT(D16,1)="J",VALUE(LEFT(D16,LEN(D16)-1))/dagenperjaar2,"handmatig!")))</f>
        <v>2</v>
      </c>
    </row>
    <row r="17" spans="1:5">
      <c r="A17" s="2" t="s">
        <v>18</v>
      </c>
      <c r="B17" s="3">
        <f>IF(A17="2½W",2.5/dagenperweek1,IF(RIGHT(A17,1)="W",VALUE(LEFT(A17,LEN(A17)-1))/dagenperweek1,IF(RIGHT(A17,1)="J",VALUE(LEFT(A17,LEN(A17)-1))/dagenperjaar1,"handmatig!")))</f>
        <v>0.78431372549019607</v>
      </c>
      <c r="D17" s="2" t="s">
        <v>15</v>
      </c>
      <c r="E17" s="3">
        <f>IF(D17="2½W",2.5/dagenperweek2,IF(RIGHT(D17,1)="W",VALUE(LEFT(D17,LEN(D17)-1))/dagenperweek2,IF(RIGHT(D17,1)="J",VALUE(LEFT(D17,LEN(D17)-1))/dagenperjaar2,"handmatig!")))</f>
        <v>1</v>
      </c>
    </row>
    <row r="18" spans="1:5">
      <c r="A18" s="2" t="s">
        <v>17</v>
      </c>
      <c r="B18" s="3">
        <f>IF(A18="2½W",2.5/dagenperweek1,IF(RIGHT(A18,1)="W",VALUE(LEFT(A18,LEN(A18)-1))/dagenperweek1,IF(RIGHT(A18,1)="J",VALUE(LEFT(A18,LEN(A18)-1))/dagenperjaar1,"handmatig!")))</f>
        <v>0.6</v>
      </c>
      <c r="D18" s="2" t="s">
        <v>19</v>
      </c>
      <c r="E18" s="3">
        <f>IF(D18="2½W",2.5/dagenperweek2,IF(RIGHT(D18,1)="W",VALUE(LEFT(D18,LEN(D18)-1))/dagenperweek2,IF(RIGHT(D18,1)="J",VALUE(LEFT(D18,LEN(D18)-1))/dagenperjaar2,"handmatig!")))</f>
        <v>3.25</v>
      </c>
    </row>
    <row r="19" spans="1:5">
      <c r="A19" s="2" t="s">
        <v>20</v>
      </c>
      <c r="B19" s="3">
        <f>IF(A19="2½W",2.5/dagenperweek1,IF(RIGHT(A19,1)="W",VALUE(LEFT(A19,LEN(A19)-1))/dagenperweek1,IF(RIGHT(A19,1)="J",VALUE(LEFT(A19,LEN(A19)-1))/dagenperjaar1,"handmatig!")))</f>
        <v>0.47058823529411764</v>
      </c>
      <c r="D19" s="2" t="s">
        <v>21</v>
      </c>
      <c r="E19" s="3">
        <f>IF(D19="2½W",2.5/dagenperweek2,IF(RIGHT(D19,1)="W",VALUE(LEFT(D19,LEN(D19)-1))/dagenperweek2,IF(RIGHT(D19,1)="J",VALUE(LEFT(D19,LEN(D19)-1))/dagenperjaar2,"handmatig!")))</f>
        <v>1.5</v>
      </c>
    </row>
    <row r="20" spans="1:5">
      <c r="A20" s="2" t="s">
        <v>12</v>
      </c>
      <c r="B20" s="3">
        <f>IF(A20="2½W",2.5/dagenperweek1,IF(RIGHT(A20,1)="W",VALUE(LEFT(A20,LEN(A20)-1))/dagenperweek1,IF(RIGHT(A20,1)="J",VALUE(LEFT(A20,LEN(A20)-1))/dagenperjaar1,"handmatig!")))</f>
        <v>0.4</v>
      </c>
      <c r="D20" s="2" t="s">
        <v>22</v>
      </c>
      <c r="E20" s="3">
        <f>IF(D20="2½W",2.5/dagenperweek2,IF(RIGHT(D20,1)="W",VALUE(LEFT(D20,LEN(D20)-1))/dagenperweek2,IF(RIGHT(D20,1)="J",VALUE(LEFT(D20,LEN(D20)-1))/dagenperjaar2,"handmatig!")))</f>
        <v>0.75</v>
      </c>
    </row>
    <row r="21" spans="1:5">
      <c r="A21" s="2" t="s">
        <v>23</v>
      </c>
      <c r="B21" s="3">
        <f>IF(A21="2½W",2.5/dagenperweek1,IF(RIGHT(A21,1)="W",VALUE(LEFT(A21,LEN(A21)-1))/dagenperweek1,IF(RIGHT(A21,1)="J",VALUE(LEFT(A21,LEN(A21)-1))/dagenperjaar1,"handmatig!")))</f>
        <v>0.31372549019607843</v>
      </c>
      <c r="D21" s="2" t="s">
        <v>24</v>
      </c>
      <c r="E21" s="3">
        <f>IF(D21="2½W",2.5/dagenperweek2,IF(RIGHT(D21,1)="W",VALUE(LEFT(D21,LEN(D21)-1))/dagenperweek2,IF(RIGHT(D21,1)="J",VALUE(LEFT(D21,LEN(D21)-1))/dagenperjaar2,"handmatig!")))</f>
        <v>0.5</v>
      </c>
    </row>
    <row r="22" spans="1:5">
      <c r="A22" s="2" t="s">
        <v>15</v>
      </c>
      <c r="B22" s="3">
        <f>IF(A22="2½W",2.5/dagenperweek1,IF(RIGHT(A22,1)="W",VALUE(LEFT(A22,LEN(A22)-1))/dagenperweek1,IF(RIGHT(A22,1)="J",VALUE(LEFT(A22,LEN(A22)-1))/dagenperjaar1,"handmatig!")))</f>
        <v>0.2</v>
      </c>
      <c r="D22" s="2" t="s">
        <v>25</v>
      </c>
      <c r="E22" s="3">
        <f>IF(D22="2½W",2.5/dagenperweek2,IF(RIGHT(D22,1)="W",VALUE(LEFT(D22,LEN(D22)-1))/dagenperweek2,IF(RIGHT(D22,1)="J",VALUE(LEFT(D22,LEN(D22)-1))/dagenperjaar2,"handmatig!")))</f>
        <v>0.375</v>
      </c>
    </row>
    <row r="23" spans="1:5">
      <c r="A23" s="2" t="s">
        <v>26</v>
      </c>
      <c r="B23" s="3">
        <f>IF(A23="2½W",2.5/dagenperweek1,IF(RIGHT(A23,1)="W",VALUE(LEFT(A23,LEN(A23)-1))/dagenperweek1,IF(RIGHT(A23,1)="J",VALUE(LEFT(A23,LEN(A23)-1))/dagenperjaar1,"handmatig!")))</f>
        <v>0.15686274509803921</v>
      </c>
      <c r="D23" s="2" t="s">
        <v>27</v>
      </c>
      <c r="E23" s="3">
        <f>IF(D23="2½W",2.5/dagenperweek2,IF(RIGHT(D23,1)="W",VALUE(LEFT(D23,LEN(D23)-1))/dagenperweek2,IF(RIGHT(D23,1)="J",VALUE(LEFT(D23,LEN(D23)-1))/dagenperjaar2,"handmatig!")))</f>
        <v>0.25</v>
      </c>
    </row>
    <row r="24" spans="1:5">
      <c r="A24" s="2" t="s">
        <v>19</v>
      </c>
      <c r="B24" s="3">
        <f>IF(A24="2½W",2.5/dagenperweek1,IF(RIGHT(A24,1)="W",VALUE(LEFT(A24,LEN(A24)-1))/dagenperweek1,IF(RIGHT(A24,1)="J",VALUE(LEFT(A24,LEN(A24)-1))/dagenperjaar1,"handmatig!")))</f>
        <v>0.10196078431372549</v>
      </c>
      <c r="D24" s="102" t="s">
        <v>28</v>
      </c>
      <c r="E24" s="103">
        <f>IF(D24="2½W",2.5/dagenperweek2,IF(RIGHT(D24,1)="W",VALUE(LEFT(D24,LEN(D24)-1))/dagenperweek2,IF(RIGHT(D24,1)="J",VALUE(LEFT(D24,LEN(D24)-1))/dagenperjaar2,"handmatig!")))</f>
        <v>0.125</v>
      </c>
    </row>
    <row r="25" spans="1:5">
      <c r="A25" s="2" t="s">
        <v>21</v>
      </c>
      <c r="B25" s="3">
        <f>IF(A25="2½W",2.5/dagenperweek1,IF(RIGHT(A25,1)="W",VALUE(LEFT(A25,LEN(A25)-1))/dagenperweek1,IF(RIGHT(A25,1)="J",VALUE(LEFT(A25,LEN(A25)-1))/dagenperjaar1,"handmatig!")))</f>
        <v>4.7058823529411764E-2</v>
      </c>
    </row>
    <row r="26" spans="1:5">
      <c r="A26" s="2" t="s">
        <v>22</v>
      </c>
      <c r="B26" s="3">
        <f>IF(A26="2½W",2.5/dagenperweek1,IF(RIGHT(A26,1)="W",VALUE(LEFT(A26,LEN(A26)-1))/dagenperweek1,IF(RIGHT(A26,1)="J",VALUE(LEFT(A26,LEN(A26)-1))/dagenperjaar1,"handmatig!")))</f>
        <v>2.3529411764705882E-2</v>
      </c>
    </row>
    <row r="27" spans="1:5">
      <c r="A27" s="2" t="s">
        <v>24</v>
      </c>
      <c r="B27" s="3">
        <f>IF(A27="2½W",2.5/dagenperweek1,IF(RIGHT(A27,1)="W",VALUE(LEFT(A27,LEN(A27)-1))/dagenperweek1,IF(RIGHT(A27,1)="J",VALUE(LEFT(A27,LEN(A27)-1))/dagenperjaar1,"handmatig!")))</f>
        <v>1.5686274509803921E-2</v>
      </c>
    </row>
    <row r="28" spans="1:5">
      <c r="A28" s="2" t="s">
        <v>25</v>
      </c>
      <c r="B28" s="3">
        <f>IF(A28="2½W",2.5/dagenperweek1,IF(RIGHT(A28,1)="W",VALUE(LEFT(A28,LEN(A28)-1))/dagenperweek1,IF(RIGHT(A28,1)="J",VALUE(LEFT(A28,LEN(A28)-1))/dagenperjaar1,"handmatig!")))</f>
        <v>1.1764705882352941E-2</v>
      </c>
    </row>
    <row r="29" spans="1:5">
      <c r="A29" s="2" t="s">
        <v>27</v>
      </c>
      <c r="B29" s="3">
        <f>IF(A29="2½W",2.5/dagenperweek1,IF(RIGHT(A29,1)="W",VALUE(LEFT(A29,LEN(A29)-1))/dagenperweek1,IF(RIGHT(A29,1)="J",VALUE(LEFT(A29,LEN(A29)-1))/dagenperjaar1,"handmatig!")))</f>
        <v>7.8431372549019607E-3</v>
      </c>
    </row>
    <row r="30" spans="1:5">
      <c r="A30" s="102" t="s">
        <v>28</v>
      </c>
      <c r="B30" s="103">
        <f>IF(A30="2½W",2.5/dagenperweek1,IF(RIGHT(A30,1)="W",VALUE(LEFT(A30,LEN(A30)-1))/dagenperweek1,IF(RIGHT(A30,1)="J",VALUE(LEFT(A30,LEN(A30)-1))/dagenperjaar1,"handmatig!")))</f>
        <v>3.9215686274509803E-3</v>
      </c>
    </row>
  </sheetData>
  <pageMargins left="0.7" right="0.7" top="0.75" bottom="0.75" header="0.3" footer="0.3"/>
  <pageSetup paperSize="9" orientation="portrait" horizontalDpi="15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22F00-3146-408E-880F-34C4EED37495}">
  <dimension ref="A1:L11"/>
  <sheetViews>
    <sheetView workbookViewId="0"/>
  </sheetViews>
  <sheetFormatPr defaultRowHeight="12.6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>
      <c r="A1" s="1" t="str">
        <f>CONCATENATE("Bijlage G2.8: ",tabeltype," regiewerk")</f>
        <v>Bijlage G2.8: Invultabel regiewerk</v>
      </c>
    </row>
    <row r="3" spans="1:12" ht="37.9">
      <c r="A3" s="42" t="s">
        <v>377</v>
      </c>
      <c r="B3" s="42" t="s">
        <v>9</v>
      </c>
      <c r="C3" s="42" t="s">
        <v>480</v>
      </c>
      <c r="D3" s="42" t="s">
        <v>32</v>
      </c>
      <c r="E3" s="42" t="s">
        <v>35</v>
      </c>
      <c r="F3" s="42" t="s">
        <v>481</v>
      </c>
      <c r="G3" s="42" t="s">
        <v>482</v>
      </c>
      <c r="H3" s="42" t="s">
        <v>483</v>
      </c>
      <c r="I3" s="42" t="s">
        <v>379</v>
      </c>
      <c r="J3" s="42" t="s">
        <v>484</v>
      </c>
      <c r="K3" s="42" t="s">
        <v>118</v>
      </c>
      <c r="L3" s="42" t="s">
        <v>340</v>
      </c>
    </row>
    <row r="4" spans="1:1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>
      <c r="A5" s="43" t="s">
        <v>37</v>
      </c>
      <c r="B5" s="9"/>
      <c r="C5" s="9"/>
      <c r="D5" s="9"/>
      <c r="E5" s="9"/>
      <c r="F5" s="9"/>
      <c r="G5" s="9"/>
      <c r="H5" s="9"/>
      <c r="I5" s="9"/>
      <c r="J5" s="9"/>
      <c r="K5" s="9"/>
      <c r="L5" s="37"/>
    </row>
    <row r="6" spans="1:12">
      <c r="A6" s="10" t="s">
        <v>485</v>
      </c>
      <c r="B6" s="10" t="s">
        <v>28</v>
      </c>
      <c r="C6" s="11">
        <f>IF(ISBLANK(B6),0,IF(ISERROR(VALUE(B6)),VLOOKUP(B6,dagsoorttabel1,2,FALSE)*dagenperjaar1,VALUE(B6)))</f>
        <v>1</v>
      </c>
      <c r="D6" s="10" t="s">
        <v>486</v>
      </c>
      <c r="E6" s="10" t="s">
        <v>429</v>
      </c>
      <c r="F6" s="91">
        <v>20</v>
      </c>
      <c r="G6" s="14"/>
      <c r="H6" s="92"/>
      <c r="I6" s="14"/>
      <c r="J6" s="28">
        <f>IF(ISBLANK(F6),0,F6)*I6</f>
        <v>0</v>
      </c>
      <c r="K6" s="28">
        <f>C6*J6</f>
        <v>0</v>
      </c>
      <c r="L6" s="28">
        <f>K6/12</f>
        <v>0</v>
      </c>
    </row>
    <row r="7" spans="1:12">
      <c r="A7" s="15" t="s">
        <v>487</v>
      </c>
      <c r="B7" s="15" t="s">
        <v>28</v>
      </c>
      <c r="C7" s="16">
        <f>IF(ISBLANK(B7),0,IF(ISERROR(VALUE(B7)),VLOOKUP(B7,dagsoorttabel1,2,FALSE)*dagenperjaar1,VALUE(B7)))</f>
        <v>1</v>
      </c>
      <c r="D7" s="15" t="s">
        <v>488</v>
      </c>
      <c r="E7" s="15" t="s">
        <v>429</v>
      </c>
      <c r="F7" s="93">
        <v>2</v>
      </c>
      <c r="G7" s="19"/>
      <c r="H7" s="94"/>
      <c r="I7" s="19"/>
      <c r="J7" s="32">
        <f>IF(ISBLANK(F7),0,F7)*I7</f>
        <v>0</v>
      </c>
      <c r="K7" s="32">
        <f>C7*J7</f>
        <v>0</v>
      </c>
      <c r="L7" s="32">
        <f>K7/12</f>
        <v>0</v>
      </c>
    </row>
    <row r="8" spans="1:12">
      <c r="A8" s="20" t="s">
        <v>489</v>
      </c>
      <c r="B8" s="20" t="s">
        <v>28</v>
      </c>
      <c r="C8" s="21">
        <f>IF(ISBLANK(B8),0,IF(ISERROR(VALUE(B8)),VLOOKUP(B8,dagsoorttabel1,2,FALSE)*dagenperjaar1,VALUE(B8)))</f>
        <v>1</v>
      </c>
      <c r="D8" s="20" t="s">
        <v>490</v>
      </c>
      <c r="E8" s="20" t="s">
        <v>429</v>
      </c>
      <c r="F8" s="95">
        <v>4</v>
      </c>
      <c r="G8" s="24"/>
      <c r="H8" s="96"/>
      <c r="I8" s="24"/>
      <c r="J8" s="36">
        <f>IF(ISBLANK(F8),0,F8)*I8</f>
        <v>0</v>
      </c>
      <c r="K8" s="36">
        <f>C8*J8</f>
        <v>0</v>
      </c>
      <c r="L8" s="36">
        <f>K8/12</f>
        <v>0</v>
      </c>
    </row>
    <row r="9" spans="1:12">
      <c r="A9" s="38" t="s">
        <v>154</v>
      </c>
      <c r="B9" s="39"/>
      <c r="C9" s="39"/>
      <c r="D9" s="39"/>
      <c r="E9" s="39"/>
      <c r="F9" s="39"/>
      <c r="G9" s="39"/>
      <c r="H9" s="39"/>
      <c r="I9" s="39"/>
      <c r="J9" s="39"/>
      <c r="K9" s="105">
        <f>SUM(K6:K8)</f>
        <v>0</v>
      </c>
      <c r="L9" s="113">
        <f>K9/12</f>
        <v>0</v>
      </c>
    </row>
    <row r="11" spans="1:12">
      <c r="A11" s="38" t="s">
        <v>491</v>
      </c>
      <c r="B11" s="39"/>
      <c r="C11" s="39"/>
      <c r="D11" s="39"/>
      <c r="E11" s="39"/>
      <c r="F11" s="39"/>
      <c r="G11" s="39"/>
      <c r="H11" s="39"/>
      <c r="I11" s="39"/>
      <c r="J11" s="39"/>
      <c r="K11" s="105">
        <f>prijsjaarregie1</f>
        <v>0</v>
      </c>
      <c r="L11" s="113">
        <f>K11/12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6714-9776-4F0E-8CBE-99D962E4D086}">
  <dimension ref="A1:L11"/>
  <sheetViews>
    <sheetView workbookViewId="0"/>
  </sheetViews>
  <sheetFormatPr defaultRowHeight="12.6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>
      <c r="A1" s="1" t="str">
        <f>CONCATENATE("Bijlage G2.9: ",tabeltype," glas")</f>
        <v>Bijlage G2.9: Invultabel glas</v>
      </c>
    </row>
    <row r="3" spans="1:12" ht="37.9">
      <c r="A3" s="42" t="s">
        <v>377</v>
      </c>
      <c r="B3" s="42" t="s">
        <v>9</v>
      </c>
      <c r="C3" s="42" t="s">
        <v>480</v>
      </c>
      <c r="D3" s="42" t="s">
        <v>32</v>
      </c>
      <c r="E3" s="42" t="s">
        <v>35</v>
      </c>
      <c r="F3" s="42" t="s">
        <v>481</v>
      </c>
      <c r="G3" s="42" t="s">
        <v>482</v>
      </c>
      <c r="H3" s="42" t="s">
        <v>483</v>
      </c>
      <c r="I3" s="42" t="s">
        <v>379</v>
      </c>
      <c r="J3" s="42" t="s">
        <v>484</v>
      </c>
      <c r="K3" s="42" t="s">
        <v>118</v>
      </c>
      <c r="L3" s="42" t="s">
        <v>340</v>
      </c>
    </row>
    <row r="4" spans="1:1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>
      <c r="A5" s="43" t="s">
        <v>37</v>
      </c>
      <c r="B5" s="9"/>
      <c r="C5" s="9"/>
      <c r="D5" s="9"/>
      <c r="E5" s="9"/>
      <c r="F5" s="9"/>
      <c r="G5" s="9"/>
      <c r="H5" s="9"/>
      <c r="I5" s="9"/>
      <c r="J5" s="9"/>
      <c r="K5" s="9"/>
      <c r="L5" s="37"/>
    </row>
    <row r="6" spans="1:12">
      <c r="A6" s="10" t="s">
        <v>492</v>
      </c>
      <c r="B6" s="10" t="s">
        <v>27</v>
      </c>
      <c r="C6" s="11">
        <f>IF(ISBLANK(B6),0,IF(ISERROR(VALUE(B6)),VLOOKUP(B6,dagsoorttabel1,2,FALSE)*dagenperjaar1,VALUE(B6)))</f>
        <v>2</v>
      </c>
      <c r="D6" s="10" t="s">
        <v>493</v>
      </c>
      <c r="E6" s="10" t="s">
        <v>407</v>
      </c>
      <c r="F6" s="91">
        <v>2772</v>
      </c>
      <c r="G6" s="14"/>
      <c r="H6" s="92"/>
      <c r="I6" s="14"/>
      <c r="J6" s="28">
        <f>IF(ISBLANK(F6),0,F6)*I6</f>
        <v>0</v>
      </c>
      <c r="K6" s="28">
        <f>C6*J6</f>
        <v>0</v>
      </c>
      <c r="L6" s="28">
        <f>K6/12</f>
        <v>0</v>
      </c>
    </row>
    <row r="7" spans="1:12">
      <c r="A7" s="15" t="s">
        <v>494</v>
      </c>
      <c r="B7" s="15" t="s">
        <v>27</v>
      </c>
      <c r="C7" s="16">
        <f>IF(ISBLANK(B7),0,IF(ISERROR(VALUE(B7)),VLOOKUP(B7,dagsoorttabel1,2,FALSE)*dagenperjaar1,VALUE(B7)))</f>
        <v>2</v>
      </c>
      <c r="D7" s="15" t="s">
        <v>495</v>
      </c>
      <c r="E7" s="15" t="s">
        <v>407</v>
      </c>
      <c r="F7" s="93">
        <v>2772</v>
      </c>
      <c r="G7" s="19"/>
      <c r="H7" s="94"/>
      <c r="I7" s="19"/>
      <c r="J7" s="32">
        <f>IF(ISBLANK(F7),0,F7)*I7</f>
        <v>0</v>
      </c>
      <c r="K7" s="32">
        <f>C7*J7</f>
        <v>0</v>
      </c>
      <c r="L7" s="32">
        <f>K7/12</f>
        <v>0</v>
      </c>
    </row>
    <row r="8" spans="1:12">
      <c r="A8" s="20" t="s">
        <v>496</v>
      </c>
      <c r="B8" s="20" t="s">
        <v>27</v>
      </c>
      <c r="C8" s="21">
        <f>IF(ISBLANK(B8),0,IF(ISERROR(VALUE(B8)),VLOOKUP(B8,dagsoorttabel1,2,FALSE)*dagenperjaar1,VALUE(B8)))</f>
        <v>2</v>
      </c>
      <c r="D8" s="20" t="s">
        <v>497</v>
      </c>
      <c r="E8" s="20" t="s">
        <v>407</v>
      </c>
      <c r="F8" s="95">
        <v>1032</v>
      </c>
      <c r="G8" s="24"/>
      <c r="H8" s="96"/>
      <c r="I8" s="24"/>
      <c r="J8" s="36">
        <f>IF(ISBLANK(F8),0,F8)*I8</f>
        <v>0</v>
      </c>
      <c r="K8" s="36">
        <f>C8*J8</f>
        <v>0</v>
      </c>
      <c r="L8" s="36">
        <f>K8/12</f>
        <v>0</v>
      </c>
    </row>
    <row r="9" spans="1:12">
      <c r="A9" s="38" t="s">
        <v>154</v>
      </c>
      <c r="B9" s="39"/>
      <c r="C9" s="39"/>
      <c r="D9" s="39"/>
      <c r="E9" s="39"/>
      <c r="F9" s="39"/>
      <c r="G9" s="39"/>
      <c r="H9" s="39"/>
      <c r="I9" s="39"/>
      <c r="J9" s="39"/>
      <c r="K9" s="105">
        <f>SUM(K6:K8)</f>
        <v>0</v>
      </c>
      <c r="L9" s="113">
        <f>K9/12</f>
        <v>0</v>
      </c>
    </row>
    <row r="11" spans="1:12">
      <c r="A11" s="38" t="s">
        <v>498</v>
      </c>
      <c r="B11" s="39"/>
      <c r="C11" s="39"/>
      <c r="D11" s="39"/>
      <c r="E11" s="39"/>
      <c r="F11" s="39"/>
      <c r="G11" s="39"/>
      <c r="H11" s="39"/>
      <c r="I11" s="39"/>
      <c r="J11" s="39"/>
      <c r="K11" s="105">
        <f>prijsjaarglas1</f>
        <v>0</v>
      </c>
      <c r="L11" s="113">
        <f>K11/12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9ABB-19B3-40C4-B747-725E6AC9E41A}">
  <dimension ref="A1:M9"/>
  <sheetViews>
    <sheetView workbookViewId="0"/>
  </sheetViews>
  <sheetFormatPr defaultRowHeight="12.6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  <col min="13" max="13" width="13.625" customWidth="1"/>
  </cols>
  <sheetData>
    <row r="1" spans="1:13">
      <c r="A1" s="1" t="str">
        <f>CONCATENATE("Bijlage G2.10: ",tabeltype," glas per locatie")</f>
        <v>Bijlage G2.10: Invultabel glas per locatie</v>
      </c>
    </row>
    <row r="3" spans="1:13" ht="37.9">
      <c r="A3" s="42" t="s">
        <v>377</v>
      </c>
      <c r="B3" s="42" t="s">
        <v>9</v>
      </c>
      <c r="C3" s="42" t="s">
        <v>480</v>
      </c>
      <c r="D3" s="42" t="s">
        <v>323</v>
      </c>
      <c r="E3" s="42" t="s">
        <v>32</v>
      </c>
      <c r="F3" s="42" t="s">
        <v>35</v>
      </c>
      <c r="G3" s="42" t="s">
        <v>481</v>
      </c>
      <c r="H3" s="42" t="s">
        <v>482</v>
      </c>
      <c r="I3" s="42" t="s">
        <v>483</v>
      </c>
      <c r="J3" s="42" t="s">
        <v>379</v>
      </c>
      <c r="K3" s="42" t="s">
        <v>484</v>
      </c>
      <c r="L3" s="42" t="s">
        <v>118</v>
      </c>
      <c r="M3" s="42" t="s">
        <v>340</v>
      </c>
    </row>
    <row r="5" spans="1:13">
      <c r="A5" s="97" t="s">
        <v>167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1"/>
    </row>
    <row r="6" spans="1:13">
      <c r="A6" s="10" t="s">
        <v>492</v>
      </c>
      <c r="B6" s="10" t="s">
        <v>27</v>
      </c>
      <c r="C6" s="11">
        <f>IF(ISBLANK(B6),0,IF(ISERROR(VALUE(B6)),VLOOKUP(B6,dagsoorttabel1,2,FALSE)*dagenperjaar1,VALUE(B6)))</f>
        <v>2</v>
      </c>
      <c r="D6" s="10" t="s">
        <v>330</v>
      </c>
      <c r="E6" s="10" t="s">
        <v>493</v>
      </c>
      <c r="F6" s="10" t="s">
        <v>407</v>
      </c>
      <c r="G6" s="91">
        <v>2772</v>
      </c>
      <c r="H6" s="98">
        <f>Glas!G6</f>
        <v>0</v>
      </c>
      <c r="I6" s="92"/>
      <c r="J6" s="98">
        <f>Glas!I6</f>
        <v>0</v>
      </c>
      <c r="K6" s="28">
        <f>IF(ISBLANK(G6),0,G6)*J6</f>
        <v>0</v>
      </c>
      <c r="L6" s="28">
        <f>C6*K6</f>
        <v>0</v>
      </c>
      <c r="M6" s="28">
        <f>L6/12</f>
        <v>0</v>
      </c>
    </row>
    <row r="7" spans="1:13">
      <c r="A7" s="15" t="s">
        <v>494</v>
      </c>
      <c r="B7" s="15" t="s">
        <v>27</v>
      </c>
      <c r="C7" s="16">
        <f>IF(ISBLANK(B7),0,IF(ISERROR(VALUE(B7)),VLOOKUP(B7,dagsoorttabel1,2,FALSE)*dagenperjaar1,VALUE(B7)))</f>
        <v>2</v>
      </c>
      <c r="D7" s="15" t="s">
        <v>330</v>
      </c>
      <c r="E7" s="15" t="s">
        <v>495</v>
      </c>
      <c r="F7" s="15" t="s">
        <v>407</v>
      </c>
      <c r="G7" s="93">
        <v>2772</v>
      </c>
      <c r="H7" s="99">
        <f>Glas!G7</f>
        <v>0</v>
      </c>
      <c r="I7" s="94"/>
      <c r="J7" s="99">
        <f>Glas!I7</f>
        <v>0</v>
      </c>
      <c r="K7" s="32">
        <f>IF(ISBLANK(G7),0,G7)*J7</f>
        <v>0</v>
      </c>
      <c r="L7" s="32">
        <f>C7*K7</f>
        <v>0</v>
      </c>
      <c r="M7" s="32">
        <f>L7/12</f>
        <v>0</v>
      </c>
    </row>
    <row r="8" spans="1:13">
      <c r="A8" s="20" t="s">
        <v>496</v>
      </c>
      <c r="B8" s="20" t="s">
        <v>27</v>
      </c>
      <c r="C8" s="21">
        <f>IF(ISBLANK(B8),0,IF(ISERROR(VALUE(B8)),VLOOKUP(B8,dagsoorttabel1,2,FALSE)*dagenperjaar1,VALUE(B8)))</f>
        <v>2</v>
      </c>
      <c r="D8" s="20" t="s">
        <v>330</v>
      </c>
      <c r="E8" s="20" t="s">
        <v>497</v>
      </c>
      <c r="F8" s="20" t="s">
        <v>407</v>
      </c>
      <c r="G8" s="95">
        <v>1032</v>
      </c>
      <c r="H8" s="100">
        <f>Glas!G8</f>
        <v>0</v>
      </c>
      <c r="I8" s="96"/>
      <c r="J8" s="100">
        <f>Glas!I8</f>
        <v>0</v>
      </c>
      <c r="K8" s="36">
        <f>IF(ISBLANK(G8),0,G8)*J8</f>
        <v>0</v>
      </c>
      <c r="L8" s="36">
        <f>C8*K8</f>
        <v>0</v>
      </c>
      <c r="M8" s="36">
        <f>L8/12</f>
        <v>0</v>
      </c>
    </row>
    <row r="9" spans="1:13">
      <c r="A9" s="84" t="s">
        <v>357</v>
      </c>
      <c r="B9" s="39"/>
      <c r="C9" s="39"/>
      <c r="D9" s="39"/>
      <c r="E9" s="39"/>
      <c r="F9" s="39"/>
      <c r="G9" s="39"/>
      <c r="H9" s="39"/>
      <c r="I9" s="39"/>
      <c r="J9" s="39"/>
      <c r="K9" s="105">
        <f>SUM(K6:K8)</f>
        <v>0</v>
      </c>
      <c r="L9" s="105">
        <f>SUM(L6:L8)</f>
        <v>0</v>
      </c>
      <c r="M9" s="113">
        <f>L9/12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D205-322A-4846-8AC2-F8E321B4C459}">
  <dimension ref="A1:F13"/>
  <sheetViews>
    <sheetView workbookViewId="0">
      <selection activeCell="F13" sqref="F13"/>
    </sheetView>
  </sheetViews>
  <sheetFormatPr defaultRowHeight="12.6"/>
  <cols>
    <col min="1" max="1" width="30.625" customWidth="1"/>
    <col min="2" max="6" width="20.625" customWidth="1"/>
  </cols>
  <sheetData>
    <row r="1" spans="1:6">
      <c r="A1" s="1" t="str">
        <f>CONCATENATE("Bijlage G2.11: ",tabeltype," totaalblad schoonmaakwerk")</f>
        <v>Bijlage G2.11: Invultabel totaalblad schoonmaakwerk</v>
      </c>
    </row>
    <row r="3" spans="1:6" ht="25.15">
      <c r="A3" s="42" t="s">
        <v>499</v>
      </c>
      <c r="B3" s="42" t="s">
        <v>500</v>
      </c>
      <c r="C3" s="42" t="s">
        <v>501</v>
      </c>
      <c r="D3" s="42" t="s">
        <v>502</v>
      </c>
      <c r="E3" s="42" t="s">
        <v>503</v>
      </c>
      <c r="F3" s="42" t="s">
        <v>504</v>
      </c>
    </row>
    <row r="4" spans="1:6">
      <c r="A4" s="85" t="s">
        <v>505</v>
      </c>
      <c r="B4" s="25">
        <f>urenjaartotaaloverzicht</f>
        <v>0</v>
      </c>
      <c r="C4" s="25">
        <f>urenjaartotaaloverzichthf</f>
        <v>0</v>
      </c>
      <c r="D4" s="76"/>
      <c r="E4" s="28">
        <f>prijsjaartotaaloverzicht</f>
        <v>0</v>
      </c>
      <c r="F4" s="28">
        <f>E4*1.21</f>
        <v>0</v>
      </c>
    </row>
    <row r="5" spans="1:6">
      <c r="A5" s="86" t="s">
        <v>506</v>
      </c>
      <c r="B5" s="79"/>
      <c r="C5" s="79"/>
      <c r="D5" s="29">
        <f>urenjaarnietmeewerkend</f>
        <v>0</v>
      </c>
      <c r="E5" s="32">
        <f>prijsjaarnietmeewerkend</f>
        <v>0</v>
      </c>
      <c r="F5" s="32">
        <f>E5*1.21</f>
        <v>0</v>
      </c>
    </row>
    <row r="6" spans="1:6">
      <c r="A6" s="86" t="s">
        <v>507</v>
      </c>
      <c r="B6" s="79"/>
      <c r="C6" s="79"/>
      <c r="D6" s="79"/>
      <c r="E6" s="32">
        <f>prijsjaarregie</f>
        <v>0</v>
      </c>
      <c r="F6" s="32">
        <f>E6*1.21</f>
        <v>0</v>
      </c>
    </row>
    <row r="7" spans="1:6">
      <c r="A7" s="87" t="s">
        <v>508</v>
      </c>
      <c r="B7" s="101"/>
      <c r="C7" s="101"/>
      <c r="D7" s="101"/>
      <c r="E7" s="36">
        <f>prijsjaarglas</f>
        <v>0</v>
      </c>
      <c r="F7" s="36">
        <f>E7*1.21</f>
        <v>0</v>
      </c>
    </row>
    <row r="9" spans="1:6">
      <c r="A9" s="42" t="s">
        <v>509</v>
      </c>
      <c r="B9" s="104">
        <f>SUM(B4:B7)</f>
        <v>0</v>
      </c>
      <c r="C9" s="104">
        <f>SUM(C4:C7)</f>
        <v>0</v>
      </c>
      <c r="D9" s="104">
        <f>SUM(D4:D7)</f>
        <v>0</v>
      </c>
      <c r="E9" s="105">
        <f>SUM(E4:E7)</f>
        <v>0</v>
      </c>
      <c r="F9" s="105">
        <f>E9*1.21</f>
        <v>0</v>
      </c>
    </row>
    <row r="11" spans="1:6">
      <c r="A11" s="42" t="s">
        <v>510</v>
      </c>
      <c r="B11" s="114">
        <f>IF(B9&gt;0,D9/B9,0)</f>
        <v>0</v>
      </c>
    </row>
    <row r="13" spans="1:6">
      <c r="A13" s="115" t="s">
        <v>511</v>
      </c>
      <c r="B13" s="106"/>
      <c r="C13" s="106"/>
      <c r="D13" s="106"/>
      <c r="E13" s="106"/>
      <c r="F13" s="116">
        <f>SUM(vp_regulier,vp_leiding,vp_regie)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E3C3-3218-403A-BE3F-18BD42A707DC}">
  <dimension ref="A1:H39"/>
  <sheetViews>
    <sheetView workbookViewId="0"/>
  </sheetViews>
  <sheetFormatPr defaultRowHeight="12.6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>
      <c r="A1" s="1" t="str">
        <f>CONCATENATE("Bijlage G2.1: ",tabeltype," categorienormen")</f>
        <v>Bijlage G2.1: Invultabel categorienormen</v>
      </c>
    </row>
    <row r="3" spans="1:8" ht="37.9">
      <c r="A3" s="42" t="s">
        <v>29</v>
      </c>
      <c r="B3" s="42" t="s">
        <v>30</v>
      </c>
      <c r="C3" s="42" t="s">
        <v>31</v>
      </c>
      <c r="D3" s="42" t="s">
        <v>32</v>
      </c>
      <c r="E3" s="42" t="s">
        <v>33</v>
      </c>
      <c r="F3" s="42" t="s">
        <v>34</v>
      </c>
      <c r="G3" s="42" t="s">
        <v>35</v>
      </c>
      <c r="H3" s="42" t="s">
        <v>36</v>
      </c>
    </row>
    <row r="4" spans="1:8">
      <c r="A4" s="6"/>
      <c r="B4" s="7"/>
      <c r="C4" s="7"/>
      <c r="D4" s="7"/>
      <c r="E4" s="7"/>
      <c r="F4" s="7"/>
      <c r="G4" s="7"/>
      <c r="H4" s="8"/>
    </row>
    <row r="5" spans="1:8">
      <c r="A5" s="43" t="s">
        <v>37</v>
      </c>
      <c r="B5" s="9"/>
      <c r="C5" s="9"/>
      <c r="D5" s="9"/>
      <c r="E5" s="9"/>
      <c r="F5" s="9"/>
      <c r="G5" s="9"/>
      <c r="H5" s="37"/>
    </row>
    <row r="6" spans="1:8">
      <c r="A6" s="10" t="s">
        <v>38</v>
      </c>
      <c r="B6" s="11" t="s">
        <v>39</v>
      </c>
      <c r="C6" s="10">
        <v>1</v>
      </c>
      <c r="D6" s="10" t="s">
        <v>40</v>
      </c>
      <c r="E6" s="12"/>
      <c r="F6" s="13"/>
      <c r="G6" s="10" t="s">
        <v>41</v>
      </c>
      <c r="H6" s="14"/>
    </row>
    <row r="7" spans="1:8">
      <c r="A7" s="15" t="s">
        <v>42</v>
      </c>
      <c r="B7" s="16" t="s">
        <v>39</v>
      </c>
      <c r="C7" s="15">
        <v>1</v>
      </c>
      <c r="D7" s="15" t="s">
        <v>43</v>
      </c>
      <c r="E7" s="17"/>
      <c r="F7" s="18"/>
      <c r="G7" s="15" t="s">
        <v>41</v>
      </c>
      <c r="H7" s="19"/>
    </row>
    <row r="8" spans="1:8">
      <c r="A8" s="15" t="s">
        <v>44</v>
      </c>
      <c r="B8" s="16" t="s">
        <v>39</v>
      </c>
      <c r="C8" s="15">
        <v>40</v>
      </c>
      <c r="D8" s="15" t="s">
        <v>45</v>
      </c>
      <c r="E8" s="17"/>
      <c r="F8" s="18"/>
      <c r="G8" s="15" t="s">
        <v>41</v>
      </c>
      <c r="H8" s="19"/>
    </row>
    <row r="9" spans="1:8">
      <c r="A9" s="15" t="s">
        <v>46</v>
      </c>
      <c r="B9" s="16" t="s">
        <v>39</v>
      </c>
      <c r="C9" s="15">
        <v>1</v>
      </c>
      <c r="D9" s="15" t="s">
        <v>47</v>
      </c>
      <c r="E9" s="17"/>
      <c r="F9" s="18"/>
      <c r="G9" s="15" t="s">
        <v>41</v>
      </c>
      <c r="H9" s="19"/>
    </row>
    <row r="10" spans="1:8">
      <c r="A10" s="15" t="s">
        <v>48</v>
      </c>
      <c r="B10" s="16" t="s">
        <v>39</v>
      </c>
      <c r="C10" s="15">
        <v>40</v>
      </c>
      <c r="D10" s="15" t="s">
        <v>49</v>
      </c>
      <c r="E10" s="17"/>
      <c r="F10" s="18"/>
      <c r="G10" s="15" t="s">
        <v>41</v>
      </c>
      <c r="H10" s="19"/>
    </row>
    <row r="11" spans="1:8">
      <c r="A11" s="15" t="s">
        <v>50</v>
      </c>
      <c r="B11" s="16" t="s">
        <v>39</v>
      </c>
      <c r="C11" s="15">
        <v>1</v>
      </c>
      <c r="D11" s="15" t="s">
        <v>51</v>
      </c>
      <c r="E11" s="17"/>
      <c r="F11" s="18"/>
      <c r="G11" s="15" t="s">
        <v>41</v>
      </c>
      <c r="H11" s="19"/>
    </row>
    <row r="12" spans="1:8">
      <c r="A12" s="15" t="s">
        <v>52</v>
      </c>
      <c r="B12" s="16" t="s">
        <v>39</v>
      </c>
      <c r="C12" s="15">
        <v>40</v>
      </c>
      <c r="D12" s="15" t="s">
        <v>53</v>
      </c>
      <c r="E12" s="17"/>
      <c r="F12" s="18"/>
      <c r="G12" s="15" t="s">
        <v>41</v>
      </c>
      <c r="H12" s="19"/>
    </row>
    <row r="13" spans="1:8">
      <c r="A13" s="15" t="s">
        <v>54</v>
      </c>
      <c r="B13" s="16" t="s">
        <v>55</v>
      </c>
      <c r="C13" s="15">
        <v>1</v>
      </c>
      <c r="D13" s="15" t="s">
        <v>56</v>
      </c>
      <c r="E13" s="17"/>
      <c r="F13" s="18"/>
      <c r="G13" s="15" t="s">
        <v>41</v>
      </c>
      <c r="H13" s="19"/>
    </row>
    <row r="14" spans="1:8">
      <c r="A14" s="15" t="s">
        <v>57</v>
      </c>
      <c r="B14" s="16" t="s">
        <v>55</v>
      </c>
      <c r="C14" s="15">
        <v>4</v>
      </c>
      <c r="D14" s="15" t="s">
        <v>58</v>
      </c>
      <c r="E14" s="17"/>
      <c r="F14" s="18"/>
      <c r="G14" s="15" t="s">
        <v>41</v>
      </c>
      <c r="H14" s="19"/>
    </row>
    <row r="15" spans="1:8">
      <c r="A15" s="15" t="s">
        <v>57</v>
      </c>
      <c r="B15" s="16" t="s">
        <v>55</v>
      </c>
      <c r="C15" s="15">
        <v>40</v>
      </c>
      <c r="D15" s="15" t="s">
        <v>58</v>
      </c>
      <c r="E15" s="17"/>
      <c r="F15" s="18"/>
      <c r="G15" s="15" t="s">
        <v>41</v>
      </c>
      <c r="H15" s="19"/>
    </row>
    <row r="16" spans="1:8">
      <c r="A16" s="15" t="s">
        <v>59</v>
      </c>
      <c r="B16" s="16" t="s">
        <v>60</v>
      </c>
      <c r="C16" s="15">
        <v>1</v>
      </c>
      <c r="D16" s="15" t="s">
        <v>61</v>
      </c>
      <c r="E16" s="17"/>
      <c r="F16" s="18"/>
      <c r="G16" s="15" t="s">
        <v>41</v>
      </c>
      <c r="H16" s="19"/>
    </row>
    <row r="17" spans="1:8">
      <c r="A17" s="15" t="s">
        <v>62</v>
      </c>
      <c r="B17" s="16" t="s">
        <v>60</v>
      </c>
      <c r="C17" s="15">
        <v>40</v>
      </c>
      <c r="D17" s="15" t="s">
        <v>63</v>
      </c>
      <c r="E17" s="17"/>
      <c r="F17" s="18"/>
      <c r="G17" s="15" t="s">
        <v>41</v>
      </c>
      <c r="H17" s="19"/>
    </row>
    <row r="18" spans="1:8">
      <c r="A18" s="15" t="s">
        <v>64</v>
      </c>
      <c r="B18" s="16" t="s">
        <v>65</v>
      </c>
      <c r="C18" s="15">
        <v>1</v>
      </c>
      <c r="D18" s="15" t="s">
        <v>66</v>
      </c>
      <c r="E18" s="17"/>
      <c r="F18" s="18"/>
      <c r="G18" s="15" t="s">
        <v>41</v>
      </c>
      <c r="H18" s="19"/>
    </row>
    <row r="19" spans="1:8">
      <c r="A19" s="15" t="s">
        <v>67</v>
      </c>
      <c r="B19" s="16" t="s">
        <v>65</v>
      </c>
      <c r="C19" s="15">
        <v>40</v>
      </c>
      <c r="D19" s="15" t="s">
        <v>68</v>
      </c>
      <c r="E19" s="17"/>
      <c r="F19" s="18"/>
      <c r="G19" s="15" t="s">
        <v>41</v>
      </c>
      <c r="H19" s="19"/>
    </row>
    <row r="20" spans="1:8">
      <c r="A20" s="15" t="s">
        <v>69</v>
      </c>
      <c r="B20" s="16" t="s">
        <v>70</v>
      </c>
      <c r="C20" s="15">
        <v>1</v>
      </c>
      <c r="D20" s="15" t="s">
        <v>71</v>
      </c>
      <c r="E20" s="17"/>
      <c r="F20" s="18"/>
      <c r="G20" s="15" t="s">
        <v>41</v>
      </c>
      <c r="H20" s="19"/>
    </row>
    <row r="21" spans="1:8">
      <c r="A21" s="15" t="s">
        <v>72</v>
      </c>
      <c r="B21" s="16" t="s">
        <v>70</v>
      </c>
      <c r="C21" s="15">
        <v>40</v>
      </c>
      <c r="D21" s="15" t="s">
        <v>73</v>
      </c>
      <c r="E21" s="17"/>
      <c r="F21" s="18"/>
      <c r="G21" s="15" t="s">
        <v>41</v>
      </c>
      <c r="H21" s="19"/>
    </row>
    <row r="22" spans="1:8">
      <c r="A22" s="15" t="s">
        <v>74</v>
      </c>
      <c r="B22" s="16" t="s">
        <v>70</v>
      </c>
      <c r="C22" s="15">
        <v>1</v>
      </c>
      <c r="D22" s="15" t="s">
        <v>75</v>
      </c>
      <c r="E22" s="17"/>
      <c r="F22" s="18"/>
      <c r="G22" s="15" t="s">
        <v>41</v>
      </c>
      <c r="H22" s="19"/>
    </row>
    <row r="23" spans="1:8">
      <c r="A23" s="15" t="s">
        <v>76</v>
      </c>
      <c r="B23" s="16" t="s">
        <v>70</v>
      </c>
      <c r="C23" s="15">
        <v>40</v>
      </c>
      <c r="D23" s="15" t="s">
        <v>77</v>
      </c>
      <c r="E23" s="17"/>
      <c r="F23" s="18"/>
      <c r="G23" s="15" t="s">
        <v>41</v>
      </c>
      <c r="H23" s="19"/>
    </row>
    <row r="24" spans="1:8">
      <c r="A24" s="15" t="s">
        <v>78</v>
      </c>
      <c r="B24" s="16" t="s">
        <v>70</v>
      </c>
      <c r="C24" s="15">
        <v>1</v>
      </c>
      <c r="D24" s="15" t="s">
        <v>79</v>
      </c>
      <c r="E24" s="17"/>
      <c r="F24" s="18"/>
      <c r="G24" s="15" t="s">
        <v>41</v>
      </c>
      <c r="H24" s="19"/>
    </row>
    <row r="25" spans="1:8">
      <c r="A25" s="15" t="s">
        <v>80</v>
      </c>
      <c r="B25" s="16" t="s">
        <v>70</v>
      </c>
      <c r="C25" s="15">
        <v>40</v>
      </c>
      <c r="D25" s="15" t="s">
        <v>81</v>
      </c>
      <c r="E25" s="17"/>
      <c r="F25" s="18"/>
      <c r="G25" s="15" t="s">
        <v>41</v>
      </c>
      <c r="H25" s="19"/>
    </row>
    <row r="26" spans="1:8">
      <c r="A26" s="15" t="s">
        <v>82</v>
      </c>
      <c r="B26" s="16" t="s">
        <v>83</v>
      </c>
      <c r="C26" s="15">
        <v>1</v>
      </c>
      <c r="D26" s="15" t="s">
        <v>84</v>
      </c>
      <c r="E26" s="17"/>
      <c r="F26" s="18"/>
      <c r="G26" s="15" t="s">
        <v>41</v>
      </c>
      <c r="H26" s="19"/>
    </row>
    <row r="27" spans="1:8">
      <c r="A27" s="15" t="s">
        <v>85</v>
      </c>
      <c r="B27" s="16" t="s">
        <v>83</v>
      </c>
      <c r="C27" s="15">
        <v>40</v>
      </c>
      <c r="D27" s="15" t="s">
        <v>86</v>
      </c>
      <c r="E27" s="17"/>
      <c r="F27" s="18"/>
      <c r="G27" s="15" t="s">
        <v>41</v>
      </c>
      <c r="H27" s="19"/>
    </row>
    <row r="28" spans="1:8">
      <c r="A28" s="15" t="s">
        <v>87</v>
      </c>
      <c r="B28" s="16" t="s">
        <v>83</v>
      </c>
      <c r="C28" s="15">
        <v>1</v>
      </c>
      <c r="D28" s="15" t="s">
        <v>88</v>
      </c>
      <c r="E28" s="17"/>
      <c r="F28" s="18"/>
      <c r="G28" s="15" t="s">
        <v>41</v>
      </c>
      <c r="H28" s="19"/>
    </row>
    <row r="29" spans="1:8">
      <c r="A29" s="15" t="s">
        <v>89</v>
      </c>
      <c r="B29" s="16" t="s">
        <v>83</v>
      </c>
      <c r="C29" s="15">
        <v>40</v>
      </c>
      <c r="D29" s="15" t="s">
        <v>90</v>
      </c>
      <c r="E29" s="17"/>
      <c r="F29" s="18"/>
      <c r="G29" s="15" t="s">
        <v>41</v>
      </c>
      <c r="H29" s="19"/>
    </row>
    <row r="30" spans="1:8">
      <c r="A30" s="15" t="s">
        <v>91</v>
      </c>
      <c r="B30" s="16" t="s">
        <v>83</v>
      </c>
      <c r="C30" s="15">
        <v>1</v>
      </c>
      <c r="D30" s="15" t="s">
        <v>92</v>
      </c>
      <c r="E30" s="17"/>
      <c r="F30" s="18"/>
      <c r="G30" s="15" t="s">
        <v>41</v>
      </c>
      <c r="H30" s="19"/>
    </row>
    <row r="31" spans="1:8">
      <c r="A31" s="15" t="s">
        <v>93</v>
      </c>
      <c r="B31" s="16" t="s">
        <v>83</v>
      </c>
      <c r="C31" s="15">
        <v>40</v>
      </c>
      <c r="D31" s="15" t="s">
        <v>94</v>
      </c>
      <c r="E31" s="17"/>
      <c r="F31" s="18"/>
      <c r="G31" s="15" t="s">
        <v>41</v>
      </c>
      <c r="H31" s="19"/>
    </row>
    <row r="32" spans="1:8">
      <c r="A32" s="15" t="s">
        <v>95</v>
      </c>
      <c r="B32" s="16" t="s">
        <v>83</v>
      </c>
      <c r="C32" s="15">
        <v>1</v>
      </c>
      <c r="D32" s="15" t="s">
        <v>96</v>
      </c>
      <c r="E32" s="17"/>
      <c r="F32" s="18"/>
      <c r="G32" s="15" t="s">
        <v>41</v>
      </c>
      <c r="H32" s="19"/>
    </row>
    <row r="33" spans="1:8">
      <c r="A33" s="15" t="s">
        <v>97</v>
      </c>
      <c r="B33" s="16" t="s">
        <v>83</v>
      </c>
      <c r="C33" s="15">
        <v>40</v>
      </c>
      <c r="D33" s="15" t="s">
        <v>98</v>
      </c>
      <c r="E33" s="17"/>
      <c r="F33" s="18"/>
      <c r="G33" s="15" t="s">
        <v>41</v>
      </c>
      <c r="H33" s="19"/>
    </row>
    <row r="34" spans="1:8">
      <c r="A34" s="15" t="s">
        <v>99</v>
      </c>
      <c r="B34" s="16" t="s">
        <v>83</v>
      </c>
      <c r="C34" s="15">
        <v>1</v>
      </c>
      <c r="D34" s="15" t="s">
        <v>100</v>
      </c>
      <c r="E34" s="17"/>
      <c r="F34" s="18"/>
      <c r="G34" s="15" t="s">
        <v>41</v>
      </c>
      <c r="H34" s="19"/>
    </row>
    <row r="35" spans="1:8">
      <c r="A35" s="15" t="s">
        <v>101</v>
      </c>
      <c r="B35" s="16" t="s">
        <v>83</v>
      </c>
      <c r="C35" s="15">
        <v>40</v>
      </c>
      <c r="D35" s="15" t="s">
        <v>102</v>
      </c>
      <c r="E35" s="17"/>
      <c r="F35" s="18"/>
      <c r="G35" s="15" t="s">
        <v>41</v>
      </c>
      <c r="H35" s="19"/>
    </row>
    <row r="36" spans="1:8">
      <c r="A36" s="15" t="s">
        <v>103</v>
      </c>
      <c r="B36" s="16" t="s">
        <v>83</v>
      </c>
      <c r="C36" s="15">
        <v>1</v>
      </c>
      <c r="D36" s="15" t="s">
        <v>104</v>
      </c>
      <c r="E36" s="17"/>
      <c r="F36" s="18"/>
      <c r="G36" s="15" t="s">
        <v>41</v>
      </c>
      <c r="H36" s="19"/>
    </row>
    <row r="37" spans="1:8">
      <c r="A37" s="15" t="s">
        <v>105</v>
      </c>
      <c r="B37" s="16" t="s">
        <v>83</v>
      </c>
      <c r="C37" s="15">
        <v>40</v>
      </c>
      <c r="D37" s="15" t="s">
        <v>106</v>
      </c>
      <c r="E37" s="17"/>
      <c r="F37" s="18"/>
      <c r="G37" s="15" t="s">
        <v>41</v>
      </c>
      <c r="H37" s="19"/>
    </row>
    <row r="38" spans="1:8">
      <c r="A38" s="15" t="s">
        <v>107</v>
      </c>
      <c r="B38" s="16" t="s">
        <v>83</v>
      </c>
      <c r="C38" s="15">
        <v>1</v>
      </c>
      <c r="D38" s="15" t="s">
        <v>108</v>
      </c>
      <c r="E38" s="17"/>
      <c r="F38" s="18"/>
      <c r="G38" s="15" t="s">
        <v>41</v>
      </c>
      <c r="H38" s="19"/>
    </row>
    <row r="39" spans="1:8">
      <c r="A39" s="20" t="s">
        <v>109</v>
      </c>
      <c r="B39" s="21" t="s">
        <v>83</v>
      </c>
      <c r="C39" s="20">
        <v>40</v>
      </c>
      <c r="D39" s="20" t="s">
        <v>110</v>
      </c>
      <c r="E39" s="22"/>
      <c r="F39" s="23"/>
      <c r="G39" s="20" t="s">
        <v>41</v>
      </c>
      <c r="H39" s="24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17DA-B9CA-4225-A2A2-A12C165B4BE7}">
  <dimension ref="A1:N29"/>
  <sheetViews>
    <sheetView workbookViewId="0">
      <selection activeCell="E6" sqref="E6:E23"/>
    </sheetView>
  </sheetViews>
  <sheetFormatPr defaultRowHeight="12.6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>
      <c r="A1" s="1" t="str">
        <f>CONCATENATE("Bijlage G2.2: ",tabeltype," regulier werk")</f>
        <v>Bijlage G2.2: Invultabel regulier werk</v>
      </c>
    </row>
    <row r="3" spans="1:14" ht="37.9">
      <c r="A3" s="42" t="s">
        <v>111</v>
      </c>
      <c r="B3" s="42" t="s">
        <v>9</v>
      </c>
      <c r="C3" s="42" t="s">
        <v>112</v>
      </c>
      <c r="D3" s="42" t="s">
        <v>32</v>
      </c>
      <c r="E3" s="42" t="s">
        <v>113</v>
      </c>
      <c r="F3" s="42" t="s">
        <v>114</v>
      </c>
      <c r="G3" s="42" t="s">
        <v>33</v>
      </c>
      <c r="H3" s="42" t="s">
        <v>34</v>
      </c>
      <c r="I3" s="42" t="s">
        <v>35</v>
      </c>
      <c r="J3" s="42" t="s">
        <v>36</v>
      </c>
      <c r="K3" s="42" t="s">
        <v>115</v>
      </c>
      <c r="L3" s="42" t="s">
        <v>116</v>
      </c>
      <c r="M3" s="42" t="s">
        <v>117</v>
      </c>
      <c r="N3" s="42" t="s">
        <v>118</v>
      </c>
    </row>
    <row r="4" spans="1:14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1:14">
      <c r="A5" s="43" t="s">
        <v>37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7"/>
    </row>
    <row r="6" spans="1:14">
      <c r="A6" s="10" t="s">
        <v>119</v>
      </c>
      <c r="B6" s="10" t="s">
        <v>23</v>
      </c>
      <c r="C6" s="10" t="s">
        <v>120</v>
      </c>
      <c r="D6" s="10" t="s">
        <v>121</v>
      </c>
      <c r="E6" s="25">
        <v>1922.9</v>
      </c>
      <c r="F6" s="25">
        <f>E6*VLOOKUP(B6,dagsoorttabel1,2,FALSE)</f>
        <v>603.2627450980392</v>
      </c>
      <c r="G6" s="26">
        <f>catpn_1_AFVB_1</f>
        <v>0</v>
      </c>
      <c r="H6" s="27">
        <f>catdw_1_AFVB_1</f>
        <v>0</v>
      </c>
      <c r="I6" s="10" t="s">
        <v>41</v>
      </c>
      <c r="J6" s="28">
        <f>cattf_1_AFVB_1</f>
        <v>0</v>
      </c>
      <c r="K6" s="25">
        <f>IF(OR(ISBLANK(G6),G6=0),0,F6/ROUND(G6,4))</f>
        <v>0</v>
      </c>
      <c r="L6" s="28">
        <f>ROUND(J6,2)*K6</f>
        <v>0</v>
      </c>
      <c r="M6" s="25">
        <f>K6*dagenperjaar1</f>
        <v>0</v>
      </c>
      <c r="N6" s="28">
        <f>M6*ROUND(J6,2)</f>
        <v>0</v>
      </c>
    </row>
    <row r="7" spans="1:14">
      <c r="A7" s="15" t="s">
        <v>122</v>
      </c>
      <c r="B7" s="15" t="s">
        <v>18</v>
      </c>
      <c r="C7" s="15" t="s">
        <v>120</v>
      </c>
      <c r="D7" s="15" t="s">
        <v>123</v>
      </c>
      <c r="E7" s="29">
        <v>504</v>
      </c>
      <c r="F7" s="29">
        <f>E7*VLOOKUP(B7,dagsoorttabel1,2,FALSE)</f>
        <v>395.29411764705884</v>
      </c>
      <c r="G7" s="30">
        <f>IF(AND(catpn_1_GSHB_1&gt;0,catpn_1_GSHV_40&gt;0),(dagenperjaar1*VLOOKUP(B7,dagsoorttabel1,2,FALSE))/(((dagenperjaar1*VLOOKUP(B7,dagsoorttabel1,2,FALSE))-catfd_1_GSHV_40)/catpn_1_GSHB_1+catfd_1_GSHV_40/catpn_1_GSHV_40),0)</f>
        <v>0</v>
      </c>
      <c r="H7" s="31">
        <f>IF(AND(catpn_1_GSHB_1&gt;0,catpn_1_GSHV_40&gt;0),(catdw_1_GSHB_1*((dagenperjaar1-VLOOKUP(B7,dagsoorttabel1,2,FALSE))-catfd_1_GSHV_40)/catpn_1_GSHB_1+catdw_1_GSHV_40*catfd_1_GSHV_40/catpn_1_GSHV_40)/(((dagenperjaar1-VLOOKUP(B7,dagsoorttabel1,2,FALSE))-catfd_1_GSHV_40)/catpn_1_GSHB_1+catfd_1_GSHV_40/catpn_1_GSHV_40),0)</f>
        <v>0</v>
      </c>
      <c r="I7" s="15" t="s">
        <v>41</v>
      </c>
      <c r="J7" s="32">
        <f>IF(AND(catpn_1_GSHB_1&gt;0,catpn_1_GSHV_40&gt;0),(cattf_1_GSHB_1*((dagenperjaar1*VLOOKUP(B7,dagsoorttabel1,2,FALSE))-catfd_1_GSHV_40)/catpn_1_GSHB_1+cattf_1_GSHV_40*catfd_1_GSHV_40/catpn_1_GSHV_40)/(((dagenperjaar1*VLOOKUP(B7,dagsoorttabel1,2,FALSE))-catfd_1_GSHV_40)/catpn_1_GSHB_1+catfd_1_GSHV_40/catpn_1_GSHV_40),0)</f>
        <v>0</v>
      </c>
      <c r="K7" s="29">
        <f>IF(OR(ISBLANK(G7),G7=0),0,F7/ROUND(G7,4))</f>
        <v>0</v>
      </c>
      <c r="L7" s="32">
        <f>ROUND(J7,2)*K7</f>
        <v>0</v>
      </c>
      <c r="M7" s="29">
        <f>K7*dagenperjaar1</f>
        <v>0</v>
      </c>
      <c r="N7" s="32">
        <f>M7*ROUND(J7,2)</f>
        <v>0</v>
      </c>
    </row>
    <row r="8" spans="1:14">
      <c r="A8" s="15" t="s">
        <v>122</v>
      </c>
      <c r="B8" s="15" t="s">
        <v>24</v>
      </c>
      <c r="C8" s="15" t="s">
        <v>120</v>
      </c>
      <c r="D8" s="15" t="s">
        <v>123</v>
      </c>
      <c r="E8" s="29">
        <v>61.400000000000006</v>
      </c>
      <c r="F8" s="29">
        <f>E8*VLOOKUP(B8,dagsoorttabel1,2,FALSE)</f>
        <v>0.96313725490196089</v>
      </c>
      <c r="G8" s="30">
        <f>IF(AND(catpn_1_GSHB_1&gt;0,catpn_1_GSHV_4&gt;0),(dagenperjaar1*VLOOKUP(B8,dagsoorttabel1,2,FALSE))/(((dagenperjaar1*VLOOKUP(B8,dagsoorttabel1,2,FALSE))-catfd_1_GSHV_4)/catpn_1_GSHB_1+catfd_1_GSHV_4/catpn_1_GSHV_4),0)</f>
        <v>0</v>
      </c>
      <c r="H8" s="31">
        <f>IF(AND(catpn_1_GSHB_1&gt;0,catpn_1_GSHV_4&gt;0),(catdw_1_GSHB_1*((dagenperjaar1-VLOOKUP(B8,dagsoorttabel1,2,FALSE))-catfd_1_GSHV_4)/catpn_1_GSHB_1+catdw_1_GSHV_4*catfd_1_GSHV_4/catpn_1_GSHV_4)/(((dagenperjaar1-VLOOKUP(B8,dagsoorttabel1,2,FALSE))-catfd_1_GSHV_4)/catpn_1_GSHB_1+catfd_1_GSHV_4/catpn_1_GSHV_4),0)</f>
        <v>0</v>
      </c>
      <c r="I8" s="15" t="s">
        <v>41</v>
      </c>
      <c r="J8" s="32">
        <f>IF(AND(catpn_1_GSHB_1&gt;0,catpn_1_GSHV_4&gt;0),(cattf_1_GSHB_1*((dagenperjaar1*VLOOKUP(B8,dagsoorttabel1,2,FALSE))-catfd_1_GSHV_4)/catpn_1_GSHB_1+cattf_1_GSHV_4*catfd_1_GSHV_4/catpn_1_GSHV_4)/(((dagenperjaar1*VLOOKUP(B8,dagsoorttabel1,2,FALSE))-catfd_1_GSHV_4)/catpn_1_GSHB_1+catfd_1_GSHV_4/catpn_1_GSHV_4),0)</f>
        <v>0</v>
      </c>
      <c r="K8" s="29">
        <f>IF(OR(ISBLANK(G8),G8=0),0,F8/ROUND(G8,4))</f>
        <v>0</v>
      </c>
      <c r="L8" s="32">
        <f>ROUND(J8,2)*K8</f>
        <v>0</v>
      </c>
      <c r="M8" s="29">
        <f>K8*dagenperjaar1</f>
        <v>0</v>
      </c>
      <c r="N8" s="32">
        <f>M8*ROUND(J8,2)</f>
        <v>0</v>
      </c>
    </row>
    <row r="9" spans="1:14">
      <c r="A9" s="15" t="s">
        <v>124</v>
      </c>
      <c r="B9" s="15" t="s">
        <v>18</v>
      </c>
      <c r="C9" s="15" t="s">
        <v>120</v>
      </c>
      <c r="D9" s="15" t="s">
        <v>125</v>
      </c>
      <c r="E9" s="29">
        <v>421.7</v>
      </c>
      <c r="F9" s="29">
        <f>E9*VLOOKUP(B9,dagsoorttabel1,2,FALSE)</f>
        <v>330.74509803921569</v>
      </c>
      <c r="G9" s="30">
        <f>IF(AND(catpn_1_KAHB_1&gt;0,catpn_1_KAHV_40&gt;0),(dagenperjaar1*VLOOKUP(B9,dagsoorttabel1,2,FALSE))/(((dagenperjaar1*VLOOKUP(B9,dagsoorttabel1,2,FALSE))-catfd_1_KAHV_40)/catpn_1_KAHB_1+catfd_1_KAHV_40/catpn_1_KAHV_40),0)</f>
        <v>0</v>
      </c>
      <c r="H9" s="31">
        <f>IF(AND(catpn_1_KAHB_1&gt;0,catpn_1_KAHV_40&gt;0),(catdw_1_KAHB_1*((dagenperjaar1-VLOOKUP(B9,dagsoorttabel1,2,FALSE))-catfd_1_KAHV_40)/catpn_1_KAHB_1+catdw_1_KAHV_40*catfd_1_KAHV_40/catpn_1_KAHV_40)/(((dagenperjaar1-VLOOKUP(B9,dagsoorttabel1,2,FALSE))-catfd_1_KAHV_40)/catpn_1_KAHB_1+catfd_1_KAHV_40/catpn_1_KAHV_40),0)</f>
        <v>0</v>
      </c>
      <c r="I9" s="15" t="s">
        <v>41</v>
      </c>
      <c r="J9" s="32">
        <f>IF(AND(catpn_1_KAHB_1&gt;0,catpn_1_KAHV_40&gt;0),(cattf_1_KAHB_1*((dagenperjaar1*VLOOKUP(B9,dagsoorttabel1,2,FALSE))-catfd_1_KAHV_40)/catpn_1_KAHB_1+cattf_1_KAHV_40*catfd_1_KAHV_40/catpn_1_KAHV_40)/(((dagenperjaar1*VLOOKUP(B9,dagsoorttabel1,2,FALSE))-catfd_1_KAHV_40)/catpn_1_KAHB_1+catfd_1_KAHV_40/catpn_1_KAHV_40),0)</f>
        <v>0</v>
      </c>
      <c r="K9" s="29">
        <f>IF(OR(ISBLANK(G9),G9=0),0,F9/ROUND(G9,4))</f>
        <v>0</v>
      </c>
      <c r="L9" s="32">
        <f>ROUND(J9,2)*K9</f>
        <v>0</v>
      </c>
      <c r="M9" s="29">
        <f>K9*dagenperjaar1</f>
        <v>0</v>
      </c>
      <c r="N9" s="32">
        <f>M9*ROUND(J9,2)</f>
        <v>0</v>
      </c>
    </row>
    <row r="10" spans="1:14">
      <c r="A10" s="15" t="s">
        <v>126</v>
      </c>
      <c r="B10" s="15" t="s">
        <v>20</v>
      </c>
      <c r="C10" s="15" t="s">
        <v>120</v>
      </c>
      <c r="D10" s="15" t="s">
        <v>127</v>
      </c>
      <c r="E10" s="29">
        <v>1546.8000000000002</v>
      </c>
      <c r="F10" s="29">
        <f>E10*VLOOKUP(B10,dagsoorttabel1,2,FALSE)</f>
        <v>727.90588235294126</v>
      </c>
      <c r="G10" s="30">
        <f>IF(AND(catpn_1_LLHB_1&gt;0,catpn_1_LLHV_40&gt;0),(dagenperjaar1*VLOOKUP(B10,dagsoorttabel1,2,FALSE))/(((dagenperjaar1*VLOOKUP(B10,dagsoorttabel1,2,FALSE))-catfd_1_LLHV_40)/catpn_1_LLHB_1+catfd_1_LLHV_40/catpn_1_LLHV_40),0)</f>
        <v>0</v>
      </c>
      <c r="H10" s="31">
        <f>IF(AND(catpn_1_LLHB_1&gt;0,catpn_1_LLHV_40&gt;0),(catdw_1_LLHB_1*((dagenperjaar1-VLOOKUP(B10,dagsoorttabel1,2,FALSE))-catfd_1_LLHV_40)/catpn_1_LLHB_1+catdw_1_LLHV_40*catfd_1_LLHV_40/catpn_1_LLHV_40)/(((dagenperjaar1-VLOOKUP(B10,dagsoorttabel1,2,FALSE))-catfd_1_LLHV_40)/catpn_1_LLHB_1+catfd_1_LLHV_40/catpn_1_LLHV_40),0)</f>
        <v>0</v>
      </c>
      <c r="I10" s="15" t="s">
        <v>41</v>
      </c>
      <c r="J10" s="32">
        <f>IF(AND(catpn_1_LLHB_1&gt;0,catpn_1_LLHV_40&gt;0),(cattf_1_LLHB_1*((dagenperjaar1*VLOOKUP(B10,dagsoorttabel1,2,FALSE))-catfd_1_LLHV_40)/catpn_1_LLHB_1+cattf_1_LLHV_40*catfd_1_LLHV_40/catpn_1_LLHV_40)/(((dagenperjaar1*VLOOKUP(B10,dagsoorttabel1,2,FALSE))-catfd_1_LLHV_40)/catpn_1_LLHB_1+catfd_1_LLHV_40/catpn_1_LLHV_40),0)</f>
        <v>0</v>
      </c>
      <c r="K10" s="29">
        <f>IF(OR(ISBLANK(G10),G10=0),0,F10/ROUND(G10,4))</f>
        <v>0</v>
      </c>
      <c r="L10" s="32">
        <f>ROUND(J10,2)*K10</f>
        <v>0</v>
      </c>
      <c r="M10" s="29">
        <f>K10*dagenperjaar1</f>
        <v>0</v>
      </c>
      <c r="N10" s="32">
        <f>M10*ROUND(J10,2)</f>
        <v>0</v>
      </c>
    </row>
    <row r="11" spans="1:14">
      <c r="A11" s="15" t="s">
        <v>128</v>
      </c>
      <c r="B11" s="15" t="s">
        <v>20</v>
      </c>
      <c r="C11" s="15" t="s">
        <v>120</v>
      </c>
      <c r="D11" s="15" t="s">
        <v>129</v>
      </c>
      <c r="E11" s="29">
        <v>376.1</v>
      </c>
      <c r="F11" s="29">
        <f>E11*VLOOKUP(B11,dagsoorttabel1,2,FALSE)</f>
        <v>176.98823529411766</v>
      </c>
      <c r="G11" s="30">
        <f>IF(AND(catpn_1_LLZB_1&gt;0,catpn_1_LLZV_40&gt;0),(dagenperjaar1*VLOOKUP(B11,dagsoorttabel1,2,FALSE))/(((dagenperjaar1*VLOOKUP(B11,dagsoorttabel1,2,FALSE))-catfd_1_LLZV_40)/catpn_1_LLZB_1+catfd_1_LLZV_40/catpn_1_LLZV_40),0)</f>
        <v>0</v>
      </c>
      <c r="H11" s="31">
        <f>IF(AND(catpn_1_LLZB_1&gt;0,catpn_1_LLZV_40&gt;0),(catdw_1_LLZB_1*((dagenperjaar1-VLOOKUP(B11,dagsoorttabel1,2,FALSE))-catfd_1_LLZV_40)/catpn_1_LLZB_1+catdw_1_LLZV_40*catfd_1_LLZV_40/catpn_1_LLZV_40)/(((dagenperjaar1-VLOOKUP(B11,dagsoorttabel1,2,FALSE))-catfd_1_LLZV_40)/catpn_1_LLZB_1+catfd_1_LLZV_40/catpn_1_LLZV_40),0)</f>
        <v>0</v>
      </c>
      <c r="I11" s="15" t="s">
        <v>41</v>
      </c>
      <c r="J11" s="32">
        <f>IF(AND(catpn_1_LLZB_1&gt;0,catpn_1_LLZV_40&gt;0),(cattf_1_LLZB_1*((dagenperjaar1*VLOOKUP(B11,dagsoorttabel1,2,FALSE))-catfd_1_LLZV_40)/catpn_1_LLZB_1+cattf_1_LLZV_40*catfd_1_LLZV_40/catpn_1_LLZV_40)/(((dagenperjaar1*VLOOKUP(B11,dagsoorttabel1,2,FALSE))-catfd_1_LLZV_40)/catpn_1_LLZB_1+catfd_1_LLZV_40/catpn_1_LLZV_40),0)</f>
        <v>0</v>
      </c>
      <c r="K11" s="29">
        <f>IF(OR(ISBLANK(G11),G11=0),0,F11/ROUND(G11,4))</f>
        <v>0</v>
      </c>
      <c r="L11" s="32">
        <f>ROUND(J11,2)*K11</f>
        <v>0</v>
      </c>
      <c r="M11" s="29">
        <f>K11*dagenperjaar1</f>
        <v>0</v>
      </c>
      <c r="N11" s="32">
        <f>M11*ROUND(J11,2)</f>
        <v>0</v>
      </c>
    </row>
    <row r="12" spans="1:14">
      <c r="A12" s="15" t="s">
        <v>130</v>
      </c>
      <c r="B12" s="15" t="s">
        <v>18</v>
      </c>
      <c r="C12" s="15" t="s">
        <v>120</v>
      </c>
      <c r="D12" s="15" t="s">
        <v>131</v>
      </c>
      <c r="E12" s="29">
        <v>192.39999999999998</v>
      </c>
      <c r="F12" s="29">
        <f>E12*VLOOKUP(B12,dagsoorttabel1,2,FALSE)</f>
        <v>150.9019607843137</v>
      </c>
      <c r="G12" s="30">
        <f>IF(AND(catpn_1_LOHB_1&gt;0,catpn_1_LOHV_40&gt;0),(dagenperjaar1*VLOOKUP(B12,dagsoorttabel1,2,FALSE))/(((dagenperjaar1*VLOOKUP(B12,dagsoorttabel1,2,FALSE))-catfd_1_LOHV_40)/catpn_1_LOHB_1+catfd_1_LOHV_40/catpn_1_LOHV_40),0)</f>
        <v>0</v>
      </c>
      <c r="H12" s="31">
        <f>IF(AND(catpn_1_LOHB_1&gt;0,catpn_1_LOHV_40&gt;0),(catdw_1_LOHB_1*((dagenperjaar1-VLOOKUP(B12,dagsoorttabel1,2,FALSE))-catfd_1_LOHV_40)/catpn_1_LOHB_1+catdw_1_LOHV_40*catfd_1_LOHV_40/catpn_1_LOHV_40)/(((dagenperjaar1-VLOOKUP(B12,dagsoorttabel1,2,FALSE))-catfd_1_LOHV_40)/catpn_1_LOHB_1+catfd_1_LOHV_40/catpn_1_LOHV_40),0)</f>
        <v>0</v>
      </c>
      <c r="I12" s="15" t="s">
        <v>41</v>
      </c>
      <c r="J12" s="32">
        <f>IF(AND(catpn_1_LOHB_1&gt;0,catpn_1_LOHV_40&gt;0),(cattf_1_LOHB_1*((dagenperjaar1*VLOOKUP(B12,dagsoorttabel1,2,FALSE))-catfd_1_LOHV_40)/catpn_1_LOHB_1+cattf_1_LOHV_40*catfd_1_LOHV_40/catpn_1_LOHV_40)/(((dagenperjaar1*VLOOKUP(B12,dagsoorttabel1,2,FALSE))-catfd_1_LOHV_40)/catpn_1_LOHB_1+catfd_1_LOHV_40/catpn_1_LOHV_40),0)</f>
        <v>0</v>
      </c>
      <c r="K12" s="29">
        <f>IF(OR(ISBLANK(G12),G12=0),0,F12/ROUND(G12,4))</f>
        <v>0</v>
      </c>
      <c r="L12" s="32">
        <f>ROUND(J12,2)*K12</f>
        <v>0</v>
      </c>
      <c r="M12" s="29">
        <f>K12*dagenperjaar1</f>
        <v>0</v>
      </c>
      <c r="N12" s="32">
        <f>M12*ROUND(J12,2)</f>
        <v>0</v>
      </c>
    </row>
    <row r="13" spans="1:14">
      <c r="A13" s="15" t="s">
        <v>132</v>
      </c>
      <c r="B13" s="15" t="s">
        <v>26</v>
      </c>
      <c r="C13" s="15" t="s">
        <v>120</v>
      </c>
      <c r="D13" s="15" t="s">
        <v>133</v>
      </c>
      <c r="E13" s="29">
        <v>24.3</v>
      </c>
      <c r="F13" s="29">
        <f>E13*VLOOKUP(B13,dagsoorttabel1,2,FALSE)</f>
        <v>3.8117647058823532</v>
      </c>
      <c r="G13" s="30">
        <f>IF(AND(catpn_1_OAHB_1&gt;0,catpn_1_OAHV_40&gt;0),(dagenperjaar1*VLOOKUP(B13,dagsoorttabel1,2,FALSE))/(((dagenperjaar1*VLOOKUP(B13,dagsoorttabel1,2,FALSE))-catfd_1_OAHV_40)/catpn_1_OAHB_1+catfd_1_OAHV_40/catpn_1_OAHV_40),0)</f>
        <v>0</v>
      </c>
      <c r="H13" s="31">
        <f>IF(AND(catpn_1_OAHB_1&gt;0,catpn_1_OAHV_40&gt;0),(catdw_1_OAHB_1*((dagenperjaar1-VLOOKUP(B13,dagsoorttabel1,2,FALSE))-catfd_1_OAHV_40)/catpn_1_OAHB_1+catdw_1_OAHV_40*catfd_1_OAHV_40/catpn_1_OAHV_40)/(((dagenperjaar1-VLOOKUP(B13,dagsoorttabel1,2,FALSE))-catfd_1_OAHV_40)/catpn_1_OAHB_1+catfd_1_OAHV_40/catpn_1_OAHV_40),0)</f>
        <v>0</v>
      </c>
      <c r="I13" s="15" t="s">
        <v>41</v>
      </c>
      <c r="J13" s="32">
        <f>IF(AND(catpn_1_OAHB_1&gt;0,catpn_1_OAHV_40&gt;0),(cattf_1_OAHB_1*((dagenperjaar1*VLOOKUP(B13,dagsoorttabel1,2,FALSE))-catfd_1_OAHV_40)/catpn_1_OAHB_1+cattf_1_OAHV_40*catfd_1_OAHV_40/catpn_1_OAHV_40)/(((dagenperjaar1*VLOOKUP(B13,dagsoorttabel1,2,FALSE))-catfd_1_OAHV_40)/catpn_1_OAHB_1+catfd_1_OAHV_40/catpn_1_OAHV_40),0)</f>
        <v>0</v>
      </c>
      <c r="K13" s="29">
        <f>IF(OR(ISBLANK(G13),G13=0),0,F13/ROUND(G13,4))</f>
        <v>0</v>
      </c>
      <c r="L13" s="32">
        <f>ROUND(J13,2)*K13</f>
        <v>0</v>
      </c>
      <c r="M13" s="29">
        <f>K13*dagenperjaar1</f>
        <v>0</v>
      </c>
      <c r="N13" s="32">
        <f>M13*ROUND(J13,2)</f>
        <v>0</v>
      </c>
    </row>
    <row r="14" spans="1:14">
      <c r="A14" s="15" t="s">
        <v>134</v>
      </c>
      <c r="B14" s="15" t="s">
        <v>18</v>
      </c>
      <c r="C14" s="15" t="s">
        <v>120</v>
      </c>
      <c r="D14" s="15" t="s">
        <v>135</v>
      </c>
      <c r="E14" s="29">
        <v>114</v>
      </c>
      <c r="F14" s="29">
        <f>E14*VLOOKUP(B14,dagsoorttabel1,2,FALSE)</f>
        <v>89.411764705882348</v>
      </c>
      <c r="G14" s="30">
        <f>IF(AND(catpn_1_PAHB_1&gt;0,catpn_1_PAHV_40&gt;0),(dagenperjaar1*VLOOKUP(B14,dagsoorttabel1,2,FALSE))/(((dagenperjaar1*VLOOKUP(B14,dagsoorttabel1,2,FALSE))-catfd_1_PAHV_40)/catpn_1_PAHB_1+catfd_1_PAHV_40/catpn_1_PAHV_40),0)</f>
        <v>0</v>
      </c>
      <c r="H14" s="31">
        <f>IF(AND(catpn_1_PAHB_1&gt;0,catpn_1_PAHV_40&gt;0),(catdw_1_PAHB_1*((dagenperjaar1-VLOOKUP(B14,dagsoorttabel1,2,FALSE))-catfd_1_PAHV_40)/catpn_1_PAHB_1+catdw_1_PAHV_40*catfd_1_PAHV_40/catpn_1_PAHV_40)/(((dagenperjaar1-VLOOKUP(B14,dagsoorttabel1,2,FALSE))-catfd_1_PAHV_40)/catpn_1_PAHB_1+catfd_1_PAHV_40/catpn_1_PAHV_40),0)</f>
        <v>0</v>
      </c>
      <c r="I14" s="15" t="s">
        <v>41</v>
      </c>
      <c r="J14" s="32">
        <f>IF(AND(catpn_1_PAHB_1&gt;0,catpn_1_PAHV_40&gt;0),(cattf_1_PAHB_1*((dagenperjaar1*VLOOKUP(B14,dagsoorttabel1,2,FALSE))-catfd_1_PAHV_40)/catpn_1_PAHB_1+cattf_1_PAHV_40*catfd_1_PAHV_40/catpn_1_PAHV_40)/(((dagenperjaar1*VLOOKUP(B14,dagsoorttabel1,2,FALSE))-catfd_1_PAHV_40)/catpn_1_PAHB_1+catfd_1_PAHV_40/catpn_1_PAHV_40),0)</f>
        <v>0</v>
      </c>
      <c r="K14" s="29">
        <f>IF(OR(ISBLANK(G14),G14=0),0,F14/ROUND(G14,4))</f>
        <v>0</v>
      </c>
      <c r="L14" s="32">
        <f>ROUND(J14,2)*K14</f>
        <v>0</v>
      </c>
      <c r="M14" s="29">
        <f>K14*dagenperjaar1</f>
        <v>0</v>
      </c>
      <c r="N14" s="32">
        <f>M14*ROUND(J14,2)</f>
        <v>0</v>
      </c>
    </row>
    <row r="15" spans="1:14">
      <c r="A15" s="15" t="s">
        <v>136</v>
      </c>
      <c r="B15" s="15" t="s">
        <v>18</v>
      </c>
      <c r="C15" s="15" t="s">
        <v>120</v>
      </c>
      <c r="D15" s="15" t="s">
        <v>137</v>
      </c>
      <c r="E15" s="29">
        <v>669</v>
      </c>
      <c r="F15" s="29">
        <f>E15*VLOOKUP(B15,dagsoorttabel1,2,FALSE)</f>
        <v>524.70588235294122</v>
      </c>
      <c r="G15" s="30">
        <f>IF(AND(catpn_1_PSHB_1&gt;0,catpn_1_PSHV_40&gt;0),(dagenperjaar1*VLOOKUP(B15,dagsoorttabel1,2,FALSE))/(((dagenperjaar1*VLOOKUP(B15,dagsoorttabel1,2,FALSE))-catfd_1_PSHV_40)/catpn_1_PSHB_1+catfd_1_PSHV_40/catpn_1_PSHV_40),0)</f>
        <v>0</v>
      </c>
      <c r="H15" s="31">
        <f>IF(AND(catpn_1_PSHB_1&gt;0,catpn_1_PSHV_40&gt;0),(catdw_1_PSHB_1*((dagenperjaar1-VLOOKUP(B15,dagsoorttabel1,2,FALSE))-catfd_1_PSHV_40)/catpn_1_PSHB_1+catdw_1_PSHV_40*catfd_1_PSHV_40/catpn_1_PSHV_40)/(((dagenperjaar1-VLOOKUP(B15,dagsoorttabel1,2,FALSE))-catfd_1_PSHV_40)/catpn_1_PSHB_1+catfd_1_PSHV_40/catpn_1_PSHV_40),0)</f>
        <v>0</v>
      </c>
      <c r="I15" s="15" t="s">
        <v>41</v>
      </c>
      <c r="J15" s="32">
        <f>IF(AND(catpn_1_PSHB_1&gt;0,catpn_1_PSHV_40&gt;0),(cattf_1_PSHB_1*((dagenperjaar1*VLOOKUP(B15,dagsoorttabel1,2,FALSE))-catfd_1_PSHV_40)/catpn_1_PSHB_1+cattf_1_PSHV_40*catfd_1_PSHV_40/catpn_1_PSHV_40)/(((dagenperjaar1*VLOOKUP(B15,dagsoorttabel1,2,FALSE))-catfd_1_PSHV_40)/catpn_1_PSHB_1+catfd_1_PSHV_40/catpn_1_PSHV_40),0)</f>
        <v>0</v>
      </c>
      <c r="K15" s="29">
        <f>IF(OR(ISBLANK(G15),G15=0),0,F15/ROUND(G15,4))</f>
        <v>0</v>
      </c>
      <c r="L15" s="32">
        <f>ROUND(J15,2)*K15</f>
        <v>0</v>
      </c>
      <c r="M15" s="29">
        <f>K15*dagenperjaar1</f>
        <v>0</v>
      </c>
      <c r="N15" s="32">
        <f>M15*ROUND(J15,2)</f>
        <v>0</v>
      </c>
    </row>
    <row r="16" spans="1:14">
      <c r="A16" s="15" t="s">
        <v>138</v>
      </c>
      <c r="B16" s="15" t="s">
        <v>18</v>
      </c>
      <c r="C16" s="15" t="s">
        <v>120</v>
      </c>
      <c r="D16" s="15" t="s">
        <v>139</v>
      </c>
      <c r="E16" s="29">
        <v>32.5</v>
      </c>
      <c r="F16" s="29">
        <f>E16*VLOOKUP(B16,dagsoorttabel1,2,FALSE)</f>
        <v>25.490196078431371</v>
      </c>
      <c r="G16" s="30">
        <f>IF(AND(catpn_1_SDHB_1&gt;0,catpn_1_SDHV_40&gt;0),(dagenperjaar1*VLOOKUP(B16,dagsoorttabel1,2,FALSE))/(((dagenperjaar1*VLOOKUP(B16,dagsoorttabel1,2,FALSE))-catfd_1_SDHV_40)/catpn_1_SDHB_1+catfd_1_SDHV_40/catpn_1_SDHV_40),0)</f>
        <v>0</v>
      </c>
      <c r="H16" s="31">
        <f>IF(AND(catpn_1_SDHB_1&gt;0,catpn_1_SDHV_40&gt;0),(catdw_1_SDHB_1*((dagenperjaar1-VLOOKUP(B16,dagsoorttabel1,2,FALSE))-catfd_1_SDHV_40)/catpn_1_SDHB_1+catdw_1_SDHV_40*catfd_1_SDHV_40/catpn_1_SDHV_40)/(((dagenperjaar1-VLOOKUP(B16,dagsoorttabel1,2,FALSE))-catfd_1_SDHV_40)/catpn_1_SDHB_1+catfd_1_SDHV_40/catpn_1_SDHV_40),0)</f>
        <v>0</v>
      </c>
      <c r="I16" s="15" t="s">
        <v>41</v>
      </c>
      <c r="J16" s="32">
        <f>IF(AND(catpn_1_SDHB_1&gt;0,catpn_1_SDHV_40&gt;0),(cattf_1_SDHB_1*((dagenperjaar1*VLOOKUP(B16,dagsoorttabel1,2,FALSE))-catfd_1_SDHV_40)/catpn_1_SDHB_1+cattf_1_SDHV_40*catfd_1_SDHV_40/catpn_1_SDHV_40)/(((dagenperjaar1*VLOOKUP(B16,dagsoorttabel1,2,FALSE))-catfd_1_SDHV_40)/catpn_1_SDHB_1+catfd_1_SDHV_40/catpn_1_SDHV_40),0)</f>
        <v>0</v>
      </c>
      <c r="K16" s="29">
        <f>IF(OR(ISBLANK(G16),G16=0),0,F16/ROUND(G16,4))</f>
        <v>0</v>
      </c>
      <c r="L16" s="32">
        <f>ROUND(J16,2)*K16</f>
        <v>0</v>
      </c>
      <c r="M16" s="29">
        <f>K16*dagenperjaar1</f>
        <v>0</v>
      </c>
      <c r="N16" s="32">
        <f>M16*ROUND(J16,2)</f>
        <v>0</v>
      </c>
    </row>
    <row r="17" spans="1:14">
      <c r="A17" s="15" t="s">
        <v>140</v>
      </c>
      <c r="B17" s="15" t="s">
        <v>18</v>
      </c>
      <c r="C17" s="15" t="s">
        <v>120</v>
      </c>
      <c r="D17" s="15" t="s">
        <v>141</v>
      </c>
      <c r="E17" s="29">
        <v>46.800000000000004</v>
      </c>
      <c r="F17" s="29">
        <f>E17*VLOOKUP(B17,dagsoorttabel1,2,FALSE)</f>
        <v>36.705882352941181</v>
      </c>
      <c r="G17" s="30">
        <f>IF(AND(catpn_1_SKHB_1&gt;0,catpn_1_SKHV_40&gt;0),(dagenperjaar1*VLOOKUP(B17,dagsoorttabel1,2,FALSE))/(((dagenperjaar1*VLOOKUP(B17,dagsoorttabel1,2,FALSE))-catfd_1_SKHV_40)/catpn_1_SKHB_1+catfd_1_SKHV_40/catpn_1_SKHV_40),0)</f>
        <v>0</v>
      </c>
      <c r="H17" s="31">
        <f>IF(AND(catpn_1_SKHB_1&gt;0,catpn_1_SKHV_40&gt;0),(catdw_1_SKHB_1*((dagenperjaar1-VLOOKUP(B17,dagsoorttabel1,2,FALSE))-catfd_1_SKHV_40)/catpn_1_SKHB_1+catdw_1_SKHV_40*catfd_1_SKHV_40/catpn_1_SKHV_40)/(((dagenperjaar1-VLOOKUP(B17,dagsoorttabel1,2,FALSE))-catfd_1_SKHV_40)/catpn_1_SKHB_1+catfd_1_SKHV_40/catpn_1_SKHV_40),0)</f>
        <v>0</v>
      </c>
      <c r="I17" s="15" t="s">
        <v>41</v>
      </c>
      <c r="J17" s="32">
        <f>IF(AND(catpn_1_SKHB_1&gt;0,catpn_1_SKHV_40&gt;0),(cattf_1_SKHB_1*((dagenperjaar1*VLOOKUP(B17,dagsoorttabel1,2,FALSE))-catfd_1_SKHV_40)/catpn_1_SKHB_1+cattf_1_SKHV_40*catfd_1_SKHV_40/catpn_1_SKHV_40)/(((dagenperjaar1*VLOOKUP(B17,dagsoorttabel1,2,FALSE))-catfd_1_SKHV_40)/catpn_1_SKHB_1+catfd_1_SKHV_40/catpn_1_SKHV_40),0)</f>
        <v>0</v>
      </c>
      <c r="K17" s="29">
        <f>IF(OR(ISBLANK(G17),G17=0),0,F17/ROUND(G17,4))</f>
        <v>0</v>
      </c>
      <c r="L17" s="32">
        <f>ROUND(J17,2)*K17</f>
        <v>0</v>
      </c>
      <c r="M17" s="29">
        <f>K17*dagenperjaar1</f>
        <v>0</v>
      </c>
      <c r="N17" s="32">
        <f>M17*ROUND(J17,2)</f>
        <v>0</v>
      </c>
    </row>
    <row r="18" spans="1:14">
      <c r="A18" s="15" t="s">
        <v>142</v>
      </c>
      <c r="B18" s="15" t="s">
        <v>18</v>
      </c>
      <c r="C18" s="15" t="s">
        <v>120</v>
      </c>
      <c r="D18" s="15" t="s">
        <v>143</v>
      </c>
      <c r="E18" s="29">
        <v>139.80000000000001</v>
      </c>
      <c r="F18" s="29">
        <f>E18*VLOOKUP(B18,dagsoorttabel1,2,FALSE)</f>
        <v>109.64705882352942</v>
      </c>
      <c r="G18" s="30">
        <f>IF(AND(catpn_1_STHB_1&gt;0,catpn_1_STHV_40&gt;0),(dagenperjaar1*VLOOKUP(B18,dagsoorttabel1,2,FALSE))/(((dagenperjaar1*VLOOKUP(B18,dagsoorttabel1,2,FALSE))-catfd_1_STHV_40)/catpn_1_STHB_1+catfd_1_STHV_40/catpn_1_STHV_40),0)</f>
        <v>0</v>
      </c>
      <c r="H18" s="31">
        <f>IF(AND(catpn_1_STHB_1&gt;0,catpn_1_STHV_40&gt;0),(catdw_1_STHB_1*((dagenperjaar1-VLOOKUP(B18,dagsoorttabel1,2,FALSE))-catfd_1_STHV_40)/catpn_1_STHB_1+catdw_1_STHV_40*catfd_1_STHV_40/catpn_1_STHV_40)/(((dagenperjaar1-VLOOKUP(B18,dagsoorttabel1,2,FALSE))-catfd_1_STHV_40)/catpn_1_STHB_1+catfd_1_STHV_40/catpn_1_STHV_40),0)</f>
        <v>0</v>
      </c>
      <c r="I18" s="15" t="s">
        <v>41</v>
      </c>
      <c r="J18" s="32">
        <f>IF(AND(catpn_1_STHB_1&gt;0,catpn_1_STHV_40&gt;0),(cattf_1_STHB_1*((dagenperjaar1*VLOOKUP(B18,dagsoorttabel1,2,FALSE))-catfd_1_STHV_40)/catpn_1_STHB_1+cattf_1_STHV_40*catfd_1_STHV_40/catpn_1_STHV_40)/(((dagenperjaar1*VLOOKUP(B18,dagsoorttabel1,2,FALSE))-catfd_1_STHV_40)/catpn_1_STHB_1+catfd_1_STHV_40/catpn_1_STHV_40),0)</f>
        <v>0</v>
      </c>
      <c r="K18" s="29">
        <f>IF(OR(ISBLANK(G18),G18=0),0,F18/ROUND(G18,4))</f>
        <v>0</v>
      </c>
      <c r="L18" s="32">
        <f>ROUND(J18,2)*K18</f>
        <v>0</v>
      </c>
      <c r="M18" s="29">
        <f>K18*dagenperjaar1</f>
        <v>0</v>
      </c>
      <c r="N18" s="32">
        <f>M18*ROUND(J18,2)</f>
        <v>0</v>
      </c>
    </row>
    <row r="19" spans="1:14">
      <c r="A19" s="15" t="s">
        <v>144</v>
      </c>
      <c r="B19" s="15" t="s">
        <v>18</v>
      </c>
      <c r="C19" s="15" t="s">
        <v>120</v>
      </c>
      <c r="D19" s="15" t="s">
        <v>145</v>
      </c>
      <c r="E19" s="29">
        <v>1209.2</v>
      </c>
      <c r="F19" s="29">
        <f>E19*VLOOKUP(B19,dagsoorttabel1,2,FALSE)</f>
        <v>948.39215686274508</v>
      </c>
      <c r="G19" s="30">
        <f>IF(AND(catpn_1_VAHB_1&gt;0,catpn_1_VAHV_40&gt;0),(dagenperjaar1*VLOOKUP(B19,dagsoorttabel1,2,FALSE))/(((dagenperjaar1*VLOOKUP(B19,dagsoorttabel1,2,FALSE))-catfd_1_VAHV_40)/catpn_1_VAHB_1+catfd_1_VAHV_40/catpn_1_VAHV_40),0)</f>
        <v>0</v>
      </c>
      <c r="H19" s="31">
        <f>IF(AND(catpn_1_VAHB_1&gt;0,catpn_1_VAHV_40&gt;0),(catdw_1_VAHB_1*((dagenperjaar1-VLOOKUP(B19,dagsoorttabel1,2,FALSE))-catfd_1_VAHV_40)/catpn_1_VAHB_1+catdw_1_VAHV_40*catfd_1_VAHV_40/catpn_1_VAHV_40)/(((dagenperjaar1-VLOOKUP(B19,dagsoorttabel1,2,FALSE))-catfd_1_VAHV_40)/catpn_1_VAHB_1+catfd_1_VAHV_40/catpn_1_VAHV_40),0)</f>
        <v>0</v>
      </c>
      <c r="I19" s="15" t="s">
        <v>41</v>
      </c>
      <c r="J19" s="32">
        <f>IF(AND(catpn_1_VAHB_1&gt;0,catpn_1_VAHV_40&gt;0),(cattf_1_VAHB_1*((dagenperjaar1*VLOOKUP(B19,dagsoorttabel1,2,FALSE))-catfd_1_VAHV_40)/catpn_1_VAHB_1+cattf_1_VAHV_40*catfd_1_VAHV_40/catpn_1_VAHV_40)/(((dagenperjaar1*VLOOKUP(B19,dagsoorttabel1,2,FALSE))-catfd_1_VAHV_40)/catpn_1_VAHB_1+catfd_1_VAHV_40/catpn_1_VAHV_40),0)</f>
        <v>0</v>
      </c>
      <c r="K19" s="29">
        <f>IF(OR(ISBLANK(G19),G19=0),0,F19/ROUND(G19,4))</f>
        <v>0</v>
      </c>
      <c r="L19" s="32">
        <f>ROUND(J19,2)*K19</f>
        <v>0</v>
      </c>
      <c r="M19" s="29">
        <f>K19*dagenperjaar1</f>
        <v>0</v>
      </c>
      <c r="N19" s="32">
        <f>M19*ROUND(J19,2)</f>
        <v>0</v>
      </c>
    </row>
    <row r="20" spans="1:14">
      <c r="A20" s="15" t="s">
        <v>146</v>
      </c>
      <c r="B20" s="15" t="s">
        <v>18</v>
      </c>
      <c r="C20" s="15" t="s">
        <v>120</v>
      </c>
      <c r="D20" s="15" t="s">
        <v>147</v>
      </c>
      <c r="E20" s="29">
        <v>13.3</v>
      </c>
      <c r="F20" s="29">
        <f>E20*VLOOKUP(B20,dagsoorttabel1,2,FALSE)</f>
        <v>10.431372549019608</v>
      </c>
      <c r="G20" s="30">
        <f>IF(AND(catpn_1_VAZB_1&gt;0,catpn_1_VAZV_40&gt;0),(dagenperjaar1*VLOOKUP(B20,dagsoorttabel1,2,FALSE))/(((dagenperjaar1*VLOOKUP(B20,dagsoorttabel1,2,FALSE))-catfd_1_VAZV_40)/catpn_1_VAZB_1+catfd_1_VAZV_40/catpn_1_VAZV_40),0)</f>
        <v>0</v>
      </c>
      <c r="H20" s="31">
        <f>IF(AND(catpn_1_VAZB_1&gt;0,catpn_1_VAZV_40&gt;0),(catdw_1_VAZB_1*((dagenperjaar1-VLOOKUP(B20,dagsoorttabel1,2,FALSE))-catfd_1_VAZV_40)/catpn_1_VAZB_1+catdw_1_VAZV_40*catfd_1_VAZV_40/catpn_1_VAZV_40)/(((dagenperjaar1-VLOOKUP(B20,dagsoorttabel1,2,FALSE))-catfd_1_VAZV_40)/catpn_1_VAZB_1+catfd_1_VAZV_40/catpn_1_VAZV_40),0)</f>
        <v>0</v>
      </c>
      <c r="I20" s="15" t="s">
        <v>41</v>
      </c>
      <c r="J20" s="32">
        <f>IF(AND(catpn_1_VAZB_1&gt;0,catpn_1_VAZV_40&gt;0),(cattf_1_VAZB_1*((dagenperjaar1*VLOOKUP(B20,dagsoorttabel1,2,FALSE))-catfd_1_VAZV_40)/catpn_1_VAZB_1+cattf_1_VAZV_40*catfd_1_VAZV_40/catpn_1_VAZV_40)/(((dagenperjaar1*VLOOKUP(B20,dagsoorttabel1,2,FALSE))-catfd_1_VAZV_40)/catpn_1_VAZB_1+catfd_1_VAZV_40/catpn_1_VAZV_40),0)</f>
        <v>0</v>
      </c>
      <c r="K20" s="29">
        <f>IF(OR(ISBLANK(G20),G20=0),0,F20/ROUND(G20,4))</f>
        <v>0</v>
      </c>
      <c r="L20" s="32">
        <f>ROUND(J20,2)*K20</f>
        <v>0</v>
      </c>
      <c r="M20" s="29">
        <f>K20*dagenperjaar1</f>
        <v>0</v>
      </c>
      <c r="N20" s="32">
        <f>M20*ROUND(J20,2)</f>
        <v>0</v>
      </c>
    </row>
    <row r="21" spans="1:14">
      <c r="A21" s="15" t="s">
        <v>148</v>
      </c>
      <c r="B21" s="15" t="s">
        <v>18</v>
      </c>
      <c r="C21" s="15" t="s">
        <v>120</v>
      </c>
      <c r="D21" s="15" t="s">
        <v>149</v>
      </c>
      <c r="E21" s="29">
        <v>12.6</v>
      </c>
      <c r="F21" s="29">
        <f>E21*VLOOKUP(B21,dagsoorttabel1,2,FALSE)</f>
        <v>9.882352941176471</v>
      </c>
      <c r="G21" s="30">
        <f>IF(AND(catpn_1_VEZB_1&gt;0,catpn_1_VEZV_40&gt;0),(dagenperjaar1*VLOOKUP(B21,dagsoorttabel1,2,FALSE))/(((dagenperjaar1*VLOOKUP(B21,dagsoorttabel1,2,FALSE))-catfd_1_VEZV_40)/catpn_1_VEZB_1+catfd_1_VEZV_40/catpn_1_VEZV_40),0)</f>
        <v>0</v>
      </c>
      <c r="H21" s="31">
        <f>IF(AND(catpn_1_VEZB_1&gt;0,catpn_1_VEZV_40&gt;0),(catdw_1_VEZB_1*((dagenperjaar1-VLOOKUP(B21,dagsoorttabel1,2,FALSE))-catfd_1_VEZV_40)/catpn_1_VEZB_1+catdw_1_VEZV_40*catfd_1_VEZV_40/catpn_1_VEZV_40)/(((dagenperjaar1-VLOOKUP(B21,dagsoorttabel1,2,FALSE))-catfd_1_VEZV_40)/catpn_1_VEZB_1+catfd_1_VEZV_40/catpn_1_VEZV_40),0)</f>
        <v>0</v>
      </c>
      <c r="I21" s="15" t="s">
        <v>41</v>
      </c>
      <c r="J21" s="32">
        <f>IF(AND(catpn_1_VEZB_1&gt;0,catpn_1_VEZV_40&gt;0),(cattf_1_VEZB_1*((dagenperjaar1*VLOOKUP(B21,dagsoorttabel1,2,FALSE))-catfd_1_VEZV_40)/catpn_1_VEZB_1+cattf_1_VEZV_40*catfd_1_VEZV_40/catpn_1_VEZV_40)/(((dagenperjaar1*VLOOKUP(B21,dagsoorttabel1,2,FALSE))-catfd_1_VEZV_40)/catpn_1_VEZB_1+catfd_1_VEZV_40/catpn_1_VEZV_40),0)</f>
        <v>0</v>
      </c>
      <c r="K21" s="29">
        <f>IF(OR(ISBLANK(G21),G21=0),0,F21/ROUND(G21,4))</f>
        <v>0</v>
      </c>
      <c r="L21" s="32">
        <f>ROUND(J21,2)*K21</f>
        <v>0</v>
      </c>
      <c r="M21" s="29">
        <f>K21*dagenperjaar1</f>
        <v>0</v>
      </c>
      <c r="N21" s="32">
        <f>M21*ROUND(J21,2)</f>
        <v>0</v>
      </c>
    </row>
    <row r="22" spans="1:14">
      <c r="A22" s="15" t="s">
        <v>150</v>
      </c>
      <c r="B22" s="15" t="s">
        <v>18</v>
      </c>
      <c r="C22" s="15" t="s">
        <v>120</v>
      </c>
      <c r="D22" s="15" t="s">
        <v>151</v>
      </c>
      <c r="E22" s="29">
        <v>187.8</v>
      </c>
      <c r="F22" s="29">
        <f>E22*VLOOKUP(B22,dagsoorttabel1,2,FALSE)</f>
        <v>147.29411764705884</v>
      </c>
      <c r="G22" s="30">
        <f>IF(AND(catpn_1_VOHB_1&gt;0,catpn_1_VOHV_40&gt;0),(dagenperjaar1*VLOOKUP(B22,dagsoorttabel1,2,FALSE))/(((dagenperjaar1*VLOOKUP(B22,dagsoorttabel1,2,FALSE))-catfd_1_VOHV_40)/catpn_1_VOHB_1+catfd_1_VOHV_40/catpn_1_VOHV_40),0)</f>
        <v>0</v>
      </c>
      <c r="H22" s="31">
        <f>IF(AND(catpn_1_VOHB_1&gt;0,catpn_1_VOHV_40&gt;0),(catdw_1_VOHB_1*((dagenperjaar1-VLOOKUP(B22,dagsoorttabel1,2,FALSE))-catfd_1_VOHV_40)/catpn_1_VOHB_1+catdw_1_VOHV_40*catfd_1_VOHV_40/catpn_1_VOHV_40)/(((dagenperjaar1-VLOOKUP(B22,dagsoorttabel1,2,FALSE))-catfd_1_VOHV_40)/catpn_1_VOHB_1+catfd_1_VOHV_40/catpn_1_VOHV_40),0)</f>
        <v>0</v>
      </c>
      <c r="I22" s="15" t="s">
        <v>41</v>
      </c>
      <c r="J22" s="32">
        <f>IF(AND(catpn_1_VOHB_1&gt;0,catpn_1_VOHV_40&gt;0),(cattf_1_VOHB_1*((dagenperjaar1*VLOOKUP(B22,dagsoorttabel1,2,FALSE))-catfd_1_VOHV_40)/catpn_1_VOHB_1+cattf_1_VOHV_40*catfd_1_VOHV_40/catpn_1_VOHV_40)/(((dagenperjaar1*VLOOKUP(B22,dagsoorttabel1,2,FALSE))-catfd_1_VOHV_40)/catpn_1_VOHB_1+catfd_1_VOHV_40/catpn_1_VOHV_40),0)</f>
        <v>0</v>
      </c>
      <c r="K22" s="29">
        <f>IF(OR(ISBLANK(G22),G22=0),0,F22/ROUND(G22,4))</f>
        <v>0</v>
      </c>
      <c r="L22" s="32">
        <f>ROUND(J22,2)*K22</f>
        <v>0</v>
      </c>
      <c r="M22" s="29">
        <f>K22*dagenperjaar1</f>
        <v>0</v>
      </c>
      <c r="N22" s="32">
        <f>M22*ROUND(J22,2)</f>
        <v>0</v>
      </c>
    </row>
    <row r="23" spans="1:14">
      <c r="A23" s="20" t="s">
        <v>152</v>
      </c>
      <c r="B23" s="20" t="s">
        <v>18</v>
      </c>
      <c r="C23" s="20" t="s">
        <v>120</v>
      </c>
      <c r="D23" s="20" t="s">
        <v>153</v>
      </c>
      <c r="E23" s="33">
        <v>140.5</v>
      </c>
      <c r="F23" s="33">
        <f>E23*VLOOKUP(B23,dagsoorttabel1,2,FALSE)</f>
        <v>110.19607843137254</v>
      </c>
      <c r="G23" s="34">
        <f>IF(AND(catpn_1_VTHB_1&gt;0,catpn_1_VTHV_40&gt;0),(dagenperjaar1*VLOOKUP(B23,dagsoorttabel1,2,FALSE))/(((dagenperjaar1*VLOOKUP(B23,dagsoorttabel1,2,FALSE))-catfd_1_VTHV_40)/catpn_1_VTHB_1+catfd_1_VTHV_40/catpn_1_VTHV_40),0)</f>
        <v>0</v>
      </c>
      <c r="H23" s="35">
        <f>IF(AND(catpn_1_VTHB_1&gt;0,catpn_1_VTHV_40&gt;0),(catdw_1_VTHB_1*((dagenperjaar1-VLOOKUP(B23,dagsoorttabel1,2,FALSE))-catfd_1_VTHV_40)/catpn_1_VTHB_1+catdw_1_VTHV_40*catfd_1_VTHV_40/catpn_1_VTHV_40)/(((dagenperjaar1-VLOOKUP(B23,dagsoorttabel1,2,FALSE))-catfd_1_VTHV_40)/catpn_1_VTHB_1+catfd_1_VTHV_40/catpn_1_VTHV_40),0)</f>
        <v>0</v>
      </c>
      <c r="I23" s="20" t="s">
        <v>41</v>
      </c>
      <c r="J23" s="36">
        <f>IF(AND(catpn_1_VTHB_1&gt;0,catpn_1_VTHV_40&gt;0),(cattf_1_VTHB_1*((dagenperjaar1*VLOOKUP(B23,dagsoorttabel1,2,FALSE))-catfd_1_VTHV_40)/catpn_1_VTHB_1+cattf_1_VTHV_40*catfd_1_VTHV_40/catpn_1_VTHV_40)/(((dagenperjaar1*VLOOKUP(B23,dagsoorttabel1,2,FALSE))-catfd_1_VTHV_40)/catpn_1_VTHB_1+catfd_1_VTHV_40/catpn_1_VTHV_40),0)</f>
        <v>0</v>
      </c>
      <c r="K23" s="33">
        <f>IF(OR(ISBLANK(G23),G23=0),0,F23/ROUND(G23,4))</f>
        <v>0</v>
      </c>
      <c r="L23" s="36">
        <f>ROUND(J23,2)*K23</f>
        <v>0</v>
      </c>
      <c r="M23" s="33">
        <f>K23*dagenperjaar1</f>
        <v>0</v>
      </c>
      <c r="N23" s="36">
        <f>M23*ROUND(J23,2)</f>
        <v>0</v>
      </c>
    </row>
    <row r="24" spans="1:14">
      <c r="A24" s="38" t="s">
        <v>154</v>
      </c>
      <c r="B24" s="39"/>
      <c r="C24" s="39"/>
      <c r="D24" s="39"/>
      <c r="E24" s="39"/>
      <c r="F24" s="39"/>
      <c r="G24" s="39"/>
      <c r="H24" s="39"/>
      <c r="I24" s="39"/>
      <c r="J24" s="39"/>
      <c r="K24" s="104">
        <f>SUM(K6:K23)</f>
        <v>0</v>
      </c>
      <c r="L24" s="105">
        <f>SUM(L6:L23)</f>
        <v>0</v>
      </c>
      <c r="M24" s="104">
        <f>SUM(M6:M23)</f>
        <v>0</v>
      </c>
      <c r="N24" s="105">
        <f>SUM(N6:N23)</f>
        <v>0</v>
      </c>
    </row>
    <row r="25" spans="1:14">
      <c r="A25" s="40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1"/>
    </row>
    <row r="26" spans="1:14">
      <c r="A26" s="38" t="s">
        <v>155</v>
      </c>
      <c r="B26" s="39"/>
      <c r="C26" s="39"/>
      <c r="D26" s="39"/>
      <c r="E26" s="39"/>
      <c r="F26" s="39"/>
      <c r="G26" s="39"/>
      <c r="H26" s="39"/>
      <c r="I26" s="39"/>
      <c r="J26" s="105">
        <f>IF(urenjaar1&gt;0,SUMIF(M6:M23,"&gt;0",N6:N23)/urenjaar1,0)</f>
        <v>0</v>
      </c>
      <c r="K26" s="39"/>
      <c r="L26" s="39"/>
      <c r="M26" s="39"/>
      <c r="N26" s="41"/>
    </row>
    <row r="27" spans="1:14">
      <c r="A27" s="40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1"/>
    </row>
    <row r="29" spans="1:14">
      <c r="A29" s="38" t="s">
        <v>156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04">
        <f>urenjaar1</f>
        <v>0</v>
      </c>
      <c r="N29" s="105">
        <f>prijsjaar1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A8A0-90DD-46B4-A235-2BA08C4634EF}">
  <dimension ref="A1:V140"/>
  <sheetViews>
    <sheetView workbookViewId="0"/>
  </sheetViews>
  <sheetFormatPr defaultRowHeight="12.6"/>
  <cols>
    <col min="1" max="1" width="8.625" customWidth="1"/>
    <col min="2" max="3" width="7.625" customWidth="1"/>
    <col min="4" max="4" width="10.625" customWidth="1"/>
    <col min="5" max="5" width="25.625" customWidth="1"/>
    <col min="6" max="6" width="11.625" customWidth="1"/>
    <col min="7" max="7" width="7.625" customWidth="1"/>
    <col min="8" max="8" width="6.625" customWidth="1"/>
    <col min="9" max="9" width="8.625" customWidth="1"/>
    <col min="10" max="10" width="10.625" customWidth="1"/>
    <col min="11" max="11" width="12.625" customWidth="1"/>
    <col min="12" max="13" width="10.625" customWidth="1"/>
    <col min="14" max="15" width="11.625" customWidth="1"/>
    <col min="16" max="16" width="9.625" customWidth="1"/>
    <col min="17" max="20" width="11.625" customWidth="1"/>
    <col min="21" max="21" width="12.625" customWidth="1"/>
    <col min="22" max="22" width="14.625" customWidth="1"/>
  </cols>
  <sheetData>
    <row r="1" spans="1:22">
      <c r="A1" s="1" t="str">
        <f>CONCATENATE("Bijlage G2.3: ",tabeltype," ruimten werkdag")</f>
        <v>Bijlage G2.3: Invultabel ruimten werkdag</v>
      </c>
    </row>
    <row r="3" spans="1:22" ht="37.9">
      <c r="A3" s="42" t="s">
        <v>157</v>
      </c>
      <c r="B3" s="42" t="s">
        <v>158</v>
      </c>
      <c r="C3" s="42" t="s">
        <v>159</v>
      </c>
      <c r="D3" s="42" t="s">
        <v>160</v>
      </c>
      <c r="E3" s="42" t="s">
        <v>161</v>
      </c>
      <c r="F3" s="42" t="s">
        <v>162</v>
      </c>
      <c r="G3" s="42" t="s">
        <v>111</v>
      </c>
      <c r="H3" s="42" t="s">
        <v>9</v>
      </c>
      <c r="I3" s="42" t="s">
        <v>163</v>
      </c>
      <c r="J3" s="42" t="s">
        <v>164</v>
      </c>
      <c r="K3" s="42" t="s">
        <v>165</v>
      </c>
      <c r="L3" s="42" t="s">
        <v>113</v>
      </c>
      <c r="M3" s="42" t="s">
        <v>114</v>
      </c>
      <c r="N3" s="42" t="s">
        <v>33</v>
      </c>
      <c r="O3" s="42" t="s">
        <v>34</v>
      </c>
      <c r="P3" s="42" t="s">
        <v>35</v>
      </c>
      <c r="Q3" s="42" t="s">
        <v>36</v>
      </c>
      <c r="R3" s="42" t="s">
        <v>115</v>
      </c>
      <c r="S3" s="42" t="s">
        <v>166</v>
      </c>
      <c r="T3" s="42" t="s">
        <v>116</v>
      </c>
      <c r="U3" s="42" t="s">
        <v>117</v>
      </c>
      <c r="V3" s="42" t="s">
        <v>118</v>
      </c>
    </row>
    <row r="4" spans="1:22">
      <c r="A4" s="43" t="s">
        <v>167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37"/>
    </row>
    <row r="5" spans="1:22">
      <c r="A5" s="44" t="s">
        <v>168</v>
      </c>
      <c r="B5" s="45" t="s">
        <v>169</v>
      </c>
      <c r="C5" s="45" t="s">
        <v>170</v>
      </c>
      <c r="D5" s="45" t="s">
        <v>171</v>
      </c>
      <c r="E5" s="46" t="s">
        <v>172</v>
      </c>
      <c r="F5" s="45" t="s">
        <v>173</v>
      </c>
      <c r="G5" s="45" t="s">
        <v>148</v>
      </c>
      <c r="H5" s="45" t="s">
        <v>18</v>
      </c>
      <c r="I5" s="45" t="s">
        <v>120</v>
      </c>
      <c r="J5" s="45" t="s">
        <v>174</v>
      </c>
      <c r="K5" s="45" t="s">
        <v>169</v>
      </c>
      <c r="L5" s="47">
        <v>12.6</v>
      </c>
      <c r="M5" s="47">
        <f>L5*VLOOKUP(H5,dagsoorttabel1,2,FALSE)</f>
        <v>9.882352941176471</v>
      </c>
      <c r="N5" s="48">
        <f>prodnorm19</f>
        <v>0</v>
      </c>
      <c r="O5" s="49">
        <f>dagwerk19</f>
        <v>0</v>
      </c>
      <c r="P5" s="45" t="s">
        <v>41</v>
      </c>
      <c r="Q5" s="50">
        <f>uurtarief19</f>
        <v>0</v>
      </c>
      <c r="R5" s="47" t="e">
        <f>IF(ISBLANK(N5),0,M5/ROUND(N5,4))</f>
        <v>#DIV/0!</v>
      </c>
      <c r="S5" s="47" t="e">
        <f>IF(ISBLANK(N5),0,R5*ROUND(O5,2))</f>
        <v>#DIV/0!</v>
      </c>
      <c r="T5" s="50" t="e">
        <f>ROUND(Q5,2)*R5</f>
        <v>#DIV/0!</v>
      </c>
      <c r="U5" s="47" t="e">
        <f>R5*dagenperjaar1</f>
        <v>#DIV/0!</v>
      </c>
      <c r="V5" s="51" t="e">
        <f>U5*ROUND(Q5,2)</f>
        <v>#DIV/0!</v>
      </c>
    </row>
    <row r="6" spans="1:22">
      <c r="A6" s="52" t="s">
        <v>168</v>
      </c>
      <c r="B6" s="53" t="s">
        <v>169</v>
      </c>
      <c r="C6" s="53" t="s">
        <v>170</v>
      </c>
      <c r="D6" s="53" t="s">
        <v>175</v>
      </c>
      <c r="E6" s="54" t="s">
        <v>176</v>
      </c>
      <c r="F6" s="53" t="s">
        <v>177</v>
      </c>
      <c r="G6" s="53" t="s">
        <v>136</v>
      </c>
      <c r="H6" s="53" t="s">
        <v>18</v>
      </c>
      <c r="I6" s="53" t="s">
        <v>120</v>
      </c>
      <c r="J6" s="53" t="s">
        <v>178</v>
      </c>
      <c r="K6" s="53" t="s">
        <v>169</v>
      </c>
      <c r="L6" s="55">
        <v>669</v>
      </c>
      <c r="M6" s="55">
        <f>L6*VLOOKUP(H6,dagsoorttabel1,2,FALSE)</f>
        <v>524.70588235294122</v>
      </c>
      <c r="N6" s="56">
        <f>prodnorm13</f>
        <v>0</v>
      </c>
      <c r="O6" s="57">
        <f>dagwerk13</f>
        <v>0</v>
      </c>
      <c r="P6" s="53" t="s">
        <v>41</v>
      </c>
      <c r="Q6" s="58">
        <f>uurtarief13</f>
        <v>0</v>
      </c>
      <c r="R6" s="55" t="e">
        <f>IF(ISBLANK(N6),0,M6/ROUND(N6,4))</f>
        <v>#DIV/0!</v>
      </c>
      <c r="S6" s="55" t="e">
        <f>IF(ISBLANK(N6),0,R6*ROUND(O6,2))</f>
        <v>#DIV/0!</v>
      </c>
      <c r="T6" s="58" t="e">
        <f>ROUND(Q6,2)*R6</f>
        <v>#DIV/0!</v>
      </c>
      <c r="U6" s="55" t="e">
        <f>R6*dagenperjaar1</f>
        <v>#DIV/0!</v>
      </c>
      <c r="V6" s="59" t="e">
        <f>U6*ROUND(Q6,2)</f>
        <v>#DIV/0!</v>
      </c>
    </row>
    <row r="7" spans="1:22">
      <c r="A7" s="52" t="s">
        <v>168</v>
      </c>
      <c r="B7" s="53" t="s">
        <v>169</v>
      </c>
      <c r="C7" s="53" t="s">
        <v>170</v>
      </c>
      <c r="D7" s="53" t="s">
        <v>179</v>
      </c>
      <c r="E7" s="54" t="s">
        <v>180</v>
      </c>
      <c r="F7" s="53" t="s">
        <v>181</v>
      </c>
      <c r="G7" s="53" t="s">
        <v>142</v>
      </c>
      <c r="H7" s="53" t="s">
        <v>18</v>
      </c>
      <c r="I7" s="53" t="s">
        <v>120</v>
      </c>
      <c r="J7" s="53" t="s">
        <v>182</v>
      </c>
      <c r="K7" s="53" t="s">
        <v>169</v>
      </c>
      <c r="L7" s="55">
        <v>11</v>
      </c>
      <c r="M7" s="55">
        <f>L7*VLOOKUP(H7,dagsoorttabel1,2,FALSE)</f>
        <v>8.6274509803921564</v>
      </c>
      <c r="N7" s="56">
        <f>prodnorm16</f>
        <v>0</v>
      </c>
      <c r="O7" s="57">
        <f>dagwerk16</f>
        <v>0</v>
      </c>
      <c r="P7" s="53" t="s">
        <v>41</v>
      </c>
      <c r="Q7" s="58">
        <f>uurtarief16</f>
        <v>0</v>
      </c>
      <c r="R7" s="55" t="e">
        <f>IF(ISBLANK(N7),0,M7/ROUND(N7,4))</f>
        <v>#DIV/0!</v>
      </c>
      <c r="S7" s="55" t="e">
        <f>IF(ISBLANK(N7),0,R7*ROUND(O7,2))</f>
        <v>#DIV/0!</v>
      </c>
      <c r="T7" s="58" t="e">
        <f>ROUND(Q7,2)*R7</f>
        <v>#DIV/0!</v>
      </c>
      <c r="U7" s="55" t="e">
        <f>R7*dagenperjaar1</f>
        <v>#DIV/0!</v>
      </c>
      <c r="V7" s="59" t="e">
        <f>U7*ROUND(Q7,2)</f>
        <v>#DIV/0!</v>
      </c>
    </row>
    <row r="8" spans="1:22">
      <c r="A8" s="52" t="s">
        <v>168</v>
      </c>
      <c r="B8" s="53" t="s">
        <v>169</v>
      </c>
      <c r="C8" s="53" t="s">
        <v>170</v>
      </c>
      <c r="D8" s="53" t="s">
        <v>183</v>
      </c>
      <c r="E8" s="54" t="s">
        <v>184</v>
      </c>
      <c r="F8" s="53" t="s">
        <v>181</v>
      </c>
      <c r="G8" s="53" t="s">
        <v>142</v>
      </c>
      <c r="H8" s="53" t="s">
        <v>18</v>
      </c>
      <c r="I8" s="53" t="s">
        <v>120</v>
      </c>
      <c r="J8" s="53" t="s">
        <v>182</v>
      </c>
      <c r="K8" s="53" t="s">
        <v>169</v>
      </c>
      <c r="L8" s="55">
        <v>11</v>
      </c>
      <c r="M8" s="55">
        <f>L8*VLOOKUP(H8,dagsoorttabel1,2,FALSE)</f>
        <v>8.6274509803921564</v>
      </c>
      <c r="N8" s="56">
        <f>prodnorm16</f>
        <v>0</v>
      </c>
      <c r="O8" s="57">
        <f>dagwerk16</f>
        <v>0</v>
      </c>
      <c r="P8" s="53" t="s">
        <v>41</v>
      </c>
      <c r="Q8" s="58">
        <f>uurtarief16</f>
        <v>0</v>
      </c>
      <c r="R8" s="55" t="e">
        <f>IF(ISBLANK(N8),0,M8/ROUND(N8,4))</f>
        <v>#DIV/0!</v>
      </c>
      <c r="S8" s="55" t="e">
        <f>IF(ISBLANK(N8),0,R8*ROUND(O8,2))</f>
        <v>#DIV/0!</v>
      </c>
      <c r="T8" s="58" t="e">
        <f>ROUND(Q8,2)*R8</f>
        <v>#DIV/0!</v>
      </c>
      <c r="U8" s="55" t="e">
        <f>R8*dagenperjaar1</f>
        <v>#DIV/0!</v>
      </c>
      <c r="V8" s="59" t="e">
        <f>U8*ROUND(Q8,2)</f>
        <v>#DIV/0!</v>
      </c>
    </row>
    <row r="9" spans="1:22">
      <c r="A9" s="52" t="s">
        <v>168</v>
      </c>
      <c r="B9" s="53" t="s">
        <v>169</v>
      </c>
      <c r="C9" s="53" t="s">
        <v>170</v>
      </c>
      <c r="D9" s="53" t="s">
        <v>185</v>
      </c>
      <c r="E9" s="54" t="s">
        <v>186</v>
      </c>
      <c r="F9" s="53" t="s">
        <v>181</v>
      </c>
      <c r="G9" s="53" t="s">
        <v>142</v>
      </c>
      <c r="H9" s="53" t="s">
        <v>18</v>
      </c>
      <c r="I9" s="53" t="s">
        <v>120</v>
      </c>
      <c r="J9" s="53" t="s">
        <v>182</v>
      </c>
      <c r="K9" s="53" t="s">
        <v>169</v>
      </c>
      <c r="L9" s="55">
        <v>7</v>
      </c>
      <c r="M9" s="55">
        <f>L9*VLOOKUP(H9,dagsoorttabel1,2,FALSE)</f>
        <v>5.4901960784313726</v>
      </c>
      <c r="N9" s="56">
        <f>prodnorm16</f>
        <v>0</v>
      </c>
      <c r="O9" s="57">
        <f>dagwerk16</f>
        <v>0</v>
      </c>
      <c r="P9" s="53" t="s">
        <v>41</v>
      </c>
      <c r="Q9" s="58">
        <f>uurtarief16</f>
        <v>0</v>
      </c>
      <c r="R9" s="55" t="e">
        <f>IF(ISBLANK(N9),0,M9/ROUND(N9,4))</f>
        <v>#DIV/0!</v>
      </c>
      <c r="S9" s="55" t="e">
        <f>IF(ISBLANK(N9),0,R9*ROUND(O9,2))</f>
        <v>#DIV/0!</v>
      </c>
      <c r="T9" s="58" t="e">
        <f>ROUND(Q9,2)*R9</f>
        <v>#DIV/0!</v>
      </c>
      <c r="U9" s="55" t="e">
        <f>R9*dagenperjaar1</f>
        <v>#DIV/0!</v>
      </c>
      <c r="V9" s="59" t="e">
        <f>U9*ROUND(Q9,2)</f>
        <v>#DIV/0!</v>
      </c>
    </row>
    <row r="10" spans="1:22">
      <c r="A10" s="52" t="s">
        <v>168</v>
      </c>
      <c r="B10" s="53" t="s">
        <v>169</v>
      </c>
      <c r="C10" s="53" t="s">
        <v>170</v>
      </c>
      <c r="D10" s="53" t="s">
        <v>187</v>
      </c>
      <c r="E10" s="54" t="s">
        <v>188</v>
      </c>
      <c r="F10" s="53" t="s">
        <v>177</v>
      </c>
      <c r="G10" s="53" t="s">
        <v>152</v>
      </c>
      <c r="H10" s="53" t="s">
        <v>18</v>
      </c>
      <c r="I10" s="53" t="s">
        <v>120</v>
      </c>
      <c r="J10" s="53" t="s">
        <v>174</v>
      </c>
      <c r="K10" s="53" t="s">
        <v>169</v>
      </c>
      <c r="L10" s="55">
        <v>9</v>
      </c>
      <c r="M10" s="55">
        <f>L10*VLOOKUP(H10,dagsoorttabel1,2,FALSE)</f>
        <v>7.0588235294117645</v>
      </c>
      <c r="N10" s="56">
        <f>prodnorm21</f>
        <v>0</v>
      </c>
      <c r="O10" s="57">
        <f>dagwerk21</f>
        <v>0</v>
      </c>
      <c r="P10" s="53" t="s">
        <v>41</v>
      </c>
      <c r="Q10" s="58">
        <f>uurtarief21</f>
        <v>0</v>
      </c>
      <c r="R10" s="55" t="e">
        <f>IF(ISBLANK(N10),0,M10/ROUND(N10,4))</f>
        <v>#DIV/0!</v>
      </c>
      <c r="S10" s="55" t="e">
        <f>IF(ISBLANK(N10),0,R10*ROUND(O10,2))</f>
        <v>#DIV/0!</v>
      </c>
      <c r="T10" s="58" t="e">
        <f>ROUND(Q10,2)*R10</f>
        <v>#DIV/0!</v>
      </c>
      <c r="U10" s="55" t="e">
        <f>R10*dagenperjaar1</f>
        <v>#DIV/0!</v>
      </c>
      <c r="V10" s="59" t="e">
        <f>U10*ROUND(Q10,2)</f>
        <v>#DIV/0!</v>
      </c>
    </row>
    <row r="11" spans="1:22">
      <c r="A11" s="52" t="s">
        <v>168</v>
      </c>
      <c r="B11" s="53" t="s">
        <v>169</v>
      </c>
      <c r="C11" s="53" t="s">
        <v>170</v>
      </c>
      <c r="D11" s="53" t="s">
        <v>189</v>
      </c>
      <c r="E11" s="54" t="s">
        <v>190</v>
      </c>
      <c r="F11" s="53" t="s">
        <v>177</v>
      </c>
      <c r="G11" s="53" t="s">
        <v>144</v>
      </c>
      <c r="H11" s="53" t="s">
        <v>18</v>
      </c>
      <c r="I11" s="53" t="s">
        <v>120</v>
      </c>
      <c r="J11" s="53" t="s">
        <v>174</v>
      </c>
      <c r="K11" s="53" t="s">
        <v>169</v>
      </c>
      <c r="L11" s="55">
        <v>20</v>
      </c>
      <c r="M11" s="55">
        <f>L11*VLOOKUP(H11,dagsoorttabel1,2,FALSE)</f>
        <v>15.686274509803921</v>
      </c>
      <c r="N11" s="56">
        <f>prodnorm17</f>
        <v>0</v>
      </c>
      <c r="O11" s="57">
        <f>dagwerk17</f>
        <v>0</v>
      </c>
      <c r="P11" s="53" t="s">
        <v>41</v>
      </c>
      <c r="Q11" s="58">
        <f>uurtarief17</f>
        <v>0</v>
      </c>
      <c r="R11" s="55" t="e">
        <f>IF(ISBLANK(N11),0,M11/ROUND(N11,4))</f>
        <v>#DIV/0!</v>
      </c>
      <c r="S11" s="55" t="e">
        <f>IF(ISBLANK(N11),0,R11*ROUND(O11,2))</f>
        <v>#DIV/0!</v>
      </c>
      <c r="T11" s="58" t="e">
        <f>ROUND(Q11,2)*R11</f>
        <v>#DIV/0!</v>
      </c>
      <c r="U11" s="55" t="e">
        <f>R11*dagenperjaar1</f>
        <v>#DIV/0!</v>
      </c>
      <c r="V11" s="59" t="e">
        <f>U11*ROUND(Q11,2)</f>
        <v>#DIV/0!</v>
      </c>
    </row>
    <row r="12" spans="1:22">
      <c r="A12" s="52" t="s">
        <v>168</v>
      </c>
      <c r="B12" s="53" t="s">
        <v>169</v>
      </c>
      <c r="C12" s="53" t="s">
        <v>170</v>
      </c>
      <c r="D12" s="53" t="s">
        <v>191</v>
      </c>
      <c r="E12" s="54" t="s">
        <v>192</v>
      </c>
      <c r="F12" s="53" t="s">
        <v>177</v>
      </c>
      <c r="G12" s="53" t="s">
        <v>152</v>
      </c>
      <c r="H12" s="53" t="s">
        <v>18</v>
      </c>
      <c r="I12" s="53" t="s">
        <v>120</v>
      </c>
      <c r="J12" s="53" t="s">
        <v>174</v>
      </c>
      <c r="K12" s="53" t="s">
        <v>169</v>
      </c>
      <c r="L12" s="55">
        <v>5</v>
      </c>
      <c r="M12" s="55">
        <f>L12*VLOOKUP(H12,dagsoorttabel1,2,FALSE)</f>
        <v>3.9215686274509802</v>
      </c>
      <c r="N12" s="56">
        <f>prodnorm21</f>
        <v>0</v>
      </c>
      <c r="O12" s="57">
        <f>dagwerk21</f>
        <v>0</v>
      </c>
      <c r="P12" s="53" t="s">
        <v>41</v>
      </c>
      <c r="Q12" s="58">
        <f>uurtarief21</f>
        <v>0</v>
      </c>
      <c r="R12" s="55" t="e">
        <f>IF(ISBLANK(N12),0,M12/ROUND(N12,4))</f>
        <v>#DIV/0!</v>
      </c>
      <c r="S12" s="55" t="e">
        <f>IF(ISBLANK(N12),0,R12*ROUND(O12,2))</f>
        <v>#DIV/0!</v>
      </c>
      <c r="T12" s="58" t="e">
        <f>ROUND(Q12,2)*R12</f>
        <v>#DIV/0!</v>
      </c>
      <c r="U12" s="55" t="e">
        <f>R12*dagenperjaar1</f>
        <v>#DIV/0!</v>
      </c>
      <c r="V12" s="59" t="e">
        <f>U12*ROUND(Q12,2)</f>
        <v>#DIV/0!</v>
      </c>
    </row>
    <row r="13" spans="1:22">
      <c r="A13" s="52" t="s">
        <v>168</v>
      </c>
      <c r="B13" s="53" t="s">
        <v>169</v>
      </c>
      <c r="C13" s="53" t="s">
        <v>170</v>
      </c>
      <c r="D13" s="53" t="s">
        <v>193</v>
      </c>
      <c r="E13" s="54" t="s">
        <v>190</v>
      </c>
      <c r="F13" s="53" t="s">
        <v>173</v>
      </c>
      <c r="G13" s="53" t="s">
        <v>146</v>
      </c>
      <c r="H13" s="53" t="s">
        <v>18</v>
      </c>
      <c r="I13" s="53" t="s">
        <v>120</v>
      </c>
      <c r="J13" s="53" t="s">
        <v>174</v>
      </c>
      <c r="K13" s="53" t="s">
        <v>169</v>
      </c>
      <c r="L13" s="55">
        <v>3.3</v>
      </c>
      <c r="M13" s="55">
        <f>L13*VLOOKUP(H13,dagsoorttabel1,2,FALSE)</f>
        <v>2.5882352941176467</v>
      </c>
      <c r="N13" s="56">
        <f>prodnorm18</f>
        <v>0</v>
      </c>
      <c r="O13" s="57">
        <f>dagwerk18</f>
        <v>0</v>
      </c>
      <c r="P13" s="53" t="s">
        <v>41</v>
      </c>
      <c r="Q13" s="58">
        <f>uurtarief18</f>
        <v>0</v>
      </c>
      <c r="R13" s="55" t="e">
        <f>IF(ISBLANK(N13),0,M13/ROUND(N13,4))</f>
        <v>#DIV/0!</v>
      </c>
      <c r="S13" s="55" t="e">
        <f>IF(ISBLANK(N13),0,R13*ROUND(O13,2))</f>
        <v>#DIV/0!</v>
      </c>
      <c r="T13" s="58" t="e">
        <f>ROUND(Q13,2)*R13</f>
        <v>#DIV/0!</v>
      </c>
      <c r="U13" s="55" t="e">
        <f>R13*dagenperjaar1</f>
        <v>#DIV/0!</v>
      </c>
      <c r="V13" s="59" t="e">
        <f>U13*ROUND(Q13,2)</f>
        <v>#DIV/0!</v>
      </c>
    </row>
    <row r="14" spans="1:22">
      <c r="A14" s="52" t="s">
        <v>168</v>
      </c>
      <c r="B14" s="53" t="s">
        <v>169</v>
      </c>
      <c r="C14" s="53" t="s">
        <v>170</v>
      </c>
      <c r="D14" s="53" t="s">
        <v>194</v>
      </c>
      <c r="E14" s="54" t="s">
        <v>195</v>
      </c>
      <c r="F14" s="53" t="s">
        <v>181</v>
      </c>
      <c r="G14" s="53" t="s">
        <v>142</v>
      </c>
      <c r="H14" s="53" t="s">
        <v>18</v>
      </c>
      <c r="I14" s="53" t="s">
        <v>120</v>
      </c>
      <c r="J14" s="53" t="s">
        <v>182</v>
      </c>
      <c r="K14" s="53" t="s">
        <v>169</v>
      </c>
      <c r="L14" s="55">
        <v>6.3</v>
      </c>
      <c r="M14" s="55">
        <f>L14*VLOOKUP(H14,dagsoorttabel1,2,FALSE)</f>
        <v>4.9411764705882355</v>
      </c>
      <c r="N14" s="56">
        <f>prodnorm16</f>
        <v>0</v>
      </c>
      <c r="O14" s="57">
        <f>dagwerk16</f>
        <v>0</v>
      </c>
      <c r="P14" s="53" t="s">
        <v>41</v>
      </c>
      <c r="Q14" s="58">
        <f>uurtarief16</f>
        <v>0</v>
      </c>
      <c r="R14" s="55" t="e">
        <f>IF(ISBLANK(N14),0,M14/ROUND(N14,4))</f>
        <v>#DIV/0!</v>
      </c>
      <c r="S14" s="55" t="e">
        <f>IF(ISBLANK(N14),0,R14*ROUND(O14,2))</f>
        <v>#DIV/0!</v>
      </c>
      <c r="T14" s="58" t="e">
        <f>ROUND(Q14,2)*R14</f>
        <v>#DIV/0!</v>
      </c>
      <c r="U14" s="55" t="e">
        <f>R14*dagenperjaar1</f>
        <v>#DIV/0!</v>
      </c>
      <c r="V14" s="59" t="e">
        <f>U14*ROUND(Q14,2)</f>
        <v>#DIV/0!</v>
      </c>
    </row>
    <row r="15" spans="1:22">
      <c r="A15" s="52" t="s">
        <v>168</v>
      </c>
      <c r="B15" s="53" t="s">
        <v>169</v>
      </c>
      <c r="C15" s="53" t="s">
        <v>170</v>
      </c>
      <c r="D15" s="53" t="s">
        <v>196</v>
      </c>
      <c r="E15" s="54" t="s">
        <v>195</v>
      </c>
      <c r="F15" s="53" t="s">
        <v>181</v>
      </c>
      <c r="G15" s="53" t="s">
        <v>142</v>
      </c>
      <c r="H15" s="53" t="s">
        <v>18</v>
      </c>
      <c r="I15" s="53" t="s">
        <v>120</v>
      </c>
      <c r="J15" s="53" t="s">
        <v>182</v>
      </c>
      <c r="K15" s="53" t="s">
        <v>169</v>
      </c>
      <c r="L15" s="55">
        <v>3.3</v>
      </c>
      <c r="M15" s="55">
        <f>L15*VLOOKUP(H15,dagsoorttabel1,2,FALSE)</f>
        <v>2.5882352941176467</v>
      </c>
      <c r="N15" s="56">
        <f>prodnorm16</f>
        <v>0</v>
      </c>
      <c r="O15" s="57">
        <f>dagwerk16</f>
        <v>0</v>
      </c>
      <c r="P15" s="53" t="s">
        <v>41</v>
      </c>
      <c r="Q15" s="58">
        <f>uurtarief16</f>
        <v>0</v>
      </c>
      <c r="R15" s="55" t="e">
        <f>IF(ISBLANK(N15),0,M15/ROUND(N15,4))</f>
        <v>#DIV/0!</v>
      </c>
      <c r="S15" s="55" t="e">
        <f>IF(ISBLANK(N15),0,R15*ROUND(O15,2))</f>
        <v>#DIV/0!</v>
      </c>
      <c r="T15" s="58" t="e">
        <f>ROUND(Q15,2)*R15</f>
        <v>#DIV/0!</v>
      </c>
      <c r="U15" s="55" t="e">
        <f>R15*dagenperjaar1</f>
        <v>#DIV/0!</v>
      </c>
      <c r="V15" s="59" t="e">
        <f>U15*ROUND(Q15,2)</f>
        <v>#DIV/0!</v>
      </c>
    </row>
    <row r="16" spans="1:22">
      <c r="A16" s="52" t="s">
        <v>168</v>
      </c>
      <c r="B16" s="53" t="s">
        <v>169</v>
      </c>
      <c r="C16" s="53" t="s">
        <v>170</v>
      </c>
      <c r="D16" s="53" t="s">
        <v>197</v>
      </c>
      <c r="E16" s="54" t="s">
        <v>195</v>
      </c>
      <c r="F16" s="53" t="s">
        <v>181</v>
      </c>
      <c r="G16" s="53" t="s">
        <v>142</v>
      </c>
      <c r="H16" s="53" t="s">
        <v>18</v>
      </c>
      <c r="I16" s="53" t="s">
        <v>120</v>
      </c>
      <c r="J16" s="53" t="s">
        <v>182</v>
      </c>
      <c r="K16" s="53" t="s">
        <v>169</v>
      </c>
      <c r="L16" s="55">
        <v>1.3</v>
      </c>
      <c r="M16" s="55">
        <f>L16*VLOOKUP(H16,dagsoorttabel1,2,FALSE)</f>
        <v>1.0196078431372548</v>
      </c>
      <c r="N16" s="56">
        <f>prodnorm16</f>
        <v>0</v>
      </c>
      <c r="O16" s="57">
        <f>dagwerk16</f>
        <v>0</v>
      </c>
      <c r="P16" s="53" t="s">
        <v>41</v>
      </c>
      <c r="Q16" s="58">
        <f>uurtarief16</f>
        <v>0</v>
      </c>
      <c r="R16" s="55" t="e">
        <f>IF(ISBLANK(N16),0,M16/ROUND(N16,4))</f>
        <v>#DIV/0!</v>
      </c>
      <c r="S16" s="55" t="e">
        <f>IF(ISBLANK(N16),0,R16*ROUND(O16,2))</f>
        <v>#DIV/0!</v>
      </c>
      <c r="T16" s="58" t="e">
        <f>ROUND(Q16,2)*R16</f>
        <v>#DIV/0!</v>
      </c>
      <c r="U16" s="55" t="e">
        <f>R16*dagenperjaar1</f>
        <v>#DIV/0!</v>
      </c>
      <c r="V16" s="59" t="e">
        <f>U16*ROUND(Q16,2)</f>
        <v>#DIV/0!</v>
      </c>
    </row>
    <row r="17" spans="1:22">
      <c r="A17" s="52" t="s">
        <v>168</v>
      </c>
      <c r="B17" s="53" t="s">
        <v>169</v>
      </c>
      <c r="C17" s="53" t="s">
        <v>170</v>
      </c>
      <c r="D17" s="53" t="s">
        <v>198</v>
      </c>
      <c r="E17" s="54" t="s">
        <v>199</v>
      </c>
      <c r="F17" s="53" t="s">
        <v>181</v>
      </c>
      <c r="G17" s="53" t="s">
        <v>138</v>
      </c>
      <c r="H17" s="53" t="s">
        <v>18</v>
      </c>
      <c r="I17" s="53" t="s">
        <v>120</v>
      </c>
      <c r="J17" s="53" t="s">
        <v>182</v>
      </c>
      <c r="K17" s="53" t="s">
        <v>169</v>
      </c>
      <c r="L17" s="55">
        <v>8</v>
      </c>
      <c r="M17" s="55">
        <f>L17*VLOOKUP(H17,dagsoorttabel1,2,FALSE)</f>
        <v>6.2745098039215685</v>
      </c>
      <c r="N17" s="56">
        <f>prodnorm14</f>
        <v>0</v>
      </c>
      <c r="O17" s="57">
        <f>dagwerk14</f>
        <v>0</v>
      </c>
      <c r="P17" s="53" t="s">
        <v>41</v>
      </c>
      <c r="Q17" s="58">
        <f>uurtarief14</f>
        <v>0</v>
      </c>
      <c r="R17" s="55" t="e">
        <f>IF(ISBLANK(N17),0,M17/ROUND(N17,4))</f>
        <v>#DIV/0!</v>
      </c>
      <c r="S17" s="55" t="e">
        <f>IF(ISBLANK(N17),0,R17*ROUND(O17,2))</f>
        <v>#DIV/0!</v>
      </c>
      <c r="T17" s="58" t="e">
        <f>ROUND(Q17,2)*R17</f>
        <v>#DIV/0!</v>
      </c>
      <c r="U17" s="55" t="e">
        <f>R17*dagenperjaar1</f>
        <v>#DIV/0!</v>
      </c>
      <c r="V17" s="59" t="e">
        <f>U17*ROUND(Q17,2)</f>
        <v>#DIV/0!</v>
      </c>
    </row>
    <row r="18" spans="1:22">
      <c r="A18" s="52" t="s">
        <v>168</v>
      </c>
      <c r="B18" s="53" t="s">
        <v>169</v>
      </c>
      <c r="C18" s="53" t="s">
        <v>170</v>
      </c>
      <c r="D18" s="53" t="s">
        <v>200</v>
      </c>
      <c r="E18" s="54" t="s">
        <v>201</v>
      </c>
      <c r="F18" s="53" t="s">
        <v>181</v>
      </c>
      <c r="G18" s="53" t="s">
        <v>140</v>
      </c>
      <c r="H18" s="53" t="s">
        <v>18</v>
      </c>
      <c r="I18" s="53" t="s">
        <v>120</v>
      </c>
      <c r="J18" s="53" t="s">
        <v>182</v>
      </c>
      <c r="K18" s="53" t="s">
        <v>169</v>
      </c>
      <c r="L18" s="55">
        <v>12</v>
      </c>
      <c r="M18" s="55">
        <f>L18*VLOOKUP(H18,dagsoorttabel1,2,FALSE)</f>
        <v>9.4117647058823533</v>
      </c>
      <c r="N18" s="56">
        <f>prodnorm15</f>
        <v>0</v>
      </c>
      <c r="O18" s="57">
        <f>dagwerk15</f>
        <v>0</v>
      </c>
      <c r="P18" s="53" t="s">
        <v>41</v>
      </c>
      <c r="Q18" s="58">
        <f>uurtarief15</f>
        <v>0</v>
      </c>
      <c r="R18" s="55" t="e">
        <f>IF(ISBLANK(N18),0,M18/ROUND(N18,4))</f>
        <v>#DIV/0!</v>
      </c>
      <c r="S18" s="55" t="e">
        <f>IF(ISBLANK(N18),0,R18*ROUND(O18,2))</f>
        <v>#DIV/0!</v>
      </c>
      <c r="T18" s="58" t="e">
        <f>ROUND(Q18,2)*R18</f>
        <v>#DIV/0!</v>
      </c>
      <c r="U18" s="55" t="e">
        <f>R18*dagenperjaar1</f>
        <v>#DIV/0!</v>
      </c>
      <c r="V18" s="59" t="e">
        <f>U18*ROUND(Q18,2)</f>
        <v>#DIV/0!</v>
      </c>
    </row>
    <row r="19" spans="1:22">
      <c r="A19" s="52" t="s">
        <v>168</v>
      </c>
      <c r="B19" s="53" t="s">
        <v>169</v>
      </c>
      <c r="C19" s="53" t="s">
        <v>170</v>
      </c>
      <c r="D19" s="53" t="s">
        <v>202</v>
      </c>
      <c r="E19" s="54" t="s">
        <v>203</v>
      </c>
      <c r="F19" s="53" t="s">
        <v>181</v>
      </c>
      <c r="G19" s="53" t="s">
        <v>140</v>
      </c>
      <c r="H19" s="53" t="s">
        <v>18</v>
      </c>
      <c r="I19" s="53" t="s">
        <v>120</v>
      </c>
      <c r="J19" s="53" t="s">
        <v>182</v>
      </c>
      <c r="K19" s="53" t="s">
        <v>169</v>
      </c>
      <c r="L19" s="55">
        <v>4.3</v>
      </c>
      <c r="M19" s="55">
        <f>L19*VLOOKUP(H19,dagsoorttabel1,2,FALSE)</f>
        <v>3.3725490196078431</v>
      </c>
      <c r="N19" s="56">
        <f>prodnorm15</f>
        <v>0</v>
      </c>
      <c r="O19" s="57">
        <f>dagwerk15</f>
        <v>0</v>
      </c>
      <c r="P19" s="53" t="s">
        <v>41</v>
      </c>
      <c r="Q19" s="58">
        <f>uurtarief15</f>
        <v>0</v>
      </c>
      <c r="R19" s="55" t="e">
        <f>IF(ISBLANK(N19),0,M19/ROUND(N19,4))</f>
        <v>#DIV/0!</v>
      </c>
      <c r="S19" s="55" t="e">
        <f>IF(ISBLANK(N19),0,R19*ROUND(O19,2))</f>
        <v>#DIV/0!</v>
      </c>
      <c r="T19" s="58" t="e">
        <f>ROUND(Q19,2)*R19</f>
        <v>#DIV/0!</v>
      </c>
      <c r="U19" s="55" t="e">
        <f>R19*dagenperjaar1</f>
        <v>#DIV/0!</v>
      </c>
      <c r="V19" s="59" t="e">
        <f>U19*ROUND(Q19,2)</f>
        <v>#DIV/0!</v>
      </c>
    </row>
    <row r="20" spans="1:22">
      <c r="A20" s="52" t="s">
        <v>168</v>
      </c>
      <c r="B20" s="53" t="s">
        <v>169</v>
      </c>
      <c r="C20" s="53" t="s">
        <v>170</v>
      </c>
      <c r="D20" s="53" t="s">
        <v>204</v>
      </c>
      <c r="E20" s="54" t="s">
        <v>205</v>
      </c>
      <c r="F20" s="53" t="s">
        <v>181</v>
      </c>
      <c r="G20" s="53" t="s">
        <v>142</v>
      </c>
      <c r="H20" s="53" t="s">
        <v>18</v>
      </c>
      <c r="I20" s="53" t="s">
        <v>120</v>
      </c>
      <c r="J20" s="53" t="s">
        <v>182</v>
      </c>
      <c r="K20" s="53" t="s">
        <v>169</v>
      </c>
      <c r="L20" s="55">
        <v>1.2</v>
      </c>
      <c r="M20" s="55">
        <f>L20*VLOOKUP(H20,dagsoorttabel1,2,FALSE)</f>
        <v>0.94117647058823528</v>
      </c>
      <c r="N20" s="56">
        <f>prodnorm16</f>
        <v>0</v>
      </c>
      <c r="O20" s="57">
        <f>dagwerk16</f>
        <v>0</v>
      </c>
      <c r="P20" s="53" t="s">
        <v>41</v>
      </c>
      <c r="Q20" s="58">
        <f>uurtarief16</f>
        <v>0</v>
      </c>
      <c r="R20" s="55" t="e">
        <f>IF(ISBLANK(N20),0,M20/ROUND(N20,4))</f>
        <v>#DIV/0!</v>
      </c>
      <c r="S20" s="55" t="e">
        <f>IF(ISBLANK(N20),0,R20*ROUND(O20,2))</f>
        <v>#DIV/0!</v>
      </c>
      <c r="T20" s="58" t="e">
        <f>ROUND(Q20,2)*R20</f>
        <v>#DIV/0!</v>
      </c>
      <c r="U20" s="55" t="e">
        <f>R20*dagenperjaar1</f>
        <v>#DIV/0!</v>
      </c>
      <c r="V20" s="59" t="e">
        <f>U20*ROUND(Q20,2)</f>
        <v>#DIV/0!</v>
      </c>
    </row>
    <row r="21" spans="1:22">
      <c r="A21" s="52" t="s">
        <v>168</v>
      </c>
      <c r="B21" s="53" t="s">
        <v>169</v>
      </c>
      <c r="C21" s="53" t="s">
        <v>170</v>
      </c>
      <c r="D21" s="53" t="s">
        <v>206</v>
      </c>
      <c r="E21" s="54" t="s">
        <v>207</v>
      </c>
      <c r="F21" s="53" t="s">
        <v>181</v>
      </c>
      <c r="G21" s="53" t="s">
        <v>138</v>
      </c>
      <c r="H21" s="53" t="s">
        <v>18</v>
      </c>
      <c r="I21" s="53" t="s">
        <v>120</v>
      </c>
      <c r="J21" s="53" t="s">
        <v>182</v>
      </c>
      <c r="K21" s="53" t="s">
        <v>169</v>
      </c>
      <c r="L21" s="55">
        <v>3</v>
      </c>
      <c r="M21" s="55">
        <f>L21*VLOOKUP(H21,dagsoorttabel1,2,FALSE)</f>
        <v>2.3529411764705883</v>
      </c>
      <c r="N21" s="56">
        <f>prodnorm14</f>
        <v>0</v>
      </c>
      <c r="O21" s="57">
        <f>dagwerk14</f>
        <v>0</v>
      </c>
      <c r="P21" s="53" t="s">
        <v>41</v>
      </c>
      <c r="Q21" s="58">
        <f>uurtarief14</f>
        <v>0</v>
      </c>
      <c r="R21" s="55" t="e">
        <f>IF(ISBLANK(N21),0,M21/ROUND(N21,4))</f>
        <v>#DIV/0!</v>
      </c>
      <c r="S21" s="55" t="e">
        <f>IF(ISBLANK(N21),0,R21*ROUND(O21,2))</f>
        <v>#DIV/0!</v>
      </c>
      <c r="T21" s="58" t="e">
        <f>ROUND(Q21,2)*R21</f>
        <v>#DIV/0!</v>
      </c>
      <c r="U21" s="55" t="e">
        <f>R21*dagenperjaar1</f>
        <v>#DIV/0!</v>
      </c>
      <c r="V21" s="59" t="e">
        <f>U21*ROUND(Q21,2)</f>
        <v>#DIV/0!</v>
      </c>
    </row>
    <row r="22" spans="1:22">
      <c r="A22" s="52" t="s">
        <v>168</v>
      </c>
      <c r="B22" s="53" t="s">
        <v>169</v>
      </c>
      <c r="C22" s="53" t="s">
        <v>170</v>
      </c>
      <c r="D22" s="53" t="s">
        <v>208</v>
      </c>
      <c r="E22" s="54" t="s">
        <v>199</v>
      </c>
      <c r="F22" s="53" t="s">
        <v>181</v>
      </c>
      <c r="G22" s="53" t="s">
        <v>138</v>
      </c>
      <c r="H22" s="53" t="s">
        <v>18</v>
      </c>
      <c r="I22" s="53" t="s">
        <v>120</v>
      </c>
      <c r="J22" s="53" t="s">
        <v>182</v>
      </c>
      <c r="K22" s="53" t="s">
        <v>169</v>
      </c>
      <c r="L22" s="55">
        <v>7.1</v>
      </c>
      <c r="M22" s="55">
        <f>L22*VLOOKUP(H22,dagsoorttabel1,2,FALSE)</f>
        <v>5.5686274509803919</v>
      </c>
      <c r="N22" s="56">
        <f>prodnorm14</f>
        <v>0</v>
      </c>
      <c r="O22" s="57">
        <f>dagwerk14</f>
        <v>0</v>
      </c>
      <c r="P22" s="53" t="s">
        <v>41</v>
      </c>
      <c r="Q22" s="58">
        <f>uurtarief14</f>
        <v>0</v>
      </c>
      <c r="R22" s="55" t="e">
        <f>IF(ISBLANK(N22),0,M22/ROUND(N22,4))</f>
        <v>#DIV/0!</v>
      </c>
      <c r="S22" s="55" t="e">
        <f>IF(ISBLANK(N22),0,R22*ROUND(O22,2))</f>
        <v>#DIV/0!</v>
      </c>
      <c r="T22" s="58" t="e">
        <f>ROUND(Q22,2)*R22</f>
        <v>#DIV/0!</v>
      </c>
      <c r="U22" s="55" t="e">
        <f>R22*dagenperjaar1</f>
        <v>#DIV/0!</v>
      </c>
      <c r="V22" s="59" t="e">
        <f>U22*ROUND(Q22,2)</f>
        <v>#DIV/0!</v>
      </c>
    </row>
    <row r="23" spans="1:22">
      <c r="A23" s="52" t="s">
        <v>168</v>
      </c>
      <c r="B23" s="53" t="s">
        <v>169</v>
      </c>
      <c r="C23" s="53" t="s">
        <v>170</v>
      </c>
      <c r="D23" s="53" t="s">
        <v>209</v>
      </c>
      <c r="E23" s="54" t="s">
        <v>201</v>
      </c>
      <c r="F23" s="53" t="s">
        <v>181</v>
      </c>
      <c r="G23" s="53" t="s">
        <v>140</v>
      </c>
      <c r="H23" s="53" t="s">
        <v>18</v>
      </c>
      <c r="I23" s="53" t="s">
        <v>120</v>
      </c>
      <c r="J23" s="53" t="s">
        <v>182</v>
      </c>
      <c r="K23" s="53" t="s">
        <v>169</v>
      </c>
      <c r="L23" s="55">
        <v>11.4</v>
      </c>
      <c r="M23" s="55">
        <f>L23*VLOOKUP(H23,dagsoorttabel1,2,FALSE)</f>
        <v>8.9411764705882355</v>
      </c>
      <c r="N23" s="56">
        <f>prodnorm15</f>
        <v>0</v>
      </c>
      <c r="O23" s="57">
        <f>dagwerk15</f>
        <v>0</v>
      </c>
      <c r="P23" s="53" t="s">
        <v>41</v>
      </c>
      <c r="Q23" s="58">
        <f>uurtarief15</f>
        <v>0</v>
      </c>
      <c r="R23" s="55" t="e">
        <f>IF(ISBLANK(N23),0,M23/ROUND(N23,4))</f>
        <v>#DIV/0!</v>
      </c>
      <c r="S23" s="55" t="e">
        <f>IF(ISBLANK(N23),0,R23*ROUND(O23,2))</f>
        <v>#DIV/0!</v>
      </c>
      <c r="T23" s="58" t="e">
        <f>ROUND(Q23,2)*R23</f>
        <v>#DIV/0!</v>
      </c>
      <c r="U23" s="55" t="e">
        <f>R23*dagenperjaar1</f>
        <v>#DIV/0!</v>
      </c>
      <c r="V23" s="59" t="e">
        <f>U23*ROUND(Q23,2)</f>
        <v>#DIV/0!</v>
      </c>
    </row>
    <row r="24" spans="1:22">
      <c r="A24" s="52" t="s">
        <v>168</v>
      </c>
      <c r="B24" s="53" t="s">
        <v>169</v>
      </c>
      <c r="C24" s="53" t="s">
        <v>170</v>
      </c>
      <c r="D24" s="53" t="s">
        <v>210</v>
      </c>
      <c r="E24" s="54" t="s">
        <v>195</v>
      </c>
      <c r="F24" s="53" t="s">
        <v>181</v>
      </c>
      <c r="G24" s="53" t="s">
        <v>142</v>
      </c>
      <c r="H24" s="53" t="s">
        <v>18</v>
      </c>
      <c r="I24" s="53" t="s">
        <v>120</v>
      </c>
      <c r="J24" s="53" t="s">
        <v>182</v>
      </c>
      <c r="K24" s="53" t="s">
        <v>169</v>
      </c>
      <c r="L24" s="55">
        <v>1.1000000000000001</v>
      </c>
      <c r="M24" s="55">
        <f>L24*VLOOKUP(H24,dagsoorttabel1,2,FALSE)</f>
        <v>0.86274509803921573</v>
      </c>
      <c r="N24" s="56">
        <f>prodnorm16</f>
        <v>0</v>
      </c>
      <c r="O24" s="57">
        <f>dagwerk16</f>
        <v>0</v>
      </c>
      <c r="P24" s="53" t="s">
        <v>41</v>
      </c>
      <c r="Q24" s="58">
        <f>uurtarief16</f>
        <v>0</v>
      </c>
      <c r="R24" s="55" t="e">
        <f>IF(ISBLANK(N24),0,M24/ROUND(N24,4))</f>
        <v>#DIV/0!</v>
      </c>
      <c r="S24" s="55" t="e">
        <f>IF(ISBLANK(N24),0,R24*ROUND(O24,2))</f>
        <v>#DIV/0!</v>
      </c>
      <c r="T24" s="58" t="e">
        <f>ROUND(Q24,2)*R24</f>
        <v>#DIV/0!</v>
      </c>
      <c r="U24" s="55" t="e">
        <f>R24*dagenperjaar1</f>
        <v>#DIV/0!</v>
      </c>
      <c r="V24" s="59" t="e">
        <f>U24*ROUND(Q24,2)</f>
        <v>#DIV/0!</v>
      </c>
    </row>
    <row r="25" spans="1:22">
      <c r="A25" s="52" t="s">
        <v>168</v>
      </c>
      <c r="B25" s="53" t="s">
        <v>169</v>
      </c>
      <c r="C25" s="53" t="s">
        <v>170</v>
      </c>
      <c r="D25" s="53" t="s">
        <v>211</v>
      </c>
      <c r="E25" s="54" t="s">
        <v>199</v>
      </c>
      <c r="F25" s="53" t="s">
        <v>181</v>
      </c>
      <c r="G25" s="53" t="s">
        <v>138</v>
      </c>
      <c r="H25" s="53" t="s">
        <v>18</v>
      </c>
      <c r="I25" s="53" t="s">
        <v>120</v>
      </c>
      <c r="J25" s="53" t="s">
        <v>182</v>
      </c>
      <c r="K25" s="53" t="s">
        <v>169</v>
      </c>
      <c r="L25" s="55">
        <v>7.1</v>
      </c>
      <c r="M25" s="55">
        <f>L25*VLOOKUP(H25,dagsoorttabel1,2,FALSE)</f>
        <v>5.5686274509803919</v>
      </c>
      <c r="N25" s="56">
        <f>prodnorm14</f>
        <v>0</v>
      </c>
      <c r="O25" s="57">
        <f>dagwerk14</f>
        <v>0</v>
      </c>
      <c r="P25" s="53" t="s">
        <v>41</v>
      </c>
      <c r="Q25" s="58">
        <f>uurtarief14</f>
        <v>0</v>
      </c>
      <c r="R25" s="55" t="e">
        <f>IF(ISBLANK(N25),0,M25/ROUND(N25,4))</f>
        <v>#DIV/0!</v>
      </c>
      <c r="S25" s="55" t="e">
        <f>IF(ISBLANK(N25),0,R25*ROUND(O25,2))</f>
        <v>#DIV/0!</v>
      </c>
      <c r="T25" s="58" t="e">
        <f>ROUND(Q25,2)*R25</f>
        <v>#DIV/0!</v>
      </c>
      <c r="U25" s="55" t="e">
        <f>R25*dagenperjaar1</f>
        <v>#DIV/0!</v>
      </c>
      <c r="V25" s="59" t="e">
        <f>U25*ROUND(Q25,2)</f>
        <v>#DIV/0!</v>
      </c>
    </row>
    <row r="26" spans="1:22">
      <c r="A26" s="52" t="s">
        <v>168</v>
      </c>
      <c r="B26" s="53" t="s">
        <v>169</v>
      </c>
      <c r="C26" s="53" t="s">
        <v>170</v>
      </c>
      <c r="D26" s="53" t="s">
        <v>212</v>
      </c>
      <c r="E26" s="54" t="s">
        <v>201</v>
      </c>
      <c r="F26" s="53" t="s">
        <v>181</v>
      </c>
      <c r="G26" s="53" t="s">
        <v>140</v>
      </c>
      <c r="H26" s="53" t="s">
        <v>18</v>
      </c>
      <c r="I26" s="53" t="s">
        <v>120</v>
      </c>
      <c r="J26" s="53" t="s">
        <v>182</v>
      </c>
      <c r="K26" s="53" t="s">
        <v>169</v>
      </c>
      <c r="L26" s="55">
        <v>19.100000000000001</v>
      </c>
      <c r="M26" s="55">
        <f>L26*VLOOKUP(H26,dagsoorttabel1,2,FALSE)</f>
        <v>14.980392156862745</v>
      </c>
      <c r="N26" s="56">
        <f>prodnorm15</f>
        <v>0</v>
      </c>
      <c r="O26" s="57">
        <f>dagwerk15</f>
        <v>0</v>
      </c>
      <c r="P26" s="53" t="s">
        <v>41</v>
      </c>
      <c r="Q26" s="58">
        <f>uurtarief15</f>
        <v>0</v>
      </c>
      <c r="R26" s="55" t="e">
        <f>IF(ISBLANK(N26),0,M26/ROUND(N26,4))</f>
        <v>#DIV/0!</v>
      </c>
      <c r="S26" s="55" t="e">
        <f>IF(ISBLANK(N26),0,R26*ROUND(O26,2))</f>
        <v>#DIV/0!</v>
      </c>
      <c r="T26" s="58" t="e">
        <f>ROUND(Q26,2)*R26</f>
        <v>#DIV/0!</v>
      </c>
      <c r="U26" s="55" t="e">
        <f>R26*dagenperjaar1</f>
        <v>#DIV/0!</v>
      </c>
      <c r="V26" s="59" t="e">
        <f>U26*ROUND(Q26,2)</f>
        <v>#DIV/0!</v>
      </c>
    </row>
    <row r="27" spans="1:22">
      <c r="A27" s="52" t="s">
        <v>168</v>
      </c>
      <c r="B27" s="53" t="s">
        <v>169</v>
      </c>
      <c r="C27" s="53" t="s">
        <v>170</v>
      </c>
      <c r="D27" s="53" t="s">
        <v>213</v>
      </c>
      <c r="E27" s="54" t="s">
        <v>195</v>
      </c>
      <c r="F27" s="53" t="s">
        <v>181</v>
      </c>
      <c r="G27" s="53" t="s">
        <v>142</v>
      </c>
      <c r="H27" s="53" t="s">
        <v>18</v>
      </c>
      <c r="I27" s="53" t="s">
        <v>120</v>
      </c>
      <c r="J27" s="53" t="s">
        <v>182</v>
      </c>
      <c r="K27" s="53" t="s">
        <v>169</v>
      </c>
      <c r="L27" s="55">
        <v>1.1000000000000001</v>
      </c>
      <c r="M27" s="55">
        <f>L27*VLOOKUP(H27,dagsoorttabel1,2,FALSE)</f>
        <v>0.86274509803921573</v>
      </c>
      <c r="N27" s="56">
        <f>prodnorm16</f>
        <v>0</v>
      </c>
      <c r="O27" s="57">
        <f>dagwerk16</f>
        <v>0</v>
      </c>
      <c r="P27" s="53" t="s">
        <v>41</v>
      </c>
      <c r="Q27" s="58">
        <f>uurtarief16</f>
        <v>0</v>
      </c>
      <c r="R27" s="55" t="e">
        <f>IF(ISBLANK(N27),0,M27/ROUND(N27,4))</f>
        <v>#DIV/0!</v>
      </c>
      <c r="S27" s="55" t="e">
        <f>IF(ISBLANK(N27),0,R27*ROUND(O27,2))</f>
        <v>#DIV/0!</v>
      </c>
      <c r="T27" s="58" t="e">
        <f>ROUND(Q27,2)*R27</f>
        <v>#DIV/0!</v>
      </c>
      <c r="U27" s="55" t="e">
        <f>R27*dagenperjaar1</f>
        <v>#DIV/0!</v>
      </c>
      <c r="V27" s="59" t="e">
        <f>U27*ROUND(Q27,2)</f>
        <v>#DIV/0!</v>
      </c>
    </row>
    <row r="28" spans="1:22">
      <c r="A28" s="52" t="s">
        <v>168</v>
      </c>
      <c r="B28" s="53" t="s">
        <v>169</v>
      </c>
      <c r="C28" s="53" t="s">
        <v>170</v>
      </c>
      <c r="D28" s="53" t="s">
        <v>214</v>
      </c>
      <c r="E28" s="54" t="s">
        <v>215</v>
      </c>
      <c r="F28" s="53" t="s">
        <v>216</v>
      </c>
      <c r="G28" s="53" t="s">
        <v>122</v>
      </c>
      <c r="H28" s="53" t="s">
        <v>24</v>
      </c>
      <c r="I28" s="53" t="s">
        <v>120</v>
      </c>
      <c r="J28" s="53" t="s">
        <v>174</v>
      </c>
      <c r="K28" s="53" t="s">
        <v>169</v>
      </c>
      <c r="L28" s="55">
        <v>30.1</v>
      </c>
      <c r="M28" s="55">
        <f>L28*VLOOKUP(H28,dagsoorttabel1,2,FALSE)</f>
        <v>0.47215686274509805</v>
      </c>
      <c r="N28" s="56">
        <f>prodnorm6</f>
        <v>0</v>
      </c>
      <c r="O28" s="57">
        <f>dagwerk6</f>
        <v>0</v>
      </c>
      <c r="P28" s="53" t="s">
        <v>41</v>
      </c>
      <c r="Q28" s="58">
        <f>uurtarief6</f>
        <v>0</v>
      </c>
      <c r="R28" s="55" t="e">
        <f>IF(ISBLANK(N28),0,M28/ROUND(N28,4))</f>
        <v>#DIV/0!</v>
      </c>
      <c r="S28" s="55" t="e">
        <f>IF(ISBLANK(N28),0,R28*ROUND(O28,2))</f>
        <v>#DIV/0!</v>
      </c>
      <c r="T28" s="58" t="e">
        <f>ROUND(Q28,2)*R28</f>
        <v>#DIV/0!</v>
      </c>
      <c r="U28" s="55" t="e">
        <f>R28*dagenperjaar1</f>
        <v>#DIV/0!</v>
      </c>
      <c r="V28" s="59" t="e">
        <f>U28*ROUND(Q28,2)</f>
        <v>#DIV/0!</v>
      </c>
    </row>
    <row r="29" spans="1:22">
      <c r="A29" s="52" t="s">
        <v>168</v>
      </c>
      <c r="B29" s="53" t="s">
        <v>169</v>
      </c>
      <c r="C29" s="53" t="s">
        <v>170</v>
      </c>
      <c r="D29" s="53" t="s">
        <v>217</v>
      </c>
      <c r="E29" s="54" t="s">
        <v>215</v>
      </c>
      <c r="F29" s="53" t="s">
        <v>218</v>
      </c>
      <c r="G29" s="53" t="s">
        <v>132</v>
      </c>
      <c r="H29" s="53" t="s">
        <v>26</v>
      </c>
      <c r="I29" s="53" t="s">
        <v>120</v>
      </c>
      <c r="J29" s="53" t="s">
        <v>174</v>
      </c>
      <c r="K29" s="53" t="s">
        <v>169</v>
      </c>
      <c r="L29" s="55">
        <v>8.3000000000000007</v>
      </c>
      <c r="M29" s="55">
        <f>L29*VLOOKUP(H29,dagsoorttabel1,2,FALSE)</f>
        <v>1.3019607843137255</v>
      </c>
      <c r="N29" s="56">
        <f>prodnorm11</f>
        <v>0</v>
      </c>
      <c r="O29" s="57">
        <f>dagwerk11</f>
        <v>0</v>
      </c>
      <c r="P29" s="53" t="s">
        <v>41</v>
      </c>
      <c r="Q29" s="58">
        <f>uurtarief11</f>
        <v>0</v>
      </c>
      <c r="R29" s="55" t="e">
        <f>IF(ISBLANK(N29),0,M29/ROUND(N29,4))</f>
        <v>#DIV/0!</v>
      </c>
      <c r="S29" s="55" t="e">
        <f>IF(ISBLANK(N29),0,R29*ROUND(O29,2))</f>
        <v>#DIV/0!</v>
      </c>
      <c r="T29" s="58" t="e">
        <f>ROUND(Q29,2)*R29</f>
        <v>#DIV/0!</v>
      </c>
      <c r="U29" s="55" t="e">
        <f>R29*dagenperjaar1</f>
        <v>#DIV/0!</v>
      </c>
      <c r="V29" s="59" t="e">
        <f>U29*ROUND(Q29,2)</f>
        <v>#DIV/0!</v>
      </c>
    </row>
    <row r="30" spans="1:22">
      <c r="A30" s="52" t="s">
        <v>168</v>
      </c>
      <c r="B30" s="53" t="s">
        <v>169</v>
      </c>
      <c r="C30" s="53" t="s">
        <v>170</v>
      </c>
      <c r="D30" s="53" t="s">
        <v>219</v>
      </c>
      <c r="E30" s="54" t="s">
        <v>220</v>
      </c>
      <c r="F30" s="53" t="s">
        <v>216</v>
      </c>
      <c r="G30" s="53" t="s">
        <v>122</v>
      </c>
      <c r="H30" s="53" t="s">
        <v>18</v>
      </c>
      <c r="I30" s="53" t="s">
        <v>120</v>
      </c>
      <c r="J30" s="53" t="s">
        <v>174</v>
      </c>
      <c r="K30" s="53" t="s">
        <v>169</v>
      </c>
      <c r="L30" s="55">
        <v>252</v>
      </c>
      <c r="M30" s="55">
        <f>L30*VLOOKUP(H30,dagsoorttabel1,2,FALSE)</f>
        <v>197.64705882352942</v>
      </c>
      <c r="N30" s="56">
        <f>prodnorm5</f>
        <v>0</v>
      </c>
      <c r="O30" s="57">
        <f>dagwerk5</f>
        <v>0</v>
      </c>
      <c r="P30" s="53" t="s">
        <v>41</v>
      </c>
      <c r="Q30" s="58">
        <f>uurtarief5</f>
        <v>0</v>
      </c>
      <c r="R30" s="55" t="e">
        <f>IF(ISBLANK(N30),0,M30/ROUND(N30,4))</f>
        <v>#DIV/0!</v>
      </c>
      <c r="S30" s="55" t="e">
        <f>IF(ISBLANK(N30),0,R30*ROUND(O30,2))</f>
        <v>#DIV/0!</v>
      </c>
      <c r="T30" s="58" t="e">
        <f>ROUND(Q30,2)*R30</f>
        <v>#DIV/0!</v>
      </c>
      <c r="U30" s="55" t="e">
        <f>R30*dagenperjaar1</f>
        <v>#DIV/0!</v>
      </c>
      <c r="V30" s="59" t="e">
        <f>U30*ROUND(Q30,2)</f>
        <v>#DIV/0!</v>
      </c>
    </row>
    <row r="31" spans="1:22">
      <c r="A31" s="52" t="s">
        <v>168</v>
      </c>
      <c r="B31" s="53" t="s">
        <v>169</v>
      </c>
      <c r="C31" s="53" t="s">
        <v>170</v>
      </c>
      <c r="D31" s="53" t="s">
        <v>221</v>
      </c>
      <c r="E31" s="54" t="s">
        <v>220</v>
      </c>
      <c r="F31" s="53" t="s">
        <v>216</v>
      </c>
      <c r="G31" s="53" t="s">
        <v>122</v>
      </c>
      <c r="H31" s="53" t="s">
        <v>18</v>
      </c>
      <c r="I31" s="53" t="s">
        <v>120</v>
      </c>
      <c r="J31" s="53" t="s">
        <v>174</v>
      </c>
      <c r="K31" s="53" t="s">
        <v>169</v>
      </c>
      <c r="L31" s="55">
        <v>252</v>
      </c>
      <c r="M31" s="55">
        <f>L31*VLOOKUP(H31,dagsoorttabel1,2,FALSE)</f>
        <v>197.64705882352942</v>
      </c>
      <c r="N31" s="56">
        <f>prodnorm5</f>
        <v>0</v>
      </c>
      <c r="O31" s="57">
        <f>dagwerk5</f>
        <v>0</v>
      </c>
      <c r="P31" s="53" t="s">
        <v>41</v>
      </c>
      <c r="Q31" s="58">
        <f>uurtarief5</f>
        <v>0</v>
      </c>
      <c r="R31" s="55" t="e">
        <f>IF(ISBLANK(N31),0,M31/ROUND(N31,4))</f>
        <v>#DIV/0!</v>
      </c>
      <c r="S31" s="55" t="e">
        <f>IF(ISBLANK(N31),0,R31*ROUND(O31,2))</f>
        <v>#DIV/0!</v>
      </c>
      <c r="T31" s="58" t="e">
        <f>ROUND(Q31,2)*R31</f>
        <v>#DIV/0!</v>
      </c>
      <c r="U31" s="55" t="e">
        <f>R31*dagenperjaar1</f>
        <v>#DIV/0!</v>
      </c>
      <c r="V31" s="59" t="e">
        <f>U31*ROUND(Q31,2)</f>
        <v>#DIV/0!</v>
      </c>
    </row>
    <row r="32" spans="1:22">
      <c r="A32" s="52" t="s">
        <v>168</v>
      </c>
      <c r="B32" s="53" t="s">
        <v>169</v>
      </c>
      <c r="C32" s="53" t="s">
        <v>170</v>
      </c>
      <c r="D32" s="53" t="s">
        <v>222</v>
      </c>
      <c r="E32" s="54" t="s">
        <v>215</v>
      </c>
      <c r="F32" s="53" t="s">
        <v>216</v>
      </c>
      <c r="G32" s="53" t="s">
        <v>122</v>
      </c>
      <c r="H32" s="53" t="s">
        <v>24</v>
      </c>
      <c r="I32" s="53" t="s">
        <v>120</v>
      </c>
      <c r="J32" s="53" t="s">
        <v>174</v>
      </c>
      <c r="K32" s="53" t="s">
        <v>169</v>
      </c>
      <c r="L32" s="55">
        <v>31.3</v>
      </c>
      <c r="M32" s="55">
        <f>L32*VLOOKUP(H32,dagsoorttabel1,2,FALSE)</f>
        <v>0.49098039215686273</v>
      </c>
      <c r="N32" s="56">
        <f>prodnorm6</f>
        <v>0</v>
      </c>
      <c r="O32" s="57">
        <f>dagwerk6</f>
        <v>0</v>
      </c>
      <c r="P32" s="53" t="s">
        <v>41</v>
      </c>
      <c r="Q32" s="58">
        <f>uurtarief6</f>
        <v>0</v>
      </c>
      <c r="R32" s="55" t="e">
        <f>IF(ISBLANK(N32),0,M32/ROUND(N32,4))</f>
        <v>#DIV/0!</v>
      </c>
      <c r="S32" s="55" t="e">
        <f>IF(ISBLANK(N32),0,R32*ROUND(O32,2))</f>
        <v>#DIV/0!</v>
      </c>
      <c r="T32" s="58" t="e">
        <f>ROUND(Q32,2)*R32</f>
        <v>#DIV/0!</v>
      </c>
      <c r="U32" s="55" t="e">
        <f>R32*dagenperjaar1</f>
        <v>#DIV/0!</v>
      </c>
      <c r="V32" s="59" t="e">
        <f>U32*ROUND(Q32,2)</f>
        <v>#DIV/0!</v>
      </c>
    </row>
    <row r="33" spans="1:22">
      <c r="A33" s="52" t="s">
        <v>168</v>
      </c>
      <c r="B33" s="53" t="s">
        <v>169</v>
      </c>
      <c r="C33" s="53" t="s">
        <v>170</v>
      </c>
      <c r="D33" s="53" t="s">
        <v>223</v>
      </c>
      <c r="E33" s="54" t="s">
        <v>224</v>
      </c>
      <c r="F33" s="53" t="s">
        <v>181</v>
      </c>
      <c r="G33" s="53" t="s">
        <v>138</v>
      </c>
      <c r="H33" s="53" t="s">
        <v>18</v>
      </c>
      <c r="I33" s="53" t="s">
        <v>120</v>
      </c>
      <c r="J33" s="53" t="s">
        <v>182</v>
      </c>
      <c r="K33" s="53" t="s">
        <v>169</v>
      </c>
      <c r="L33" s="55">
        <v>7.3</v>
      </c>
      <c r="M33" s="55">
        <f>L33*VLOOKUP(H33,dagsoorttabel1,2,FALSE)</f>
        <v>5.7254901960784315</v>
      </c>
      <c r="N33" s="56">
        <f>prodnorm14</f>
        <v>0</v>
      </c>
      <c r="O33" s="57">
        <f>dagwerk14</f>
        <v>0</v>
      </c>
      <c r="P33" s="53" t="s">
        <v>41</v>
      </c>
      <c r="Q33" s="58">
        <f>uurtarief14</f>
        <v>0</v>
      </c>
      <c r="R33" s="55" t="e">
        <f>IF(ISBLANK(N33),0,M33/ROUND(N33,4))</f>
        <v>#DIV/0!</v>
      </c>
      <c r="S33" s="55" t="e">
        <f>IF(ISBLANK(N33),0,R33*ROUND(O33,2))</f>
        <v>#DIV/0!</v>
      </c>
      <c r="T33" s="58" t="e">
        <f>ROUND(Q33,2)*R33</f>
        <v>#DIV/0!</v>
      </c>
      <c r="U33" s="55" t="e">
        <f>R33*dagenperjaar1</f>
        <v>#DIV/0!</v>
      </c>
      <c r="V33" s="59" t="e">
        <f>U33*ROUND(Q33,2)</f>
        <v>#DIV/0!</v>
      </c>
    </row>
    <row r="34" spans="1:22">
      <c r="A34" s="52" t="s">
        <v>168</v>
      </c>
      <c r="B34" s="53" t="s">
        <v>169</v>
      </c>
      <c r="C34" s="53" t="s">
        <v>170</v>
      </c>
      <c r="D34" s="53" t="s">
        <v>225</v>
      </c>
      <c r="E34" s="54" t="s">
        <v>226</v>
      </c>
      <c r="F34" s="53" t="s">
        <v>177</v>
      </c>
      <c r="G34" s="53" t="s">
        <v>144</v>
      </c>
      <c r="H34" s="53" t="s">
        <v>18</v>
      </c>
      <c r="I34" s="53" t="s">
        <v>120</v>
      </c>
      <c r="J34" s="53" t="s">
        <v>174</v>
      </c>
      <c r="K34" s="53" t="s">
        <v>169</v>
      </c>
      <c r="L34" s="55">
        <v>35</v>
      </c>
      <c r="M34" s="55">
        <f>L34*VLOOKUP(H34,dagsoorttabel1,2,FALSE)</f>
        <v>27.450980392156861</v>
      </c>
      <c r="N34" s="56">
        <f>prodnorm17</f>
        <v>0</v>
      </c>
      <c r="O34" s="57">
        <f>dagwerk17</f>
        <v>0</v>
      </c>
      <c r="P34" s="53" t="s">
        <v>41</v>
      </c>
      <c r="Q34" s="58">
        <f>uurtarief17</f>
        <v>0</v>
      </c>
      <c r="R34" s="55" t="e">
        <f>IF(ISBLANK(N34),0,M34/ROUND(N34,4))</f>
        <v>#DIV/0!</v>
      </c>
      <c r="S34" s="55" t="e">
        <f>IF(ISBLANK(N34),0,R34*ROUND(O34,2))</f>
        <v>#DIV/0!</v>
      </c>
      <c r="T34" s="58" t="e">
        <f>ROUND(Q34,2)*R34</f>
        <v>#DIV/0!</v>
      </c>
      <c r="U34" s="55" t="e">
        <f>R34*dagenperjaar1</f>
        <v>#DIV/0!</v>
      </c>
      <c r="V34" s="59" t="e">
        <f>U34*ROUND(Q34,2)</f>
        <v>#DIV/0!</v>
      </c>
    </row>
    <row r="35" spans="1:22">
      <c r="A35" s="52" t="s">
        <v>168</v>
      </c>
      <c r="B35" s="53" t="s">
        <v>169</v>
      </c>
      <c r="C35" s="53" t="s">
        <v>170</v>
      </c>
      <c r="D35" s="53" t="s">
        <v>227</v>
      </c>
      <c r="E35" s="54" t="s">
        <v>228</v>
      </c>
      <c r="F35" s="53" t="s">
        <v>177</v>
      </c>
      <c r="G35" s="53" t="s">
        <v>119</v>
      </c>
      <c r="H35" s="53" t="s">
        <v>23</v>
      </c>
      <c r="I35" s="53" t="s">
        <v>120</v>
      </c>
      <c r="J35" s="53" t="s">
        <v>178</v>
      </c>
      <c r="K35" s="53" t="s">
        <v>169</v>
      </c>
      <c r="L35" s="55">
        <v>67.3</v>
      </c>
      <c r="M35" s="55">
        <f>L35*VLOOKUP(H35,dagsoorttabel1,2,FALSE)</f>
        <v>21.113725490196078</v>
      </c>
      <c r="N35" s="56">
        <f>prodnorm4</f>
        <v>0</v>
      </c>
      <c r="O35" s="57">
        <f>dagwerk4</f>
        <v>0</v>
      </c>
      <c r="P35" s="53" t="s">
        <v>41</v>
      </c>
      <c r="Q35" s="58">
        <f>uurtarief4</f>
        <v>0</v>
      </c>
      <c r="R35" s="55" t="e">
        <f>IF(ISBLANK(N35),0,M35/ROUND(N35,4))</f>
        <v>#DIV/0!</v>
      </c>
      <c r="S35" s="55" t="e">
        <f>IF(ISBLANK(N35),0,R35*ROUND(O35,2))</f>
        <v>#DIV/0!</v>
      </c>
      <c r="T35" s="58" t="e">
        <f>ROUND(Q35,2)*R35</f>
        <v>#DIV/0!</v>
      </c>
      <c r="U35" s="55" t="e">
        <f>R35*dagenperjaar1</f>
        <v>#DIV/0!</v>
      </c>
      <c r="V35" s="59" t="e">
        <f>U35*ROUND(Q35,2)</f>
        <v>#DIV/0!</v>
      </c>
    </row>
    <row r="36" spans="1:22">
      <c r="A36" s="52" t="s">
        <v>168</v>
      </c>
      <c r="B36" s="53" t="s">
        <v>169</v>
      </c>
      <c r="C36" s="53" t="s">
        <v>170</v>
      </c>
      <c r="D36" s="53" t="s">
        <v>227</v>
      </c>
      <c r="E36" s="54" t="s">
        <v>228</v>
      </c>
      <c r="F36" s="53" t="s">
        <v>177</v>
      </c>
      <c r="G36" s="53" t="s">
        <v>126</v>
      </c>
      <c r="H36" s="53" t="s">
        <v>20</v>
      </c>
      <c r="I36" s="53" t="s">
        <v>120</v>
      </c>
      <c r="J36" s="53" t="s">
        <v>178</v>
      </c>
      <c r="K36" s="53" t="s">
        <v>169</v>
      </c>
      <c r="L36" s="55">
        <v>67.3</v>
      </c>
      <c r="M36" s="55">
        <f>L36*VLOOKUP(H36,dagsoorttabel1,2,FALSE)</f>
        <v>31.670588235294115</v>
      </c>
      <c r="N36" s="56">
        <f>prodnorm8</f>
        <v>0</v>
      </c>
      <c r="O36" s="57">
        <f>dagwerk8</f>
        <v>0</v>
      </c>
      <c r="P36" s="53" t="s">
        <v>41</v>
      </c>
      <c r="Q36" s="58">
        <f>uurtarief8</f>
        <v>0</v>
      </c>
      <c r="R36" s="55" t="e">
        <f>IF(ISBLANK(N36),0,M36/ROUND(N36,4))</f>
        <v>#DIV/0!</v>
      </c>
      <c r="S36" s="55" t="e">
        <f>IF(ISBLANK(N36),0,R36*ROUND(O36,2))</f>
        <v>#DIV/0!</v>
      </c>
      <c r="T36" s="58" t="e">
        <f>ROUND(Q36,2)*R36</f>
        <v>#DIV/0!</v>
      </c>
      <c r="U36" s="55" t="e">
        <f>R36*dagenperjaar1</f>
        <v>#DIV/0!</v>
      </c>
      <c r="V36" s="59" t="e">
        <f>U36*ROUND(Q36,2)</f>
        <v>#DIV/0!</v>
      </c>
    </row>
    <row r="37" spans="1:22">
      <c r="A37" s="52" t="s">
        <v>168</v>
      </c>
      <c r="B37" s="53" t="s">
        <v>169</v>
      </c>
      <c r="C37" s="53" t="s">
        <v>170</v>
      </c>
      <c r="D37" s="53" t="s">
        <v>229</v>
      </c>
      <c r="E37" s="54" t="s">
        <v>228</v>
      </c>
      <c r="F37" s="53" t="s">
        <v>177</v>
      </c>
      <c r="G37" s="53" t="s">
        <v>119</v>
      </c>
      <c r="H37" s="53" t="s">
        <v>23</v>
      </c>
      <c r="I37" s="53" t="s">
        <v>120</v>
      </c>
      <c r="J37" s="53" t="s">
        <v>178</v>
      </c>
      <c r="K37" s="53" t="s">
        <v>169</v>
      </c>
      <c r="L37" s="55">
        <v>107.3</v>
      </c>
      <c r="M37" s="55">
        <f>L37*VLOOKUP(H37,dagsoorttabel1,2,FALSE)</f>
        <v>33.662745098039217</v>
      </c>
      <c r="N37" s="56">
        <f>prodnorm4</f>
        <v>0</v>
      </c>
      <c r="O37" s="57">
        <f>dagwerk4</f>
        <v>0</v>
      </c>
      <c r="P37" s="53" t="s">
        <v>41</v>
      </c>
      <c r="Q37" s="58">
        <f>uurtarief4</f>
        <v>0</v>
      </c>
      <c r="R37" s="55" t="e">
        <f>IF(ISBLANK(N37),0,M37/ROUND(N37,4))</f>
        <v>#DIV/0!</v>
      </c>
      <c r="S37" s="55" t="e">
        <f>IF(ISBLANK(N37),0,R37*ROUND(O37,2))</f>
        <v>#DIV/0!</v>
      </c>
      <c r="T37" s="58" t="e">
        <f>ROUND(Q37,2)*R37</f>
        <v>#DIV/0!</v>
      </c>
      <c r="U37" s="55" t="e">
        <f>R37*dagenperjaar1</f>
        <v>#DIV/0!</v>
      </c>
      <c r="V37" s="59" t="e">
        <f>U37*ROUND(Q37,2)</f>
        <v>#DIV/0!</v>
      </c>
    </row>
    <row r="38" spans="1:22">
      <c r="A38" s="52" t="s">
        <v>168</v>
      </c>
      <c r="B38" s="53" t="s">
        <v>169</v>
      </c>
      <c r="C38" s="53" t="s">
        <v>170</v>
      </c>
      <c r="D38" s="53" t="s">
        <v>229</v>
      </c>
      <c r="E38" s="54" t="s">
        <v>228</v>
      </c>
      <c r="F38" s="53" t="s">
        <v>177</v>
      </c>
      <c r="G38" s="53" t="s">
        <v>126</v>
      </c>
      <c r="H38" s="53" t="s">
        <v>20</v>
      </c>
      <c r="I38" s="53" t="s">
        <v>120</v>
      </c>
      <c r="J38" s="53" t="s">
        <v>178</v>
      </c>
      <c r="K38" s="53" t="s">
        <v>169</v>
      </c>
      <c r="L38" s="55">
        <v>107.3</v>
      </c>
      <c r="M38" s="55">
        <f>L38*VLOOKUP(H38,dagsoorttabel1,2,FALSE)</f>
        <v>50.494117647058822</v>
      </c>
      <c r="N38" s="56">
        <f>prodnorm8</f>
        <v>0</v>
      </c>
      <c r="O38" s="57">
        <f>dagwerk8</f>
        <v>0</v>
      </c>
      <c r="P38" s="53" t="s">
        <v>41</v>
      </c>
      <c r="Q38" s="58">
        <f>uurtarief8</f>
        <v>0</v>
      </c>
      <c r="R38" s="55" t="e">
        <f>IF(ISBLANK(N38),0,M38/ROUND(N38,4))</f>
        <v>#DIV/0!</v>
      </c>
      <c r="S38" s="55" t="e">
        <f>IF(ISBLANK(N38),0,R38*ROUND(O38,2))</f>
        <v>#DIV/0!</v>
      </c>
      <c r="T38" s="58" t="e">
        <f>ROUND(Q38,2)*R38</f>
        <v>#DIV/0!</v>
      </c>
      <c r="U38" s="55" t="e">
        <f>R38*dagenperjaar1</f>
        <v>#DIV/0!</v>
      </c>
      <c r="V38" s="59" t="e">
        <f>U38*ROUND(Q38,2)</f>
        <v>#DIV/0!</v>
      </c>
    </row>
    <row r="39" spans="1:22">
      <c r="A39" s="52" t="s">
        <v>168</v>
      </c>
      <c r="B39" s="53" t="s">
        <v>169</v>
      </c>
      <c r="C39" s="53" t="s">
        <v>170</v>
      </c>
      <c r="D39" s="53" t="s">
        <v>230</v>
      </c>
      <c r="E39" s="54" t="s">
        <v>228</v>
      </c>
      <c r="F39" s="53" t="s">
        <v>177</v>
      </c>
      <c r="G39" s="53" t="s">
        <v>119</v>
      </c>
      <c r="H39" s="53" t="s">
        <v>23</v>
      </c>
      <c r="I39" s="53" t="s">
        <v>120</v>
      </c>
      <c r="J39" s="53" t="s">
        <v>178</v>
      </c>
      <c r="K39" s="53" t="s">
        <v>169</v>
      </c>
      <c r="L39" s="55">
        <v>107.3</v>
      </c>
      <c r="M39" s="55">
        <f>L39*VLOOKUP(H39,dagsoorttabel1,2,FALSE)</f>
        <v>33.662745098039217</v>
      </c>
      <c r="N39" s="56">
        <f>prodnorm4</f>
        <v>0</v>
      </c>
      <c r="O39" s="57">
        <f>dagwerk4</f>
        <v>0</v>
      </c>
      <c r="P39" s="53" t="s">
        <v>41</v>
      </c>
      <c r="Q39" s="58">
        <f>uurtarief4</f>
        <v>0</v>
      </c>
      <c r="R39" s="55" t="e">
        <f>IF(ISBLANK(N39),0,M39/ROUND(N39,4))</f>
        <v>#DIV/0!</v>
      </c>
      <c r="S39" s="55" t="e">
        <f>IF(ISBLANK(N39),0,R39*ROUND(O39,2))</f>
        <v>#DIV/0!</v>
      </c>
      <c r="T39" s="58" t="e">
        <f>ROUND(Q39,2)*R39</f>
        <v>#DIV/0!</v>
      </c>
      <c r="U39" s="55" t="e">
        <f>R39*dagenperjaar1</f>
        <v>#DIV/0!</v>
      </c>
      <c r="V39" s="59" t="e">
        <f>U39*ROUND(Q39,2)</f>
        <v>#DIV/0!</v>
      </c>
    </row>
    <row r="40" spans="1:22">
      <c r="A40" s="52" t="s">
        <v>168</v>
      </c>
      <c r="B40" s="53" t="s">
        <v>169</v>
      </c>
      <c r="C40" s="53" t="s">
        <v>170</v>
      </c>
      <c r="D40" s="53" t="s">
        <v>230</v>
      </c>
      <c r="E40" s="54" t="s">
        <v>228</v>
      </c>
      <c r="F40" s="53" t="s">
        <v>177</v>
      </c>
      <c r="G40" s="53" t="s">
        <v>126</v>
      </c>
      <c r="H40" s="53" t="s">
        <v>20</v>
      </c>
      <c r="I40" s="53" t="s">
        <v>120</v>
      </c>
      <c r="J40" s="53" t="s">
        <v>178</v>
      </c>
      <c r="K40" s="53" t="s">
        <v>169</v>
      </c>
      <c r="L40" s="55">
        <v>107.3</v>
      </c>
      <c r="M40" s="55">
        <f>L40*VLOOKUP(H40,dagsoorttabel1,2,FALSE)</f>
        <v>50.494117647058822</v>
      </c>
      <c r="N40" s="56">
        <f>prodnorm8</f>
        <v>0</v>
      </c>
      <c r="O40" s="57">
        <f>dagwerk8</f>
        <v>0</v>
      </c>
      <c r="P40" s="53" t="s">
        <v>41</v>
      </c>
      <c r="Q40" s="58">
        <f>uurtarief8</f>
        <v>0</v>
      </c>
      <c r="R40" s="55" t="e">
        <f>IF(ISBLANK(N40),0,M40/ROUND(N40,4))</f>
        <v>#DIV/0!</v>
      </c>
      <c r="S40" s="55" t="e">
        <f>IF(ISBLANK(N40),0,R40*ROUND(O40,2))</f>
        <v>#DIV/0!</v>
      </c>
      <c r="T40" s="58" t="e">
        <f>ROUND(Q40,2)*R40</f>
        <v>#DIV/0!</v>
      </c>
      <c r="U40" s="55" t="e">
        <f>R40*dagenperjaar1</f>
        <v>#DIV/0!</v>
      </c>
      <c r="V40" s="59" t="e">
        <f>U40*ROUND(Q40,2)</f>
        <v>#DIV/0!</v>
      </c>
    </row>
    <row r="41" spans="1:22">
      <c r="A41" s="52" t="s">
        <v>168</v>
      </c>
      <c r="B41" s="53" t="s">
        <v>169</v>
      </c>
      <c r="C41" s="53" t="s">
        <v>170</v>
      </c>
      <c r="D41" s="53" t="s">
        <v>231</v>
      </c>
      <c r="E41" s="54" t="s">
        <v>215</v>
      </c>
      <c r="F41" s="53" t="s">
        <v>177</v>
      </c>
      <c r="G41" s="53" t="s">
        <v>132</v>
      </c>
      <c r="H41" s="53" t="s">
        <v>26</v>
      </c>
      <c r="I41" s="53" t="s">
        <v>120</v>
      </c>
      <c r="J41" s="53" t="s">
        <v>174</v>
      </c>
      <c r="K41" s="53" t="s">
        <v>169</v>
      </c>
      <c r="L41" s="55">
        <v>16</v>
      </c>
      <c r="M41" s="55">
        <f>L41*VLOOKUP(H41,dagsoorttabel1,2,FALSE)</f>
        <v>2.5098039215686274</v>
      </c>
      <c r="N41" s="56">
        <f>prodnorm11</f>
        <v>0</v>
      </c>
      <c r="O41" s="57">
        <f>dagwerk11</f>
        <v>0</v>
      </c>
      <c r="P41" s="53" t="s">
        <v>41</v>
      </c>
      <c r="Q41" s="58">
        <f>uurtarief11</f>
        <v>0</v>
      </c>
      <c r="R41" s="55" t="e">
        <f>IF(ISBLANK(N41),0,M41/ROUND(N41,4))</f>
        <v>#DIV/0!</v>
      </c>
      <c r="S41" s="55" t="e">
        <f>IF(ISBLANK(N41),0,R41*ROUND(O41,2))</f>
        <v>#DIV/0!</v>
      </c>
      <c r="T41" s="58" t="e">
        <f>ROUND(Q41,2)*R41</f>
        <v>#DIV/0!</v>
      </c>
      <c r="U41" s="55" t="e">
        <f>R41*dagenperjaar1</f>
        <v>#DIV/0!</v>
      </c>
      <c r="V41" s="59" t="e">
        <f>U41*ROUND(Q41,2)</f>
        <v>#DIV/0!</v>
      </c>
    </row>
    <row r="42" spans="1:22">
      <c r="A42" s="52" t="s">
        <v>168</v>
      </c>
      <c r="B42" s="53" t="s">
        <v>169</v>
      </c>
      <c r="C42" s="53" t="s">
        <v>170</v>
      </c>
      <c r="D42" s="53" t="s">
        <v>232</v>
      </c>
      <c r="E42" s="54" t="s">
        <v>226</v>
      </c>
      <c r="F42" s="53" t="s">
        <v>233</v>
      </c>
      <c r="G42" s="53" t="s">
        <v>146</v>
      </c>
      <c r="H42" s="53" t="s">
        <v>18</v>
      </c>
      <c r="I42" s="53" t="s">
        <v>120</v>
      </c>
      <c r="J42" s="53" t="s">
        <v>174</v>
      </c>
      <c r="K42" s="53" t="s">
        <v>169</v>
      </c>
      <c r="L42" s="55">
        <v>4.2</v>
      </c>
      <c r="M42" s="55">
        <f>L42*VLOOKUP(H42,dagsoorttabel1,2,FALSE)</f>
        <v>3.2941176470588238</v>
      </c>
      <c r="N42" s="56">
        <f>prodnorm18</f>
        <v>0</v>
      </c>
      <c r="O42" s="57">
        <f>dagwerk18</f>
        <v>0</v>
      </c>
      <c r="P42" s="53" t="s">
        <v>41</v>
      </c>
      <c r="Q42" s="58">
        <f>uurtarief18</f>
        <v>0</v>
      </c>
      <c r="R42" s="55" t="e">
        <f>IF(ISBLANK(N42),0,M42/ROUND(N42,4))</f>
        <v>#DIV/0!</v>
      </c>
      <c r="S42" s="55" t="e">
        <f>IF(ISBLANK(N42),0,R42*ROUND(O42,2))</f>
        <v>#DIV/0!</v>
      </c>
      <c r="T42" s="58" t="e">
        <f>ROUND(Q42,2)*R42</f>
        <v>#DIV/0!</v>
      </c>
      <c r="U42" s="55" t="e">
        <f>R42*dagenperjaar1</f>
        <v>#DIV/0!</v>
      </c>
      <c r="V42" s="59" t="e">
        <f>U42*ROUND(Q42,2)</f>
        <v>#DIV/0!</v>
      </c>
    </row>
    <row r="43" spans="1:22">
      <c r="A43" s="52" t="s">
        <v>168</v>
      </c>
      <c r="B43" s="53" t="s">
        <v>169</v>
      </c>
      <c r="C43" s="53" t="s">
        <v>170</v>
      </c>
      <c r="D43" s="53" t="s">
        <v>234</v>
      </c>
      <c r="E43" s="54" t="s">
        <v>226</v>
      </c>
      <c r="F43" s="53" t="s">
        <v>177</v>
      </c>
      <c r="G43" s="53" t="s">
        <v>144</v>
      </c>
      <c r="H43" s="53" t="s">
        <v>18</v>
      </c>
      <c r="I43" s="53" t="s">
        <v>120</v>
      </c>
      <c r="J43" s="53" t="s">
        <v>174</v>
      </c>
      <c r="K43" s="53" t="s">
        <v>169</v>
      </c>
      <c r="L43" s="55">
        <v>205</v>
      </c>
      <c r="M43" s="55">
        <f>L43*VLOOKUP(H43,dagsoorttabel1,2,FALSE)</f>
        <v>160.78431372549019</v>
      </c>
      <c r="N43" s="56">
        <f>prodnorm17</f>
        <v>0</v>
      </c>
      <c r="O43" s="57">
        <f>dagwerk17</f>
        <v>0</v>
      </c>
      <c r="P43" s="53" t="s">
        <v>41</v>
      </c>
      <c r="Q43" s="58">
        <f>uurtarief17</f>
        <v>0</v>
      </c>
      <c r="R43" s="55" t="e">
        <f>IF(ISBLANK(N43),0,M43/ROUND(N43,4))</f>
        <v>#DIV/0!</v>
      </c>
      <c r="S43" s="55" t="e">
        <f>IF(ISBLANK(N43),0,R43*ROUND(O43,2))</f>
        <v>#DIV/0!</v>
      </c>
      <c r="T43" s="58" t="e">
        <f>ROUND(Q43,2)*R43</f>
        <v>#DIV/0!</v>
      </c>
      <c r="U43" s="55" t="e">
        <f>R43*dagenperjaar1</f>
        <v>#DIV/0!</v>
      </c>
      <c r="V43" s="59" t="e">
        <f>U43*ROUND(Q43,2)</f>
        <v>#DIV/0!</v>
      </c>
    </row>
    <row r="44" spans="1:22">
      <c r="A44" s="52" t="s">
        <v>168</v>
      </c>
      <c r="B44" s="53" t="s">
        <v>169</v>
      </c>
      <c r="C44" s="53" t="s">
        <v>170</v>
      </c>
      <c r="D44" s="53" t="s">
        <v>235</v>
      </c>
      <c r="E44" s="54" t="s">
        <v>190</v>
      </c>
      <c r="F44" s="53" t="s">
        <v>177</v>
      </c>
      <c r="G44" s="53" t="s">
        <v>144</v>
      </c>
      <c r="H44" s="53" t="s">
        <v>18</v>
      </c>
      <c r="I44" s="53" t="s">
        <v>120</v>
      </c>
      <c r="J44" s="53" t="s">
        <v>174</v>
      </c>
      <c r="K44" s="53" t="s">
        <v>169</v>
      </c>
      <c r="L44" s="55">
        <v>58.5</v>
      </c>
      <c r="M44" s="55">
        <f>L44*VLOOKUP(H44,dagsoorttabel1,2,FALSE)</f>
        <v>45.882352941176471</v>
      </c>
      <c r="N44" s="56">
        <f>prodnorm17</f>
        <v>0</v>
      </c>
      <c r="O44" s="57">
        <f>dagwerk17</f>
        <v>0</v>
      </c>
      <c r="P44" s="53" t="s">
        <v>41</v>
      </c>
      <c r="Q44" s="58">
        <f>uurtarief17</f>
        <v>0</v>
      </c>
      <c r="R44" s="55" t="e">
        <f>IF(ISBLANK(N44),0,M44/ROUND(N44,4))</f>
        <v>#DIV/0!</v>
      </c>
      <c r="S44" s="55" t="e">
        <f>IF(ISBLANK(N44),0,R44*ROUND(O44,2))</f>
        <v>#DIV/0!</v>
      </c>
      <c r="T44" s="58" t="e">
        <f>ROUND(Q44,2)*R44</f>
        <v>#DIV/0!</v>
      </c>
      <c r="U44" s="55" t="e">
        <f>R44*dagenperjaar1</f>
        <v>#DIV/0!</v>
      </c>
      <c r="V44" s="59" t="e">
        <f>U44*ROUND(Q44,2)</f>
        <v>#DIV/0!</v>
      </c>
    </row>
    <row r="45" spans="1:22">
      <c r="A45" s="52" t="s">
        <v>168</v>
      </c>
      <c r="B45" s="53" t="s">
        <v>169</v>
      </c>
      <c r="C45" s="53" t="s">
        <v>170</v>
      </c>
      <c r="D45" s="53" t="s">
        <v>236</v>
      </c>
      <c r="E45" s="54" t="s">
        <v>190</v>
      </c>
      <c r="F45" s="53" t="s">
        <v>177</v>
      </c>
      <c r="G45" s="53" t="s">
        <v>144</v>
      </c>
      <c r="H45" s="53" t="s">
        <v>18</v>
      </c>
      <c r="I45" s="53" t="s">
        <v>120</v>
      </c>
      <c r="J45" s="53" t="s">
        <v>174</v>
      </c>
      <c r="K45" s="53" t="s">
        <v>169</v>
      </c>
      <c r="L45" s="55">
        <v>46</v>
      </c>
      <c r="M45" s="55">
        <f>L45*VLOOKUP(H45,dagsoorttabel1,2,FALSE)</f>
        <v>36.078431372549019</v>
      </c>
      <c r="N45" s="56">
        <f>prodnorm17</f>
        <v>0</v>
      </c>
      <c r="O45" s="57">
        <f>dagwerk17</f>
        <v>0</v>
      </c>
      <c r="P45" s="53" t="s">
        <v>41</v>
      </c>
      <c r="Q45" s="58">
        <f>uurtarief17</f>
        <v>0</v>
      </c>
      <c r="R45" s="55" t="e">
        <f>IF(ISBLANK(N45),0,M45/ROUND(N45,4))</f>
        <v>#DIV/0!</v>
      </c>
      <c r="S45" s="55" t="e">
        <f>IF(ISBLANK(N45),0,R45*ROUND(O45,2))</f>
        <v>#DIV/0!</v>
      </c>
      <c r="T45" s="58" t="e">
        <f>ROUND(Q45,2)*R45</f>
        <v>#DIV/0!</v>
      </c>
      <c r="U45" s="55" t="e">
        <f>R45*dagenperjaar1</f>
        <v>#DIV/0!</v>
      </c>
      <c r="V45" s="59" t="e">
        <f>U45*ROUND(Q45,2)</f>
        <v>#DIV/0!</v>
      </c>
    </row>
    <row r="46" spans="1:22">
      <c r="A46" s="52" t="s">
        <v>168</v>
      </c>
      <c r="B46" s="53" t="s">
        <v>169</v>
      </c>
      <c r="C46" s="53" t="s">
        <v>170</v>
      </c>
      <c r="D46" s="53" t="s">
        <v>237</v>
      </c>
      <c r="E46" s="54" t="s">
        <v>188</v>
      </c>
      <c r="F46" s="53" t="s">
        <v>218</v>
      </c>
      <c r="G46" s="53" t="s">
        <v>152</v>
      </c>
      <c r="H46" s="53" t="s">
        <v>18</v>
      </c>
      <c r="I46" s="53" t="s">
        <v>120</v>
      </c>
      <c r="J46" s="53" t="s">
        <v>174</v>
      </c>
      <c r="K46" s="53" t="s">
        <v>169</v>
      </c>
      <c r="L46" s="55">
        <v>9.6</v>
      </c>
      <c r="M46" s="55">
        <f>L46*VLOOKUP(H46,dagsoorttabel1,2,FALSE)</f>
        <v>7.5294117647058822</v>
      </c>
      <c r="N46" s="56">
        <f>prodnorm21</f>
        <v>0</v>
      </c>
      <c r="O46" s="57">
        <f>dagwerk21</f>
        <v>0</v>
      </c>
      <c r="P46" s="53" t="s">
        <v>41</v>
      </c>
      <c r="Q46" s="58">
        <f>uurtarief21</f>
        <v>0</v>
      </c>
      <c r="R46" s="55" t="e">
        <f>IF(ISBLANK(N46),0,M46/ROUND(N46,4))</f>
        <v>#DIV/0!</v>
      </c>
      <c r="S46" s="55" t="e">
        <f>IF(ISBLANK(N46),0,R46*ROUND(O46,2))</f>
        <v>#DIV/0!</v>
      </c>
      <c r="T46" s="58" t="e">
        <f>ROUND(Q46,2)*R46</f>
        <v>#DIV/0!</v>
      </c>
      <c r="U46" s="55" t="e">
        <f>R46*dagenperjaar1</f>
        <v>#DIV/0!</v>
      </c>
      <c r="V46" s="59" t="e">
        <f>U46*ROUND(Q46,2)</f>
        <v>#DIV/0!</v>
      </c>
    </row>
    <row r="47" spans="1:22">
      <c r="A47" s="52" t="s">
        <v>168</v>
      </c>
      <c r="B47" s="53" t="s">
        <v>169</v>
      </c>
      <c r="C47" s="53" t="s">
        <v>170</v>
      </c>
      <c r="D47" s="53" t="s">
        <v>238</v>
      </c>
      <c r="E47" s="54" t="s">
        <v>239</v>
      </c>
      <c r="F47" s="53" t="s">
        <v>218</v>
      </c>
      <c r="G47" s="53" t="s">
        <v>150</v>
      </c>
      <c r="H47" s="53" t="s">
        <v>18</v>
      </c>
      <c r="I47" s="53" t="s">
        <v>120</v>
      </c>
      <c r="J47" s="53" t="s">
        <v>174</v>
      </c>
      <c r="K47" s="53" t="s">
        <v>169</v>
      </c>
      <c r="L47" s="55">
        <v>12</v>
      </c>
      <c r="M47" s="55">
        <f>L47*VLOOKUP(H47,dagsoorttabel1,2,FALSE)</f>
        <v>9.4117647058823533</v>
      </c>
      <c r="N47" s="56">
        <f>prodnorm20</f>
        <v>0</v>
      </c>
      <c r="O47" s="57">
        <f>dagwerk20</f>
        <v>0</v>
      </c>
      <c r="P47" s="53" t="s">
        <v>41</v>
      </c>
      <c r="Q47" s="58">
        <f>uurtarief20</f>
        <v>0</v>
      </c>
      <c r="R47" s="55" t="e">
        <f>IF(ISBLANK(N47),0,M47/ROUND(N47,4))</f>
        <v>#DIV/0!</v>
      </c>
      <c r="S47" s="55" t="e">
        <f>IF(ISBLANK(N47),0,R47*ROUND(O47,2))</f>
        <v>#DIV/0!</v>
      </c>
      <c r="T47" s="58" t="e">
        <f>ROUND(Q47,2)*R47</f>
        <v>#DIV/0!</v>
      </c>
      <c r="U47" s="55" t="e">
        <f>R47*dagenperjaar1</f>
        <v>#DIV/0!</v>
      </c>
      <c r="V47" s="59" t="e">
        <f>U47*ROUND(Q47,2)</f>
        <v>#DIV/0!</v>
      </c>
    </row>
    <row r="48" spans="1:22">
      <c r="A48" s="52" t="s">
        <v>168</v>
      </c>
      <c r="B48" s="53" t="s">
        <v>169</v>
      </c>
      <c r="C48" s="53" t="s">
        <v>170</v>
      </c>
      <c r="D48" s="53" t="s">
        <v>240</v>
      </c>
      <c r="E48" s="54" t="s">
        <v>192</v>
      </c>
      <c r="F48" s="53" t="s">
        <v>177</v>
      </c>
      <c r="G48" s="53" t="s">
        <v>152</v>
      </c>
      <c r="H48" s="53" t="s">
        <v>18</v>
      </c>
      <c r="I48" s="53" t="s">
        <v>120</v>
      </c>
      <c r="J48" s="53" t="s">
        <v>174</v>
      </c>
      <c r="K48" s="53" t="s">
        <v>169</v>
      </c>
      <c r="L48" s="55">
        <v>4.4000000000000004</v>
      </c>
      <c r="M48" s="55">
        <f>L48*VLOOKUP(H48,dagsoorttabel1,2,FALSE)</f>
        <v>3.4509803921568629</v>
      </c>
      <c r="N48" s="56">
        <f>prodnorm21</f>
        <v>0</v>
      </c>
      <c r="O48" s="57">
        <f>dagwerk21</f>
        <v>0</v>
      </c>
      <c r="P48" s="53" t="s">
        <v>41</v>
      </c>
      <c r="Q48" s="58">
        <f>uurtarief21</f>
        <v>0</v>
      </c>
      <c r="R48" s="55" t="e">
        <f>IF(ISBLANK(N48),0,M48/ROUND(N48,4))</f>
        <v>#DIV/0!</v>
      </c>
      <c r="S48" s="55" t="e">
        <f>IF(ISBLANK(N48),0,R48*ROUND(O48,2))</f>
        <v>#DIV/0!</v>
      </c>
      <c r="T48" s="58" t="e">
        <f>ROUND(Q48,2)*R48</f>
        <v>#DIV/0!</v>
      </c>
      <c r="U48" s="55" t="e">
        <f>R48*dagenperjaar1</f>
        <v>#DIV/0!</v>
      </c>
      <c r="V48" s="59" t="e">
        <f>U48*ROUND(Q48,2)</f>
        <v>#DIV/0!</v>
      </c>
    </row>
    <row r="49" spans="1:22">
      <c r="A49" s="52" t="s">
        <v>168</v>
      </c>
      <c r="B49" s="53" t="s">
        <v>169</v>
      </c>
      <c r="C49" s="53" t="s">
        <v>170</v>
      </c>
      <c r="D49" s="53" t="s">
        <v>241</v>
      </c>
      <c r="E49" s="54" t="s">
        <v>242</v>
      </c>
      <c r="F49" s="53" t="s">
        <v>177</v>
      </c>
      <c r="G49" s="53" t="s">
        <v>150</v>
      </c>
      <c r="H49" s="53" t="s">
        <v>18</v>
      </c>
      <c r="I49" s="53" t="s">
        <v>120</v>
      </c>
      <c r="J49" s="53" t="s">
        <v>174</v>
      </c>
      <c r="K49" s="53" t="s">
        <v>169</v>
      </c>
      <c r="L49" s="55">
        <v>15.5</v>
      </c>
      <c r="M49" s="55">
        <f>L49*VLOOKUP(H49,dagsoorttabel1,2,FALSE)</f>
        <v>12.156862745098039</v>
      </c>
      <c r="N49" s="56">
        <f>prodnorm20</f>
        <v>0</v>
      </c>
      <c r="O49" s="57">
        <f>dagwerk20</f>
        <v>0</v>
      </c>
      <c r="P49" s="53" t="s">
        <v>41</v>
      </c>
      <c r="Q49" s="58">
        <f>uurtarief20</f>
        <v>0</v>
      </c>
      <c r="R49" s="55" t="e">
        <f>IF(ISBLANK(N49),0,M49/ROUND(N49,4))</f>
        <v>#DIV/0!</v>
      </c>
      <c r="S49" s="55" t="e">
        <f>IF(ISBLANK(N49),0,R49*ROUND(O49,2))</f>
        <v>#DIV/0!</v>
      </c>
      <c r="T49" s="58" t="e">
        <f>ROUND(Q49,2)*R49</f>
        <v>#DIV/0!</v>
      </c>
      <c r="U49" s="55" t="e">
        <f>R49*dagenperjaar1</f>
        <v>#DIV/0!</v>
      </c>
      <c r="V49" s="59" t="e">
        <f>U49*ROUND(Q49,2)</f>
        <v>#DIV/0!</v>
      </c>
    </row>
    <row r="50" spans="1:22">
      <c r="A50" s="52" t="s">
        <v>168</v>
      </c>
      <c r="B50" s="53" t="s">
        <v>169</v>
      </c>
      <c r="C50" s="53" t="s">
        <v>170</v>
      </c>
      <c r="D50" s="53" t="s">
        <v>243</v>
      </c>
      <c r="E50" s="54" t="s">
        <v>195</v>
      </c>
      <c r="F50" s="53" t="s">
        <v>181</v>
      </c>
      <c r="G50" s="53" t="s">
        <v>142</v>
      </c>
      <c r="H50" s="53" t="s">
        <v>18</v>
      </c>
      <c r="I50" s="53" t="s">
        <v>120</v>
      </c>
      <c r="J50" s="53" t="s">
        <v>182</v>
      </c>
      <c r="K50" s="53" t="s">
        <v>169</v>
      </c>
      <c r="L50" s="55">
        <v>21.1</v>
      </c>
      <c r="M50" s="55">
        <f>L50*VLOOKUP(H50,dagsoorttabel1,2,FALSE)</f>
        <v>16.549019607843139</v>
      </c>
      <c r="N50" s="56">
        <f>prodnorm16</f>
        <v>0</v>
      </c>
      <c r="O50" s="57">
        <f>dagwerk16</f>
        <v>0</v>
      </c>
      <c r="P50" s="53" t="s">
        <v>41</v>
      </c>
      <c r="Q50" s="58">
        <f>uurtarief16</f>
        <v>0</v>
      </c>
      <c r="R50" s="55" t="e">
        <f>IF(ISBLANK(N50),0,M50/ROUND(N50,4))</f>
        <v>#DIV/0!</v>
      </c>
      <c r="S50" s="55" t="e">
        <f>IF(ISBLANK(N50),0,R50*ROUND(O50,2))</f>
        <v>#DIV/0!</v>
      </c>
      <c r="T50" s="58" t="e">
        <f>ROUND(Q50,2)*R50</f>
        <v>#DIV/0!</v>
      </c>
      <c r="U50" s="55" t="e">
        <f>R50*dagenperjaar1</f>
        <v>#DIV/0!</v>
      </c>
      <c r="V50" s="59" t="e">
        <f>U50*ROUND(Q50,2)</f>
        <v>#DIV/0!</v>
      </c>
    </row>
    <row r="51" spans="1:22">
      <c r="A51" s="52" t="s">
        <v>168</v>
      </c>
      <c r="B51" s="53" t="s">
        <v>169</v>
      </c>
      <c r="C51" s="53" t="s">
        <v>170</v>
      </c>
      <c r="D51" s="53" t="s">
        <v>244</v>
      </c>
      <c r="E51" s="54" t="s">
        <v>195</v>
      </c>
      <c r="F51" s="53" t="s">
        <v>181</v>
      </c>
      <c r="G51" s="53" t="s">
        <v>142</v>
      </c>
      <c r="H51" s="53" t="s">
        <v>18</v>
      </c>
      <c r="I51" s="53" t="s">
        <v>120</v>
      </c>
      <c r="J51" s="53" t="s">
        <v>182</v>
      </c>
      <c r="K51" s="53" t="s">
        <v>169</v>
      </c>
      <c r="L51" s="55">
        <v>13</v>
      </c>
      <c r="M51" s="55">
        <f>L51*VLOOKUP(H51,dagsoorttabel1,2,FALSE)</f>
        <v>10.196078431372548</v>
      </c>
      <c r="N51" s="56">
        <f>prodnorm16</f>
        <v>0</v>
      </c>
      <c r="O51" s="57">
        <f>dagwerk16</f>
        <v>0</v>
      </c>
      <c r="P51" s="53" t="s">
        <v>41</v>
      </c>
      <c r="Q51" s="58">
        <f>uurtarief16</f>
        <v>0</v>
      </c>
      <c r="R51" s="55" t="e">
        <f>IF(ISBLANK(N51),0,M51/ROUND(N51,4))</f>
        <v>#DIV/0!</v>
      </c>
      <c r="S51" s="55" t="e">
        <f>IF(ISBLANK(N51),0,R51*ROUND(O51,2))</f>
        <v>#DIV/0!</v>
      </c>
      <c r="T51" s="58" t="e">
        <f>ROUND(Q51,2)*R51</f>
        <v>#DIV/0!</v>
      </c>
      <c r="U51" s="55" t="e">
        <f>R51*dagenperjaar1</f>
        <v>#DIV/0!</v>
      </c>
      <c r="V51" s="59" t="e">
        <f>U51*ROUND(Q51,2)</f>
        <v>#DIV/0!</v>
      </c>
    </row>
    <row r="52" spans="1:22">
      <c r="A52" s="52" t="s">
        <v>168</v>
      </c>
      <c r="B52" s="53" t="s">
        <v>169</v>
      </c>
      <c r="C52" s="53" t="s">
        <v>170</v>
      </c>
      <c r="D52" s="53" t="s">
        <v>245</v>
      </c>
      <c r="E52" s="54" t="s">
        <v>195</v>
      </c>
      <c r="F52" s="53" t="s">
        <v>181</v>
      </c>
      <c r="G52" s="53" t="s">
        <v>142</v>
      </c>
      <c r="H52" s="53" t="s">
        <v>18</v>
      </c>
      <c r="I52" s="53" t="s">
        <v>120</v>
      </c>
      <c r="J52" s="53" t="s">
        <v>182</v>
      </c>
      <c r="K52" s="53" t="s">
        <v>169</v>
      </c>
      <c r="L52" s="55">
        <v>12.8</v>
      </c>
      <c r="M52" s="55">
        <f>L52*VLOOKUP(H52,dagsoorttabel1,2,FALSE)</f>
        <v>10.03921568627451</v>
      </c>
      <c r="N52" s="56">
        <f>prodnorm16</f>
        <v>0</v>
      </c>
      <c r="O52" s="57">
        <f>dagwerk16</f>
        <v>0</v>
      </c>
      <c r="P52" s="53" t="s">
        <v>41</v>
      </c>
      <c r="Q52" s="58">
        <f>uurtarief16</f>
        <v>0</v>
      </c>
      <c r="R52" s="55" t="e">
        <f>IF(ISBLANK(N52),0,M52/ROUND(N52,4))</f>
        <v>#DIV/0!</v>
      </c>
      <c r="S52" s="55" t="e">
        <f>IF(ISBLANK(N52),0,R52*ROUND(O52,2))</f>
        <v>#DIV/0!</v>
      </c>
      <c r="T52" s="58" t="e">
        <f>ROUND(Q52,2)*R52</f>
        <v>#DIV/0!</v>
      </c>
      <c r="U52" s="55" t="e">
        <f>R52*dagenperjaar1</f>
        <v>#DIV/0!</v>
      </c>
      <c r="V52" s="59" t="e">
        <f>U52*ROUND(Q52,2)</f>
        <v>#DIV/0!</v>
      </c>
    </row>
    <row r="53" spans="1:22">
      <c r="A53" s="52" t="s">
        <v>168</v>
      </c>
      <c r="B53" s="53" t="s">
        <v>169</v>
      </c>
      <c r="C53" s="53" t="s">
        <v>170</v>
      </c>
      <c r="D53" s="53" t="s">
        <v>246</v>
      </c>
      <c r="E53" s="54" t="s">
        <v>247</v>
      </c>
      <c r="F53" s="53" t="s">
        <v>177</v>
      </c>
      <c r="G53" s="53" t="s">
        <v>124</v>
      </c>
      <c r="H53" s="53" t="s">
        <v>18</v>
      </c>
      <c r="I53" s="53" t="s">
        <v>120</v>
      </c>
      <c r="J53" s="53" t="s">
        <v>174</v>
      </c>
      <c r="K53" s="53" t="s">
        <v>169</v>
      </c>
      <c r="L53" s="55">
        <v>389.7</v>
      </c>
      <c r="M53" s="55">
        <f>L53*VLOOKUP(H53,dagsoorttabel1,2,FALSE)</f>
        <v>305.64705882352939</v>
      </c>
      <c r="N53" s="56">
        <f>prodnorm7</f>
        <v>0</v>
      </c>
      <c r="O53" s="57">
        <f>dagwerk7</f>
        <v>0</v>
      </c>
      <c r="P53" s="53" t="s">
        <v>41</v>
      </c>
      <c r="Q53" s="58">
        <f>uurtarief7</f>
        <v>0</v>
      </c>
      <c r="R53" s="55" t="e">
        <f>IF(ISBLANK(N53),0,M53/ROUND(N53,4))</f>
        <v>#DIV/0!</v>
      </c>
      <c r="S53" s="55" t="e">
        <f>IF(ISBLANK(N53),0,R53*ROUND(O53,2))</f>
        <v>#DIV/0!</v>
      </c>
      <c r="T53" s="58" t="e">
        <f>ROUND(Q53,2)*R53</f>
        <v>#DIV/0!</v>
      </c>
      <c r="U53" s="55" t="e">
        <f>R53*dagenperjaar1</f>
        <v>#DIV/0!</v>
      </c>
      <c r="V53" s="59" t="e">
        <f>U53*ROUND(Q53,2)</f>
        <v>#DIV/0!</v>
      </c>
    </row>
    <row r="54" spans="1:22">
      <c r="A54" s="52" t="s">
        <v>168</v>
      </c>
      <c r="B54" s="53" t="s">
        <v>169</v>
      </c>
      <c r="C54" s="53" t="s">
        <v>170</v>
      </c>
      <c r="D54" s="53" t="s">
        <v>248</v>
      </c>
      <c r="E54" s="54" t="s">
        <v>249</v>
      </c>
      <c r="F54" s="53" t="s">
        <v>177</v>
      </c>
      <c r="G54" s="53" t="s">
        <v>124</v>
      </c>
      <c r="H54" s="53" t="s">
        <v>18</v>
      </c>
      <c r="I54" s="53" t="s">
        <v>120</v>
      </c>
      <c r="J54" s="53" t="s">
        <v>174</v>
      </c>
      <c r="K54" s="53" t="s">
        <v>169</v>
      </c>
      <c r="L54" s="55">
        <v>32</v>
      </c>
      <c r="M54" s="55">
        <f>L54*VLOOKUP(H54,dagsoorttabel1,2,FALSE)</f>
        <v>25.098039215686274</v>
      </c>
      <c r="N54" s="56">
        <f>prodnorm7</f>
        <v>0</v>
      </c>
      <c r="O54" s="57">
        <f>dagwerk7</f>
        <v>0</v>
      </c>
      <c r="P54" s="53" t="s">
        <v>41</v>
      </c>
      <c r="Q54" s="58">
        <f>uurtarief7</f>
        <v>0</v>
      </c>
      <c r="R54" s="55" t="e">
        <f>IF(ISBLANK(N54),0,M54/ROUND(N54,4))</f>
        <v>#DIV/0!</v>
      </c>
      <c r="S54" s="55" t="e">
        <f>IF(ISBLANK(N54),0,R54*ROUND(O54,2))</f>
        <v>#DIV/0!</v>
      </c>
      <c r="T54" s="58" t="e">
        <f>ROUND(Q54,2)*R54</f>
        <v>#DIV/0!</v>
      </c>
      <c r="U54" s="55" t="e">
        <f>R54*dagenperjaar1</f>
        <v>#DIV/0!</v>
      </c>
      <c r="V54" s="59" t="e">
        <f>U54*ROUND(Q54,2)</f>
        <v>#DIV/0!</v>
      </c>
    </row>
    <row r="55" spans="1:22">
      <c r="A55" s="52" t="s">
        <v>168</v>
      </c>
      <c r="B55" s="53" t="s">
        <v>169</v>
      </c>
      <c r="C55" s="53" t="s">
        <v>170</v>
      </c>
      <c r="D55" s="53" t="s">
        <v>250</v>
      </c>
      <c r="E55" s="54" t="s">
        <v>251</v>
      </c>
      <c r="F55" s="53" t="s">
        <v>177</v>
      </c>
      <c r="G55" s="53" t="s">
        <v>150</v>
      </c>
      <c r="H55" s="53" t="s">
        <v>18</v>
      </c>
      <c r="I55" s="53" t="s">
        <v>120</v>
      </c>
      <c r="J55" s="53" t="s">
        <v>174</v>
      </c>
      <c r="K55" s="53" t="s">
        <v>169</v>
      </c>
      <c r="L55" s="55">
        <v>160.30000000000001</v>
      </c>
      <c r="M55" s="55">
        <f>L55*VLOOKUP(H55,dagsoorttabel1,2,FALSE)</f>
        <v>125.72549019607844</v>
      </c>
      <c r="N55" s="56">
        <f>prodnorm20</f>
        <v>0</v>
      </c>
      <c r="O55" s="57">
        <f>dagwerk20</f>
        <v>0</v>
      </c>
      <c r="P55" s="53" t="s">
        <v>41</v>
      </c>
      <c r="Q55" s="58">
        <f>uurtarief20</f>
        <v>0</v>
      </c>
      <c r="R55" s="55" t="e">
        <f>IF(ISBLANK(N55),0,M55/ROUND(N55,4))</f>
        <v>#DIV/0!</v>
      </c>
      <c r="S55" s="55" t="e">
        <f>IF(ISBLANK(N55),0,R55*ROUND(O55,2))</f>
        <v>#DIV/0!</v>
      </c>
      <c r="T55" s="58" t="e">
        <f>ROUND(Q55,2)*R55</f>
        <v>#DIV/0!</v>
      </c>
      <c r="U55" s="55" t="e">
        <f>R55*dagenperjaar1</f>
        <v>#DIV/0!</v>
      </c>
      <c r="V55" s="59" t="e">
        <f>U55*ROUND(Q55,2)</f>
        <v>#DIV/0!</v>
      </c>
    </row>
    <row r="56" spans="1:22">
      <c r="A56" s="52" t="s">
        <v>168</v>
      </c>
      <c r="B56" s="53" t="s">
        <v>169</v>
      </c>
      <c r="C56" s="53" t="s">
        <v>170</v>
      </c>
      <c r="D56" s="53" t="s">
        <v>252</v>
      </c>
      <c r="E56" s="54" t="s">
        <v>226</v>
      </c>
      <c r="F56" s="53" t="s">
        <v>233</v>
      </c>
      <c r="G56" s="53" t="s">
        <v>146</v>
      </c>
      <c r="H56" s="53" t="s">
        <v>18</v>
      </c>
      <c r="I56" s="53" t="s">
        <v>120</v>
      </c>
      <c r="J56" s="53" t="s">
        <v>174</v>
      </c>
      <c r="K56" s="53" t="s">
        <v>169</v>
      </c>
      <c r="L56" s="55">
        <v>2.5</v>
      </c>
      <c r="M56" s="55">
        <f>L56*VLOOKUP(H56,dagsoorttabel1,2,FALSE)</f>
        <v>1.9607843137254901</v>
      </c>
      <c r="N56" s="56">
        <f>prodnorm18</f>
        <v>0</v>
      </c>
      <c r="O56" s="57">
        <f>dagwerk18</f>
        <v>0</v>
      </c>
      <c r="P56" s="53" t="s">
        <v>41</v>
      </c>
      <c r="Q56" s="58">
        <f>uurtarief18</f>
        <v>0</v>
      </c>
      <c r="R56" s="55" t="e">
        <f>IF(ISBLANK(N56),0,M56/ROUND(N56,4))</f>
        <v>#DIV/0!</v>
      </c>
      <c r="S56" s="55" t="e">
        <f>IF(ISBLANK(N56),0,R56*ROUND(O56,2))</f>
        <v>#DIV/0!</v>
      </c>
      <c r="T56" s="58" t="e">
        <f>ROUND(Q56,2)*R56</f>
        <v>#DIV/0!</v>
      </c>
      <c r="U56" s="55" t="e">
        <f>R56*dagenperjaar1</f>
        <v>#DIV/0!</v>
      </c>
      <c r="V56" s="59" t="e">
        <f>U56*ROUND(Q56,2)</f>
        <v>#DIV/0!</v>
      </c>
    </row>
    <row r="57" spans="1:22">
      <c r="A57" s="52" t="s">
        <v>168</v>
      </c>
      <c r="B57" s="53" t="s">
        <v>169</v>
      </c>
      <c r="C57" s="53" t="s">
        <v>170</v>
      </c>
      <c r="D57" s="53" t="s">
        <v>253</v>
      </c>
      <c r="E57" s="54" t="s">
        <v>226</v>
      </c>
      <c r="F57" s="53" t="s">
        <v>177</v>
      </c>
      <c r="G57" s="53" t="s">
        <v>144</v>
      </c>
      <c r="H57" s="53" t="s">
        <v>18</v>
      </c>
      <c r="I57" s="53" t="s">
        <v>120</v>
      </c>
      <c r="J57" s="53" t="s">
        <v>174</v>
      </c>
      <c r="K57" s="53" t="s">
        <v>169</v>
      </c>
      <c r="L57" s="55">
        <v>35.9</v>
      </c>
      <c r="M57" s="55">
        <f>L57*VLOOKUP(H57,dagsoorttabel1,2,FALSE)</f>
        <v>28.156862745098039</v>
      </c>
      <c r="N57" s="56">
        <f>prodnorm17</f>
        <v>0</v>
      </c>
      <c r="O57" s="57">
        <f>dagwerk17</f>
        <v>0</v>
      </c>
      <c r="P57" s="53" t="s">
        <v>41</v>
      </c>
      <c r="Q57" s="58">
        <f>uurtarief17</f>
        <v>0</v>
      </c>
      <c r="R57" s="55" t="e">
        <f>IF(ISBLANK(N57),0,M57/ROUND(N57,4))</f>
        <v>#DIV/0!</v>
      </c>
      <c r="S57" s="55" t="e">
        <f>IF(ISBLANK(N57),0,R57*ROUND(O57,2))</f>
        <v>#DIV/0!</v>
      </c>
      <c r="T57" s="58" t="e">
        <f>ROUND(Q57,2)*R57</f>
        <v>#DIV/0!</v>
      </c>
      <c r="U57" s="55" t="e">
        <f>R57*dagenperjaar1</f>
        <v>#DIV/0!</v>
      </c>
      <c r="V57" s="59" t="e">
        <f>U57*ROUND(Q57,2)</f>
        <v>#DIV/0!</v>
      </c>
    </row>
    <row r="58" spans="1:22">
      <c r="A58" s="52" t="s">
        <v>168</v>
      </c>
      <c r="B58" s="53" t="s">
        <v>169</v>
      </c>
      <c r="C58" s="53" t="s">
        <v>170</v>
      </c>
      <c r="D58" s="53" t="s">
        <v>254</v>
      </c>
      <c r="E58" s="54" t="s">
        <v>226</v>
      </c>
      <c r="F58" s="53" t="s">
        <v>181</v>
      </c>
      <c r="G58" s="53" t="s">
        <v>144</v>
      </c>
      <c r="H58" s="53" t="s">
        <v>18</v>
      </c>
      <c r="I58" s="53" t="s">
        <v>120</v>
      </c>
      <c r="J58" s="53" t="s">
        <v>174</v>
      </c>
      <c r="K58" s="53" t="s">
        <v>169</v>
      </c>
      <c r="L58" s="55">
        <v>60</v>
      </c>
      <c r="M58" s="55">
        <f>L58*VLOOKUP(H58,dagsoorttabel1,2,FALSE)</f>
        <v>47.058823529411761</v>
      </c>
      <c r="N58" s="56">
        <f>prodnorm17</f>
        <v>0</v>
      </c>
      <c r="O58" s="57">
        <f>dagwerk17</f>
        <v>0</v>
      </c>
      <c r="P58" s="53" t="s">
        <v>41</v>
      </c>
      <c r="Q58" s="58">
        <f>uurtarief17</f>
        <v>0</v>
      </c>
      <c r="R58" s="55" t="e">
        <f>IF(ISBLANK(N58),0,M58/ROUND(N58,4))</f>
        <v>#DIV/0!</v>
      </c>
      <c r="S58" s="55" t="e">
        <f>IF(ISBLANK(N58),0,R58*ROUND(O58,2))</f>
        <v>#DIV/0!</v>
      </c>
      <c r="T58" s="58" t="e">
        <f>ROUND(Q58,2)*R58</f>
        <v>#DIV/0!</v>
      </c>
      <c r="U58" s="55" t="e">
        <f>R58*dagenperjaar1</f>
        <v>#DIV/0!</v>
      </c>
      <c r="V58" s="59" t="e">
        <f>U58*ROUND(Q58,2)</f>
        <v>#DIV/0!</v>
      </c>
    </row>
    <row r="59" spans="1:22">
      <c r="A59" s="52" t="s">
        <v>168</v>
      </c>
      <c r="B59" s="53" t="s">
        <v>169</v>
      </c>
      <c r="C59" s="53" t="s">
        <v>255</v>
      </c>
      <c r="D59" s="53" t="s">
        <v>256</v>
      </c>
      <c r="E59" s="54" t="s">
        <v>257</v>
      </c>
      <c r="F59" s="53" t="s">
        <v>177</v>
      </c>
      <c r="G59" s="53" t="s">
        <v>130</v>
      </c>
      <c r="H59" s="53" t="s">
        <v>18</v>
      </c>
      <c r="I59" s="53" t="s">
        <v>120</v>
      </c>
      <c r="J59" s="53" t="s">
        <v>178</v>
      </c>
      <c r="K59" s="53" t="s">
        <v>169</v>
      </c>
      <c r="L59" s="55">
        <v>69.599999999999994</v>
      </c>
      <c r="M59" s="55">
        <f>L59*VLOOKUP(H59,dagsoorttabel1,2,FALSE)</f>
        <v>54.588235294117645</v>
      </c>
      <c r="N59" s="56">
        <f>prodnorm10</f>
        <v>0</v>
      </c>
      <c r="O59" s="57">
        <f>dagwerk10</f>
        <v>0</v>
      </c>
      <c r="P59" s="53" t="s">
        <v>41</v>
      </c>
      <c r="Q59" s="58">
        <f>uurtarief10</f>
        <v>0</v>
      </c>
      <c r="R59" s="55" t="e">
        <f>IF(ISBLANK(N59),0,M59/ROUND(N59,4))</f>
        <v>#DIV/0!</v>
      </c>
      <c r="S59" s="55" t="e">
        <f>IF(ISBLANK(N59),0,R59*ROUND(O59,2))</f>
        <v>#DIV/0!</v>
      </c>
      <c r="T59" s="58" t="e">
        <f>ROUND(Q59,2)*R59</f>
        <v>#DIV/0!</v>
      </c>
      <c r="U59" s="55" t="e">
        <f>R59*dagenperjaar1</f>
        <v>#DIV/0!</v>
      </c>
      <c r="V59" s="59" t="e">
        <f>U59*ROUND(Q59,2)</f>
        <v>#DIV/0!</v>
      </c>
    </row>
    <row r="60" spans="1:22">
      <c r="A60" s="52" t="s">
        <v>168</v>
      </c>
      <c r="B60" s="53" t="s">
        <v>169</v>
      </c>
      <c r="C60" s="53" t="s">
        <v>255</v>
      </c>
      <c r="D60" s="53" t="s">
        <v>258</v>
      </c>
      <c r="E60" s="54" t="s">
        <v>257</v>
      </c>
      <c r="F60" s="53" t="s">
        <v>177</v>
      </c>
      <c r="G60" s="53" t="s">
        <v>130</v>
      </c>
      <c r="H60" s="53" t="s">
        <v>18</v>
      </c>
      <c r="I60" s="53" t="s">
        <v>120</v>
      </c>
      <c r="J60" s="53" t="s">
        <v>178</v>
      </c>
      <c r="K60" s="53" t="s">
        <v>169</v>
      </c>
      <c r="L60" s="55">
        <v>69.8</v>
      </c>
      <c r="M60" s="55">
        <f>L60*VLOOKUP(H60,dagsoorttabel1,2,FALSE)</f>
        <v>54.745098039215684</v>
      </c>
      <c r="N60" s="56">
        <f>prodnorm10</f>
        <v>0</v>
      </c>
      <c r="O60" s="57">
        <f>dagwerk10</f>
        <v>0</v>
      </c>
      <c r="P60" s="53" t="s">
        <v>41</v>
      </c>
      <c r="Q60" s="58">
        <f>uurtarief10</f>
        <v>0</v>
      </c>
      <c r="R60" s="55" t="e">
        <f>IF(ISBLANK(N60),0,M60/ROUND(N60,4))</f>
        <v>#DIV/0!</v>
      </c>
      <c r="S60" s="55" t="e">
        <f>IF(ISBLANK(N60),0,R60*ROUND(O60,2))</f>
        <v>#DIV/0!</v>
      </c>
      <c r="T60" s="58" t="e">
        <f>ROUND(Q60,2)*R60</f>
        <v>#DIV/0!</v>
      </c>
      <c r="U60" s="55" t="e">
        <f>R60*dagenperjaar1</f>
        <v>#DIV/0!</v>
      </c>
      <c r="V60" s="59" t="e">
        <f>U60*ROUND(Q60,2)</f>
        <v>#DIV/0!</v>
      </c>
    </row>
    <row r="61" spans="1:22">
      <c r="A61" s="52" t="s">
        <v>168</v>
      </c>
      <c r="B61" s="53" t="s">
        <v>169</v>
      </c>
      <c r="C61" s="53" t="s">
        <v>255</v>
      </c>
      <c r="D61" s="53" t="s">
        <v>259</v>
      </c>
      <c r="E61" s="54" t="s">
        <v>257</v>
      </c>
      <c r="F61" s="53" t="s">
        <v>177</v>
      </c>
      <c r="G61" s="53" t="s">
        <v>130</v>
      </c>
      <c r="H61" s="53" t="s">
        <v>18</v>
      </c>
      <c r="I61" s="53" t="s">
        <v>120</v>
      </c>
      <c r="J61" s="53" t="s">
        <v>178</v>
      </c>
      <c r="K61" s="53" t="s">
        <v>169</v>
      </c>
      <c r="L61" s="55">
        <v>53</v>
      </c>
      <c r="M61" s="55">
        <f>L61*VLOOKUP(H61,dagsoorttabel1,2,FALSE)</f>
        <v>41.568627450980394</v>
      </c>
      <c r="N61" s="56">
        <f>prodnorm10</f>
        <v>0</v>
      </c>
      <c r="O61" s="57">
        <f>dagwerk10</f>
        <v>0</v>
      </c>
      <c r="P61" s="53" t="s">
        <v>41</v>
      </c>
      <c r="Q61" s="58">
        <f>uurtarief10</f>
        <v>0</v>
      </c>
      <c r="R61" s="55" t="e">
        <f>IF(ISBLANK(N61),0,M61/ROUND(N61,4))</f>
        <v>#DIV/0!</v>
      </c>
      <c r="S61" s="55" t="e">
        <f>IF(ISBLANK(N61),0,R61*ROUND(O61,2))</f>
        <v>#DIV/0!</v>
      </c>
      <c r="T61" s="58" t="e">
        <f>ROUND(Q61,2)*R61</f>
        <v>#DIV/0!</v>
      </c>
      <c r="U61" s="55" t="e">
        <f>R61*dagenperjaar1</f>
        <v>#DIV/0!</v>
      </c>
      <c r="V61" s="59" t="e">
        <f>U61*ROUND(Q61,2)</f>
        <v>#DIV/0!</v>
      </c>
    </row>
    <row r="62" spans="1:22">
      <c r="A62" s="52" t="s">
        <v>168</v>
      </c>
      <c r="B62" s="53" t="s">
        <v>169</v>
      </c>
      <c r="C62" s="53" t="s">
        <v>255</v>
      </c>
      <c r="D62" s="53" t="s">
        <v>260</v>
      </c>
      <c r="E62" s="54" t="s">
        <v>226</v>
      </c>
      <c r="F62" s="53" t="s">
        <v>181</v>
      </c>
      <c r="G62" s="53" t="s">
        <v>144</v>
      </c>
      <c r="H62" s="53" t="s">
        <v>18</v>
      </c>
      <c r="I62" s="53" t="s">
        <v>120</v>
      </c>
      <c r="J62" s="53" t="s">
        <v>174</v>
      </c>
      <c r="K62" s="53" t="s">
        <v>169</v>
      </c>
      <c r="L62" s="55">
        <v>18.600000000000001</v>
      </c>
      <c r="M62" s="55">
        <f>L62*VLOOKUP(H62,dagsoorttabel1,2,FALSE)</f>
        <v>14.588235294117649</v>
      </c>
      <c r="N62" s="56">
        <f>prodnorm17</f>
        <v>0</v>
      </c>
      <c r="O62" s="57">
        <f>dagwerk17</f>
        <v>0</v>
      </c>
      <c r="P62" s="53" t="s">
        <v>41</v>
      </c>
      <c r="Q62" s="58">
        <f>uurtarief17</f>
        <v>0</v>
      </c>
      <c r="R62" s="55" t="e">
        <f>IF(ISBLANK(N62),0,M62/ROUND(N62,4))</f>
        <v>#DIV/0!</v>
      </c>
      <c r="S62" s="55" t="e">
        <f>IF(ISBLANK(N62),0,R62*ROUND(O62,2))</f>
        <v>#DIV/0!</v>
      </c>
      <c r="T62" s="58" t="e">
        <f>ROUND(Q62,2)*R62</f>
        <v>#DIV/0!</v>
      </c>
      <c r="U62" s="55" t="e">
        <f>R62*dagenperjaar1</f>
        <v>#DIV/0!</v>
      </c>
      <c r="V62" s="59" t="e">
        <f>U62*ROUND(Q62,2)</f>
        <v>#DIV/0!</v>
      </c>
    </row>
    <row r="63" spans="1:22">
      <c r="A63" s="52" t="s">
        <v>168</v>
      </c>
      <c r="B63" s="53" t="s">
        <v>169</v>
      </c>
      <c r="C63" s="53" t="s">
        <v>255</v>
      </c>
      <c r="D63" s="53" t="s">
        <v>261</v>
      </c>
      <c r="E63" s="54" t="s">
        <v>226</v>
      </c>
      <c r="F63" s="53" t="s">
        <v>262</v>
      </c>
      <c r="G63" s="53" t="s">
        <v>144</v>
      </c>
      <c r="H63" s="53" t="s">
        <v>18</v>
      </c>
      <c r="I63" s="53" t="s">
        <v>120</v>
      </c>
      <c r="J63" s="53" t="s">
        <v>174</v>
      </c>
      <c r="K63" s="53" t="s">
        <v>169</v>
      </c>
      <c r="L63" s="55">
        <v>92.1</v>
      </c>
      <c r="M63" s="55">
        <f>L63*VLOOKUP(H63,dagsoorttabel1,2,FALSE)</f>
        <v>72.235294117647058</v>
      </c>
      <c r="N63" s="56">
        <f>prodnorm17</f>
        <v>0</v>
      </c>
      <c r="O63" s="57">
        <f>dagwerk17</f>
        <v>0</v>
      </c>
      <c r="P63" s="53" t="s">
        <v>41</v>
      </c>
      <c r="Q63" s="58">
        <f>uurtarief17</f>
        <v>0</v>
      </c>
      <c r="R63" s="55" t="e">
        <f>IF(ISBLANK(N63),0,M63/ROUND(N63,4))</f>
        <v>#DIV/0!</v>
      </c>
      <c r="S63" s="55" t="e">
        <f>IF(ISBLANK(N63),0,R63*ROUND(O63,2))</f>
        <v>#DIV/0!</v>
      </c>
      <c r="T63" s="58" t="e">
        <f>ROUND(Q63,2)*R63</f>
        <v>#DIV/0!</v>
      </c>
      <c r="U63" s="55" t="e">
        <f>R63*dagenperjaar1</f>
        <v>#DIV/0!</v>
      </c>
      <c r="V63" s="59" t="e">
        <f>U63*ROUND(Q63,2)</f>
        <v>#DIV/0!</v>
      </c>
    </row>
    <row r="64" spans="1:22">
      <c r="A64" s="52" t="s">
        <v>168</v>
      </c>
      <c r="B64" s="53" t="s">
        <v>169</v>
      </c>
      <c r="C64" s="53" t="s">
        <v>255</v>
      </c>
      <c r="D64" s="53" t="s">
        <v>263</v>
      </c>
      <c r="E64" s="54" t="s">
        <v>226</v>
      </c>
      <c r="F64" s="53" t="s">
        <v>177</v>
      </c>
      <c r="G64" s="53" t="s">
        <v>144</v>
      </c>
      <c r="H64" s="53" t="s">
        <v>18</v>
      </c>
      <c r="I64" s="53" t="s">
        <v>120</v>
      </c>
      <c r="J64" s="53" t="s">
        <v>174</v>
      </c>
      <c r="K64" s="53" t="s">
        <v>169</v>
      </c>
      <c r="L64" s="55">
        <v>11.6</v>
      </c>
      <c r="M64" s="55">
        <f>L64*VLOOKUP(H64,dagsoorttabel1,2,FALSE)</f>
        <v>9.0980392156862742</v>
      </c>
      <c r="N64" s="56">
        <f>prodnorm17</f>
        <v>0</v>
      </c>
      <c r="O64" s="57">
        <f>dagwerk17</f>
        <v>0</v>
      </c>
      <c r="P64" s="53" t="s">
        <v>41</v>
      </c>
      <c r="Q64" s="58">
        <f>uurtarief17</f>
        <v>0</v>
      </c>
      <c r="R64" s="55" t="e">
        <f>IF(ISBLANK(N64),0,M64/ROUND(N64,4))</f>
        <v>#DIV/0!</v>
      </c>
      <c r="S64" s="55" t="e">
        <f>IF(ISBLANK(N64),0,R64*ROUND(O64,2))</f>
        <v>#DIV/0!</v>
      </c>
      <c r="T64" s="58" t="e">
        <f>ROUND(Q64,2)*R64</f>
        <v>#DIV/0!</v>
      </c>
      <c r="U64" s="55" t="e">
        <f>R64*dagenperjaar1</f>
        <v>#DIV/0!</v>
      </c>
      <c r="V64" s="59" t="e">
        <f>U64*ROUND(Q64,2)</f>
        <v>#DIV/0!</v>
      </c>
    </row>
    <row r="65" spans="1:22">
      <c r="A65" s="52" t="s">
        <v>168</v>
      </c>
      <c r="B65" s="53" t="s">
        <v>169</v>
      </c>
      <c r="C65" s="53" t="s">
        <v>255</v>
      </c>
      <c r="D65" s="53" t="s">
        <v>264</v>
      </c>
      <c r="E65" s="54" t="s">
        <v>226</v>
      </c>
      <c r="F65" s="53" t="s">
        <v>177</v>
      </c>
      <c r="G65" s="53" t="s">
        <v>144</v>
      </c>
      <c r="H65" s="53" t="s">
        <v>18</v>
      </c>
      <c r="I65" s="53" t="s">
        <v>120</v>
      </c>
      <c r="J65" s="53" t="s">
        <v>174</v>
      </c>
      <c r="K65" s="53" t="s">
        <v>169</v>
      </c>
      <c r="L65" s="55">
        <v>35</v>
      </c>
      <c r="M65" s="55">
        <f>L65*VLOOKUP(H65,dagsoorttabel1,2,FALSE)</f>
        <v>27.450980392156861</v>
      </c>
      <c r="N65" s="56">
        <f>prodnorm17</f>
        <v>0</v>
      </c>
      <c r="O65" s="57">
        <f>dagwerk17</f>
        <v>0</v>
      </c>
      <c r="P65" s="53" t="s">
        <v>41</v>
      </c>
      <c r="Q65" s="58">
        <f>uurtarief17</f>
        <v>0</v>
      </c>
      <c r="R65" s="55" t="e">
        <f>IF(ISBLANK(N65),0,M65/ROUND(N65,4))</f>
        <v>#DIV/0!</v>
      </c>
      <c r="S65" s="55" t="e">
        <f>IF(ISBLANK(N65),0,R65*ROUND(O65,2))</f>
        <v>#DIV/0!</v>
      </c>
      <c r="T65" s="58" t="e">
        <f>ROUND(Q65,2)*R65</f>
        <v>#DIV/0!</v>
      </c>
      <c r="U65" s="55" t="e">
        <f>R65*dagenperjaar1</f>
        <v>#DIV/0!</v>
      </c>
      <c r="V65" s="59" t="e">
        <f>U65*ROUND(Q65,2)</f>
        <v>#DIV/0!</v>
      </c>
    </row>
    <row r="66" spans="1:22">
      <c r="A66" s="52" t="s">
        <v>168</v>
      </c>
      <c r="B66" s="53" t="s">
        <v>169</v>
      </c>
      <c r="C66" s="53" t="s">
        <v>255</v>
      </c>
      <c r="D66" s="53" t="s">
        <v>265</v>
      </c>
      <c r="E66" s="54" t="s">
        <v>228</v>
      </c>
      <c r="F66" s="53" t="s">
        <v>177</v>
      </c>
      <c r="G66" s="53" t="s">
        <v>119</v>
      </c>
      <c r="H66" s="53" t="s">
        <v>23</v>
      </c>
      <c r="I66" s="53" t="s">
        <v>120</v>
      </c>
      <c r="J66" s="53" t="s">
        <v>178</v>
      </c>
      <c r="K66" s="53" t="s">
        <v>169</v>
      </c>
      <c r="L66" s="55">
        <v>83.2</v>
      </c>
      <c r="M66" s="55">
        <f>L66*VLOOKUP(H66,dagsoorttabel1,2,FALSE)</f>
        <v>26.101960784313725</v>
      </c>
      <c r="N66" s="56">
        <f>prodnorm4</f>
        <v>0</v>
      </c>
      <c r="O66" s="57">
        <f>dagwerk4</f>
        <v>0</v>
      </c>
      <c r="P66" s="53" t="s">
        <v>41</v>
      </c>
      <c r="Q66" s="58">
        <f>uurtarief4</f>
        <v>0</v>
      </c>
      <c r="R66" s="55" t="e">
        <f>IF(ISBLANK(N66),0,M66/ROUND(N66,4))</f>
        <v>#DIV/0!</v>
      </c>
      <c r="S66" s="55" t="e">
        <f>IF(ISBLANK(N66),0,R66*ROUND(O66,2))</f>
        <v>#DIV/0!</v>
      </c>
      <c r="T66" s="58" t="e">
        <f>ROUND(Q66,2)*R66</f>
        <v>#DIV/0!</v>
      </c>
      <c r="U66" s="55" t="e">
        <f>R66*dagenperjaar1</f>
        <v>#DIV/0!</v>
      </c>
      <c r="V66" s="59" t="e">
        <f>U66*ROUND(Q66,2)</f>
        <v>#DIV/0!</v>
      </c>
    </row>
    <row r="67" spans="1:22">
      <c r="A67" s="52" t="s">
        <v>168</v>
      </c>
      <c r="B67" s="53" t="s">
        <v>169</v>
      </c>
      <c r="C67" s="53" t="s">
        <v>255</v>
      </c>
      <c r="D67" s="53" t="s">
        <v>265</v>
      </c>
      <c r="E67" s="54" t="s">
        <v>228</v>
      </c>
      <c r="F67" s="53" t="s">
        <v>177</v>
      </c>
      <c r="G67" s="53" t="s">
        <v>126</v>
      </c>
      <c r="H67" s="53" t="s">
        <v>20</v>
      </c>
      <c r="I67" s="53" t="s">
        <v>120</v>
      </c>
      <c r="J67" s="53" t="s">
        <v>178</v>
      </c>
      <c r="K67" s="53" t="s">
        <v>169</v>
      </c>
      <c r="L67" s="55">
        <v>83.2</v>
      </c>
      <c r="M67" s="55">
        <f>L67*VLOOKUP(H67,dagsoorttabel1,2,FALSE)</f>
        <v>39.152941176470591</v>
      </c>
      <c r="N67" s="56">
        <f>prodnorm8</f>
        <v>0</v>
      </c>
      <c r="O67" s="57">
        <f>dagwerk8</f>
        <v>0</v>
      </c>
      <c r="P67" s="53" t="s">
        <v>41</v>
      </c>
      <c r="Q67" s="58">
        <f>uurtarief8</f>
        <v>0</v>
      </c>
      <c r="R67" s="55" t="e">
        <f>IF(ISBLANK(N67),0,M67/ROUND(N67,4))</f>
        <v>#DIV/0!</v>
      </c>
      <c r="S67" s="55" t="e">
        <f>IF(ISBLANK(N67),0,R67*ROUND(O67,2))</f>
        <v>#DIV/0!</v>
      </c>
      <c r="T67" s="58" t="e">
        <f>ROUND(Q67,2)*R67</f>
        <v>#DIV/0!</v>
      </c>
      <c r="U67" s="55" t="e">
        <f>R67*dagenperjaar1</f>
        <v>#DIV/0!</v>
      </c>
      <c r="V67" s="59" t="e">
        <f>U67*ROUND(Q67,2)</f>
        <v>#DIV/0!</v>
      </c>
    </row>
    <row r="68" spans="1:22">
      <c r="A68" s="52" t="s">
        <v>168</v>
      </c>
      <c r="B68" s="53" t="s">
        <v>169</v>
      </c>
      <c r="C68" s="53" t="s">
        <v>255</v>
      </c>
      <c r="D68" s="53" t="s">
        <v>266</v>
      </c>
      <c r="E68" s="54" t="s">
        <v>228</v>
      </c>
      <c r="F68" s="53" t="s">
        <v>177</v>
      </c>
      <c r="G68" s="53" t="s">
        <v>119</v>
      </c>
      <c r="H68" s="53" t="s">
        <v>23</v>
      </c>
      <c r="I68" s="53" t="s">
        <v>120</v>
      </c>
      <c r="J68" s="53" t="s">
        <v>178</v>
      </c>
      <c r="K68" s="53" t="s">
        <v>169</v>
      </c>
      <c r="L68" s="55">
        <v>83.2</v>
      </c>
      <c r="M68" s="55">
        <f>L68*VLOOKUP(H68,dagsoorttabel1,2,FALSE)</f>
        <v>26.101960784313725</v>
      </c>
      <c r="N68" s="56">
        <f>prodnorm4</f>
        <v>0</v>
      </c>
      <c r="O68" s="57">
        <f>dagwerk4</f>
        <v>0</v>
      </c>
      <c r="P68" s="53" t="s">
        <v>41</v>
      </c>
      <c r="Q68" s="58">
        <f>uurtarief4</f>
        <v>0</v>
      </c>
      <c r="R68" s="55" t="e">
        <f>IF(ISBLANK(N68),0,M68/ROUND(N68,4))</f>
        <v>#DIV/0!</v>
      </c>
      <c r="S68" s="55" t="e">
        <f>IF(ISBLANK(N68),0,R68*ROUND(O68,2))</f>
        <v>#DIV/0!</v>
      </c>
      <c r="T68" s="58" t="e">
        <f>ROUND(Q68,2)*R68</f>
        <v>#DIV/0!</v>
      </c>
      <c r="U68" s="55" t="e">
        <f>R68*dagenperjaar1</f>
        <v>#DIV/0!</v>
      </c>
      <c r="V68" s="59" t="e">
        <f>U68*ROUND(Q68,2)</f>
        <v>#DIV/0!</v>
      </c>
    </row>
    <row r="69" spans="1:22">
      <c r="A69" s="52" t="s">
        <v>168</v>
      </c>
      <c r="B69" s="53" t="s">
        <v>169</v>
      </c>
      <c r="C69" s="53" t="s">
        <v>255</v>
      </c>
      <c r="D69" s="53" t="s">
        <v>266</v>
      </c>
      <c r="E69" s="54" t="s">
        <v>228</v>
      </c>
      <c r="F69" s="53" t="s">
        <v>177</v>
      </c>
      <c r="G69" s="53" t="s">
        <v>126</v>
      </c>
      <c r="H69" s="53" t="s">
        <v>20</v>
      </c>
      <c r="I69" s="53" t="s">
        <v>120</v>
      </c>
      <c r="J69" s="53" t="s">
        <v>178</v>
      </c>
      <c r="K69" s="53" t="s">
        <v>169</v>
      </c>
      <c r="L69" s="55">
        <v>83.2</v>
      </c>
      <c r="M69" s="55">
        <f>L69*VLOOKUP(H69,dagsoorttabel1,2,FALSE)</f>
        <v>39.152941176470591</v>
      </c>
      <c r="N69" s="56">
        <f>prodnorm8</f>
        <v>0</v>
      </c>
      <c r="O69" s="57">
        <f>dagwerk8</f>
        <v>0</v>
      </c>
      <c r="P69" s="53" t="s">
        <v>41</v>
      </c>
      <c r="Q69" s="58">
        <f>uurtarief8</f>
        <v>0</v>
      </c>
      <c r="R69" s="55" t="e">
        <f>IF(ISBLANK(N69),0,M69/ROUND(N69,4))</f>
        <v>#DIV/0!</v>
      </c>
      <c r="S69" s="55" t="e">
        <f>IF(ISBLANK(N69),0,R69*ROUND(O69,2))</f>
        <v>#DIV/0!</v>
      </c>
      <c r="T69" s="58" t="e">
        <f>ROUND(Q69,2)*R69</f>
        <v>#DIV/0!</v>
      </c>
      <c r="U69" s="55" t="e">
        <f>R69*dagenperjaar1</f>
        <v>#DIV/0!</v>
      </c>
      <c r="V69" s="59" t="e">
        <f>U69*ROUND(Q69,2)</f>
        <v>#DIV/0!</v>
      </c>
    </row>
    <row r="70" spans="1:22">
      <c r="A70" s="52" t="s">
        <v>168</v>
      </c>
      <c r="B70" s="53" t="s">
        <v>169</v>
      </c>
      <c r="C70" s="53" t="s">
        <v>255</v>
      </c>
      <c r="D70" s="53" t="s">
        <v>267</v>
      </c>
      <c r="E70" s="54" t="s">
        <v>228</v>
      </c>
      <c r="F70" s="53" t="s">
        <v>177</v>
      </c>
      <c r="G70" s="53" t="s">
        <v>119</v>
      </c>
      <c r="H70" s="53" t="s">
        <v>23</v>
      </c>
      <c r="I70" s="53" t="s">
        <v>120</v>
      </c>
      <c r="J70" s="53" t="s">
        <v>178</v>
      </c>
      <c r="K70" s="53" t="s">
        <v>169</v>
      </c>
      <c r="L70" s="55">
        <v>79.400000000000006</v>
      </c>
      <c r="M70" s="55">
        <f>L70*VLOOKUP(H70,dagsoorttabel1,2,FALSE)</f>
        <v>24.909803921568628</v>
      </c>
      <c r="N70" s="56">
        <f>prodnorm4</f>
        <v>0</v>
      </c>
      <c r="O70" s="57">
        <f>dagwerk4</f>
        <v>0</v>
      </c>
      <c r="P70" s="53" t="s">
        <v>41</v>
      </c>
      <c r="Q70" s="58">
        <f>uurtarief4</f>
        <v>0</v>
      </c>
      <c r="R70" s="55" t="e">
        <f>IF(ISBLANK(N70),0,M70/ROUND(N70,4))</f>
        <v>#DIV/0!</v>
      </c>
      <c r="S70" s="55" t="e">
        <f>IF(ISBLANK(N70),0,R70*ROUND(O70,2))</f>
        <v>#DIV/0!</v>
      </c>
      <c r="T70" s="58" t="e">
        <f>ROUND(Q70,2)*R70</f>
        <v>#DIV/0!</v>
      </c>
      <c r="U70" s="55" t="e">
        <f>R70*dagenperjaar1</f>
        <v>#DIV/0!</v>
      </c>
      <c r="V70" s="59" t="e">
        <f>U70*ROUND(Q70,2)</f>
        <v>#DIV/0!</v>
      </c>
    </row>
    <row r="71" spans="1:22">
      <c r="A71" s="52" t="s">
        <v>168</v>
      </c>
      <c r="B71" s="53" t="s">
        <v>169</v>
      </c>
      <c r="C71" s="53" t="s">
        <v>255</v>
      </c>
      <c r="D71" s="53" t="s">
        <v>267</v>
      </c>
      <c r="E71" s="54" t="s">
        <v>228</v>
      </c>
      <c r="F71" s="53" t="s">
        <v>177</v>
      </c>
      <c r="G71" s="53" t="s">
        <v>126</v>
      </c>
      <c r="H71" s="53" t="s">
        <v>20</v>
      </c>
      <c r="I71" s="53" t="s">
        <v>120</v>
      </c>
      <c r="J71" s="53" t="s">
        <v>178</v>
      </c>
      <c r="K71" s="53" t="s">
        <v>169</v>
      </c>
      <c r="L71" s="55">
        <v>79.400000000000006</v>
      </c>
      <c r="M71" s="55">
        <f>L71*VLOOKUP(H71,dagsoorttabel1,2,FALSE)</f>
        <v>37.364705882352943</v>
      </c>
      <c r="N71" s="56">
        <f>prodnorm8</f>
        <v>0</v>
      </c>
      <c r="O71" s="57">
        <f>dagwerk8</f>
        <v>0</v>
      </c>
      <c r="P71" s="53" t="s">
        <v>41</v>
      </c>
      <c r="Q71" s="58">
        <f>uurtarief8</f>
        <v>0</v>
      </c>
      <c r="R71" s="55" t="e">
        <f>IF(ISBLANK(N71),0,M71/ROUND(N71,4))</f>
        <v>#DIV/0!</v>
      </c>
      <c r="S71" s="55" t="e">
        <f>IF(ISBLANK(N71),0,R71*ROUND(O71,2))</f>
        <v>#DIV/0!</v>
      </c>
      <c r="T71" s="58" t="e">
        <f>ROUND(Q71,2)*R71</f>
        <v>#DIV/0!</v>
      </c>
      <c r="U71" s="55" t="e">
        <f>R71*dagenperjaar1</f>
        <v>#DIV/0!</v>
      </c>
      <c r="V71" s="59" t="e">
        <f>U71*ROUND(Q71,2)</f>
        <v>#DIV/0!</v>
      </c>
    </row>
    <row r="72" spans="1:22">
      <c r="A72" s="52" t="s">
        <v>168</v>
      </c>
      <c r="B72" s="53" t="s">
        <v>169</v>
      </c>
      <c r="C72" s="53" t="s">
        <v>268</v>
      </c>
      <c r="D72" s="53" t="s">
        <v>269</v>
      </c>
      <c r="E72" s="54" t="s">
        <v>188</v>
      </c>
      <c r="F72" s="53" t="s">
        <v>218</v>
      </c>
      <c r="G72" s="53" t="s">
        <v>152</v>
      </c>
      <c r="H72" s="53" t="s">
        <v>18</v>
      </c>
      <c r="I72" s="53" t="s">
        <v>120</v>
      </c>
      <c r="J72" s="53" t="s">
        <v>174</v>
      </c>
      <c r="K72" s="53" t="s">
        <v>169</v>
      </c>
      <c r="L72" s="55">
        <v>10.4</v>
      </c>
      <c r="M72" s="55">
        <f>L72*VLOOKUP(H72,dagsoorttabel1,2,FALSE)</f>
        <v>8.1568627450980387</v>
      </c>
      <c r="N72" s="56">
        <f>prodnorm21</f>
        <v>0</v>
      </c>
      <c r="O72" s="57">
        <f>dagwerk21</f>
        <v>0</v>
      </c>
      <c r="P72" s="53" t="s">
        <v>41</v>
      </c>
      <c r="Q72" s="58">
        <f>uurtarief21</f>
        <v>0</v>
      </c>
      <c r="R72" s="55" t="e">
        <f>IF(ISBLANK(N72),0,M72/ROUND(N72,4))</f>
        <v>#DIV/0!</v>
      </c>
      <c r="S72" s="55" t="e">
        <f>IF(ISBLANK(N72),0,R72*ROUND(O72,2))</f>
        <v>#DIV/0!</v>
      </c>
      <c r="T72" s="58" t="e">
        <f>ROUND(Q72,2)*R72</f>
        <v>#DIV/0!</v>
      </c>
      <c r="U72" s="55" t="e">
        <f>R72*dagenperjaar1</f>
        <v>#DIV/0!</v>
      </c>
      <c r="V72" s="59" t="e">
        <f>U72*ROUND(Q72,2)</f>
        <v>#DIV/0!</v>
      </c>
    </row>
    <row r="73" spans="1:22">
      <c r="A73" s="52" t="s">
        <v>168</v>
      </c>
      <c r="B73" s="53" t="s">
        <v>169</v>
      </c>
      <c r="C73" s="53" t="s">
        <v>268</v>
      </c>
      <c r="D73" s="53" t="s">
        <v>270</v>
      </c>
      <c r="E73" s="54" t="s">
        <v>192</v>
      </c>
      <c r="F73" s="53" t="s">
        <v>177</v>
      </c>
      <c r="G73" s="53" t="s">
        <v>152</v>
      </c>
      <c r="H73" s="53" t="s">
        <v>18</v>
      </c>
      <c r="I73" s="53" t="s">
        <v>120</v>
      </c>
      <c r="J73" s="53" t="s">
        <v>174</v>
      </c>
      <c r="K73" s="53" t="s">
        <v>169</v>
      </c>
      <c r="L73" s="55">
        <v>8</v>
      </c>
      <c r="M73" s="55">
        <f>L73*VLOOKUP(H73,dagsoorttabel1,2,FALSE)</f>
        <v>6.2745098039215685</v>
      </c>
      <c r="N73" s="56">
        <f>prodnorm21</f>
        <v>0</v>
      </c>
      <c r="O73" s="57">
        <f>dagwerk21</f>
        <v>0</v>
      </c>
      <c r="P73" s="53" t="s">
        <v>41</v>
      </c>
      <c r="Q73" s="58">
        <f>uurtarief21</f>
        <v>0</v>
      </c>
      <c r="R73" s="55" t="e">
        <f>IF(ISBLANK(N73),0,M73/ROUND(N73,4))</f>
        <v>#DIV/0!</v>
      </c>
      <c r="S73" s="55" t="e">
        <f>IF(ISBLANK(N73),0,R73*ROUND(O73,2))</f>
        <v>#DIV/0!</v>
      </c>
      <c r="T73" s="58" t="e">
        <f>ROUND(Q73,2)*R73</f>
        <v>#DIV/0!</v>
      </c>
      <c r="U73" s="55" t="e">
        <f>R73*dagenperjaar1</f>
        <v>#DIV/0!</v>
      </c>
      <c r="V73" s="59" t="e">
        <f>U73*ROUND(Q73,2)</f>
        <v>#DIV/0!</v>
      </c>
    </row>
    <row r="74" spans="1:22">
      <c r="A74" s="52" t="s">
        <v>168</v>
      </c>
      <c r="B74" s="53" t="s">
        <v>169</v>
      </c>
      <c r="C74" s="53" t="s">
        <v>268</v>
      </c>
      <c r="D74" s="53" t="s">
        <v>271</v>
      </c>
      <c r="E74" s="54" t="s">
        <v>226</v>
      </c>
      <c r="F74" s="53" t="s">
        <v>177</v>
      </c>
      <c r="G74" s="53" t="s">
        <v>144</v>
      </c>
      <c r="H74" s="53" t="s">
        <v>18</v>
      </c>
      <c r="I74" s="53" t="s">
        <v>120</v>
      </c>
      <c r="J74" s="53" t="s">
        <v>174</v>
      </c>
      <c r="K74" s="53" t="s">
        <v>169</v>
      </c>
      <c r="L74" s="55">
        <v>21.6</v>
      </c>
      <c r="M74" s="55">
        <f>L74*VLOOKUP(H74,dagsoorttabel1,2,FALSE)</f>
        <v>16.941176470588236</v>
      </c>
      <c r="N74" s="56">
        <f>prodnorm17</f>
        <v>0</v>
      </c>
      <c r="O74" s="57">
        <f>dagwerk17</f>
        <v>0</v>
      </c>
      <c r="P74" s="53" t="s">
        <v>41</v>
      </c>
      <c r="Q74" s="58">
        <f>uurtarief17</f>
        <v>0</v>
      </c>
      <c r="R74" s="55" t="e">
        <f>IF(ISBLANK(N74),0,M74/ROUND(N74,4))</f>
        <v>#DIV/0!</v>
      </c>
      <c r="S74" s="55" t="e">
        <f>IF(ISBLANK(N74),0,R74*ROUND(O74,2))</f>
        <v>#DIV/0!</v>
      </c>
      <c r="T74" s="58" t="e">
        <f>ROUND(Q74,2)*R74</f>
        <v>#DIV/0!</v>
      </c>
      <c r="U74" s="55" t="e">
        <f>R74*dagenperjaar1</f>
        <v>#DIV/0!</v>
      </c>
      <c r="V74" s="59" t="e">
        <f>U74*ROUND(Q74,2)</f>
        <v>#DIV/0!</v>
      </c>
    </row>
    <row r="75" spans="1:22">
      <c r="A75" s="52" t="s">
        <v>168</v>
      </c>
      <c r="B75" s="53" t="s">
        <v>169</v>
      </c>
      <c r="C75" s="53" t="s">
        <v>268</v>
      </c>
      <c r="D75" s="53" t="s">
        <v>272</v>
      </c>
      <c r="E75" s="54" t="s">
        <v>228</v>
      </c>
      <c r="F75" s="53" t="s">
        <v>177</v>
      </c>
      <c r="G75" s="53" t="s">
        <v>119</v>
      </c>
      <c r="H75" s="53" t="s">
        <v>23</v>
      </c>
      <c r="I75" s="53" t="s">
        <v>120</v>
      </c>
      <c r="J75" s="53" t="s">
        <v>178</v>
      </c>
      <c r="K75" s="53" t="s">
        <v>169</v>
      </c>
      <c r="L75" s="55">
        <v>61.3</v>
      </c>
      <c r="M75" s="55">
        <f>L75*VLOOKUP(H75,dagsoorttabel1,2,FALSE)</f>
        <v>19.231372549019607</v>
      </c>
      <c r="N75" s="56">
        <f>prodnorm4</f>
        <v>0</v>
      </c>
      <c r="O75" s="57">
        <f>dagwerk4</f>
        <v>0</v>
      </c>
      <c r="P75" s="53" t="s">
        <v>41</v>
      </c>
      <c r="Q75" s="58">
        <f>uurtarief4</f>
        <v>0</v>
      </c>
      <c r="R75" s="55" t="e">
        <f>IF(ISBLANK(N75),0,M75/ROUND(N75,4))</f>
        <v>#DIV/0!</v>
      </c>
      <c r="S75" s="55" t="e">
        <f>IF(ISBLANK(N75),0,R75*ROUND(O75,2))</f>
        <v>#DIV/0!</v>
      </c>
      <c r="T75" s="58" t="e">
        <f>ROUND(Q75,2)*R75</f>
        <v>#DIV/0!</v>
      </c>
      <c r="U75" s="55" t="e">
        <f>R75*dagenperjaar1</f>
        <v>#DIV/0!</v>
      </c>
      <c r="V75" s="59" t="e">
        <f>U75*ROUND(Q75,2)</f>
        <v>#DIV/0!</v>
      </c>
    </row>
    <row r="76" spans="1:22">
      <c r="A76" s="52" t="s">
        <v>168</v>
      </c>
      <c r="B76" s="53" t="s">
        <v>169</v>
      </c>
      <c r="C76" s="53" t="s">
        <v>268</v>
      </c>
      <c r="D76" s="53" t="s">
        <v>272</v>
      </c>
      <c r="E76" s="54" t="s">
        <v>228</v>
      </c>
      <c r="F76" s="53" t="s">
        <v>177</v>
      </c>
      <c r="G76" s="53" t="s">
        <v>126</v>
      </c>
      <c r="H76" s="53" t="s">
        <v>20</v>
      </c>
      <c r="I76" s="53" t="s">
        <v>120</v>
      </c>
      <c r="J76" s="53" t="s">
        <v>178</v>
      </c>
      <c r="K76" s="53" t="s">
        <v>169</v>
      </c>
      <c r="L76" s="55">
        <v>61.3</v>
      </c>
      <c r="M76" s="55">
        <f>L76*VLOOKUP(H76,dagsoorttabel1,2,FALSE)</f>
        <v>28.847058823529409</v>
      </c>
      <c r="N76" s="56">
        <f>prodnorm8</f>
        <v>0</v>
      </c>
      <c r="O76" s="57">
        <f>dagwerk8</f>
        <v>0</v>
      </c>
      <c r="P76" s="53" t="s">
        <v>41</v>
      </c>
      <c r="Q76" s="58">
        <f>uurtarief8</f>
        <v>0</v>
      </c>
      <c r="R76" s="55" t="e">
        <f>IF(ISBLANK(N76),0,M76/ROUND(N76,4))</f>
        <v>#DIV/0!</v>
      </c>
      <c r="S76" s="55" t="e">
        <f>IF(ISBLANK(N76),0,R76*ROUND(O76,2))</f>
        <v>#DIV/0!</v>
      </c>
      <c r="T76" s="58" t="e">
        <f>ROUND(Q76,2)*R76</f>
        <v>#DIV/0!</v>
      </c>
      <c r="U76" s="55" t="e">
        <f>R76*dagenperjaar1</f>
        <v>#DIV/0!</v>
      </c>
      <c r="V76" s="59" t="e">
        <f>U76*ROUND(Q76,2)</f>
        <v>#DIV/0!</v>
      </c>
    </row>
    <row r="77" spans="1:22">
      <c r="A77" s="52" t="s">
        <v>168</v>
      </c>
      <c r="B77" s="53" t="s">
        <v>169</v>
      </c>
      <c r="C77" s="53" t="s">
        <v>268</v>
      </c>
      <c r="D77" s="53" t="s">
        <v>273</v>
      </c>
      <c r="E77" s="54" t="s">
        <v>228</v>
      </c>
      <c r="F77" s="53" t="s">
        <v>177</v>
      </c>
      <c r="G77" s="53" t="s">
        <v>119</v>
      </c>
      <c r="H77" s="53" t="s">
        <v>23</v>
      </c>
      <c r="I77" s="53" t="s">
        <v>120</v>
      </c>
      <c r="J77" s="53" t="s">
        <v>178</v>
      </c>
      <c r="K77" s="53" t="s">
        <v>169</v>
      </c>
      <c r="L77" s="55">
        <v>58</v>
      </c>
      <c r="M77" s="55">
        <f>L77*VLOOKUP(H77,dagsoorttabel1,2,FALSE)</f>
        <v>18.196078431372548</v>
      </c>
      <c r="N77" s="56">
        <f>prodnorm4</f>
        <v>0</v>
      </c>
      <c r="O77" s="57">
        <f>dagwerk4</f>
        <v>0</v>
      </c>
      <c r="P77" s="53" t="s">
        <v>41</v>
      </c>
      <c r="Q77" s="58">
        <f>uurtarief4</f>
        <v>0</v>
      </c>
      <c r="R77" s="55" t="e">
        <f>IF(ISBLANK(N77),0,M77/ROUND(N77,4))</f>
        <v>#DIV/0!</v>
      </c>
      <c r="S77" s="55" t="e">
        <f>IF(ISBLANK(N77),0,R77*ROUND(O77,2))</f>
        <v>#DIV/0!</v>
      </c>
      <c r="T77" s="58" t="e">
        <f>ROUND(Q77,2)*R77</f>
        <v>#DIV/0!</v>
      </c>
      <c r="U77" s="55" t="e">
        <f>R77*dagenperjaar1</f>
        <v>#DIV/0!</v>
      </c>
      <c r="V77" s="59" t="e">
        <f>U77*ROUND(Q77,2)</f>
        <v>#DIV/0!</v>
      </c>
    </row>
    <row r="78" spans="1:22">
      <c r="A78" s="52" t="s">
        <v>168</v>
      </c>
      <c r="B78" s="53" t="s">
        <v>169</v>
      </c>
      <c r="C78" s="53" t="s">
        <v>268</v>
      </c>
      <c r="D78" s="53" t="s">
        <v>273</v>
      </c>
      <c r="E78" s="54" t="s">
        <v>228</v>
      </c>
      <c r="F78" s="53" t="s">
        <v>177</v>
      </c>
      <c r="G78" s="53" t="s">
        <v>126</v>
      </c>
      <c r="H78" s="53" t="s">
        <v>20</v>
      </c>
      <c r="I78" s="53" t="s">
        <v>120</v>
      </c>
      <c r="J78" s="53" t="s">
        <v>178</v>
      </c>
      <c r="K78" s="53" t="s">
        <v>169</v>
      </c>
      <c r="L78" s="55">
        <v>58</v>
      </c>
      <c r="M78" s="55">
        <f>L78*VLOOKUP(H78,dagsoorttabel1,2,FALSE)</f>
        <v>27.294117647058822</v>
      </c>
      <c r="N78" s="56">
        <f>prodnorm8</f>
        <v>0</v>
      </c>
      <c r="O78" s="57">
        <f>dagwerk8</f>
        <v>0</v>
      </c>
      <c r="P78" s="53" t="s">
        <v>41</v>
      </c>
      <c r="Q78" s="58">
        <f>uurtarief8</f>
        <v>0</v>
      </c>
      <c r="R78" s="55" t="e">
        <f>IF(ISBLANK(N78),0,M78/ROUND(N78,4))</f>
        <v>#DIV/0!</v>
      </c>
      <c r="S78" s="55" t="e">
        <f>IF(ISBLANK(N78),0,R78*ROUND(O78,2))</f>
        <v>#DIV/0!</v>
      </c>
      <c r="T78" s="58" t="e">
        <f>ROUND(Q78,2)*R78</f>
        <v>#DIV/0!</v>
      </c>
      <c r="U78" s="55" t="e">
        <f>R78*dagenperjaar1</f>
        <v>#DIV/0!</v>
      </c>
      <c r="V78" s="59" t="e">
        <f>U78*ROUND(Q78,2)</f>
        <v>#DIV/0!</v>
      </c>
    </row>
    <row r="79" spans="1:22">
      <c r="A79" s="52" t="s">
        <v>168</v>
      </c>
      <c r="B79" s="53" t="s">
        <v>169</v>
      </c>
      <c r="C79" s="53" t="s">
        <v>268</v>
      </c>
      <c r="D79" s="53" t="s">
        <v>274</v>
      </c>
      <c r="E79" s="54" t="s">
        <v>228</v>
      </c>
      <c r="F79" s="53" t="s">
        <v>177</v>
      </c>
      <c r="G79" s="53" t="s">
        <v>119</v>
      </c>
      <c r="H79" s="53" t="s">
        <v>23</v>
      </c>
      <c r="I79" s="53" t="s">
        <v>120</v>
      </c>
      <c r="J79" s="53" t="s">
        <v>178</v>
      </c>
      <c r="K79" s="53" t="s">
        <v>169</v>
      </c>
      <c r="L79" s="55">
        <v>60</v>
      </c>
      <c r="M79" s="55">
        <f>L79*VLOOKUP(H79,dagsoorttabel1,2,FALSE)</f>
        <v>18.823529411764707</v>
      </c>
      <c r="N79" s="56">
        <f>prodnorm4</f>
        <v>0</v>
      </c>
      <c r="O79" s="57">
        <f>dagwerk4</f>
        <v>0</v>
      </c>
      <c r="P79" s="53" t="s">
        <v>41</v>
      </c>
      <c r="Q79" s="58">
        <f>uurtarief4</f>
        <v>0</v>
      </c>
      <c r="R79" s="55" t="e">
        <f>IF(ISBLANK(N79),0,M79/ROUND(N79,4))</f>
        <v>#DIV/0!</v>
      </c>
      <c r="S79" s="55" t="e">
        <f>IF(ISBLANK(N79),0,R79*ROUND(O79,2))</f>
        <v>#DIV/0!</v>
      </c>
      <c r="T79" s="58" t="e">
        <f>ROUND(Q79,2)*R79</f>
        <v>#DIV/0!</v>
      </c>
      <c r="U79" s="55" t="e">
        <f>R79*dagenperjaar1</f>
        <v>#DIV/0!</v>
      </c>
      <c r="V79" s="59" t="e">
        <f>U79*ROUND(Q79,2)</f>
        <v>#DIV/0!</v>
      </c>
    </row>
    <row r="80" spans="1:22">
      <c r="A80" s="52" t="s">
        <v>168</v>
      </c>
      <c r="B80" s="53" t="s">
        <v>169</v>
      </c>
      <c r="C80" s="53" t="s">
        <v>268</v>
      </c>
      <c r="D80" s="53" t="s">
        <v>274</v>
      </c>
      <c r="E80" s="54" t="s">
        <v>228</v>
      </c>
      <c r="F80" s="53" t="s">
        <v>177</v>
      </c>
      <c r="G80" s="53" t="s">
        <v>126</v>
      </c>
      <c r="H80" s="53" t="s">
        <v>20</v>
      </c>
      <c r="I80" s="53" t="s">
        <v>120</v>
      </c>
      <c r="J80" s="53" t="s">
        <v>178</v>
      </c>
      <c r="K80" s="53" t="s">
        <v>169</v>
      </c>
      <c r="L80" s="55">
        <v>60</v>
      </c>
      <c r="M80" s="55">
        <f>L80*VLOOKUP(H80,dagsoorttabel1,2,FALSE)</f>
        <v>28.235294117647058</v>
      </c>
      <c r="N80" s="56">
        <f>prodnorm8</f>
        <v>0</v>
      </c>
      <c r="O80" s="57">
        <f>dagwerk8</f>
        <v>0</v>
      </c>
      <c r="P80" s="53" t="s">
        <v>41</v>
      </c>
      <c r="Q80" s="58">
        <f>uurtarief8</f>
        <v>0</v>
      </c>
      <c r="R80" s="55" t="e">
        <f>IF(ISBLANK(N80),0,M80/ROUND(N80,4))</f>
        <v>#DIV/0!</v>
      </c>
      <c r="S80" s="55" t="e">
        <f>IF(ISBLANK(N80),0,R80*ROUND(O80,2))</f>
        <v>#DIV/0!</v>
      </c>
      <c r="T80" s="58" t="e">
        <f>ROUND(Q80,2)*R80</f>
        <v>#DIV/0!</v>
      </c>
      <c r="U80" s="55" t="e">
        <f>R80*dagenperjaar1</f>
        <v>#DIV/0!</v>
      </c>
      <c r="V80" s="59" t="e">
        <f>U80*ROUND(Q80,2)</f>
        <v>#DIV/0!</v>
      </c>
    </row>
    <row r="81" spans="1:22">
      <c r="A81" s="52" t="s">
        <v>168</v>
      </c>
      <c r="B81" s="53" t="s">
        <v>169</v>
      </c>
      <c r="C81" s="53" t="s">
        <v>268</v>
      </c>
      <c r="D81" s="53" t="s">
        <v>275</v>
      </c>
      <c r="E81" s="54" t="s">
        <v>228</v>
      </c>
      <c r="F81" s="53" t="s">
        <v>177</v>
      </c>
      <c r="G81" s="53" t="s">
        <v>119</v>
      </c>
      <c r="H81" s="53" t="s">
        <v>23</v>
      </c>
      <c r="I81" s="53" t="s">
        <v>120</v>
      </c>
      <c r="J81" s="53" t="s">
        <v>178</v>
      </c>
      <c r="K81" s="53" t="s">
        <v>169</v>
      </c>
      <c r="L81" s="55">
        <v>61.3</v>
      </c>
      <c r="M81" s="55">
        <f>L81*VLOOKUP(H81,dagsoorttabel1,2,FALSE)</f>
        <v>19.231372549019607</v>
      </c>
      <c r="N81" s="56">
        <f>prodnorm4</f>
        <v>0</v>
      </c>
      <c r="O81" s="57">
        <f>dagwerk4</f>
        <v>0</v>
      </c>
      <c r="P81" s="53" t="s">
        <v>41</v>
      </c>
      <c r="Q81" s="58">
        <f>uurtarief4</f>
        <v>0</v>
      </c>
      <c r="R81" s="55" t="e">
        <f>IF(ISBLANK(N81),0,M81/ROUND(N81,4))</f>
        <v>#DIV/0!</v>
      </c>
      <c r="S81" s="55" t="e">
        <f>IF(ISBLANK(N81),0,R81*ROUND(O81,2))</f>
        <v>#DIV/0!</v>
      </c>
      <c r="T81" s="58" t="e">
        <f>ROUND(Q81,2)*R81</f>
        <v>#DIV/0!</v>
      </c>
      <c r="U81" s="55" t="e">
        <f>R81*dagenperjaar1</f>
        <v>#DIV/0!</v>
      </c>
      <c r="V81" s="59" t="e">
        <f>U81*ROUND(Q81,2)</f>
        <v>#DIV/0!</v>
      </c>
    </row>
    <row r="82" spans="1:22">
      <c r="A82" s="52" t="s">
        <v>168</v>
      </c>
      <c r="B82" s="53" t="s">
        <v>169</v>
      </c>
      <c r="C82" s="53" t="s">
        <v>268</v>
      </c>
      <c r="D82" s="53" t="s">
        <v>275</v>
      </c>
      <c r="E82" s="54" t="s">
        <v>228</v>
      </c>
      <c r="F82" s="53" t="s">
        <v>177</v>
      </c>
      <c r="G82" s="53" t="s">
        <v>126</v>
      </c>
      <c r="H82" s="53" t="s">
        <v>20</v>
      </c>
      <c r="I82" s="53" t="s">
        <v>120</v>
      </c>
      <c r="J82" s="53" t="s">
        <v>178</v>
      </c>
      <c r="K82" s="53" t="s">
        <v>169</v>
      </c>
      <c r="L82" s="55">
        <v>61.3</v>
      </c>
      <c r="M82" s="55">
        <f>L82*VLOOKUP(H82,dagsoorttabel1,2,FALSE)</f>
        <v>28.847058823529409</v>
      </c>
      <c r="N82" s="56">
        <f>prodnorm8</f>
        <v>0</v>
      </c>
      <c r="O82" s="57">
        <f>dagwerk8</f>
        <v>0</v>
      </c>
      <c r="P82" s="53" t="s">
        <v>41</v>
      </c>
      <c r="Q82" s="58">
        <f>uurtarief8</f>
        <v>0</v>
      </c>
      <c r="R82" s="55" t="e">
        <f>IF(ISBLANK(N82),0,M82/ROUND(N82,4))</f>
        <v>#DIV/0!</v>
      </c>
      <c r="S82" s="55" t="e">
        <f>IF(ISBLANK(N82),0,R82*ROUND(O82,2))</f>
        <v>#DIV/0!</v>
      </c>
      <c r="T82" s="58" t="e">
        <f>ROUND(Q82,2)*R82</f>
        <v>#DIV/0!</v>
      </c>
      <c r="U82" s="55" t="e">
        <f>R82*dagenperjaar1</f>
        <v>#DIV/0!</v>
      </c>
      <c r="V82" s="59" t="e">
        <f>U82*ROUND(Q82,2)</f>
        <v>#DIV/0!</v>
      </c>
    </row>
    <row r="83" spans="1:22">
      <c r="A83" s="52" t="s">
        <v>168</v>
      </c>
      <c r="B83" s="53" t="s">
        <v>169</v>
      </c>
      <c r="C83" s="53" t="s">
        <v>268</v>
      </c>
      <c r="D83" s="53" t="s">
        <v>276</v>
      </c>
      <c r="E83" s="54" t="s">
        <v>226</v>
      </c>
      <c r="F83" s="53" t="s">
        <v>177</v>
      </c>
      <c r="G83" s="53" t="s">
        <v>144</v>
      </c>
      <c r="H83" s="53" t="s">
        <v>18</v>
      </c>
      <c r="I83" s="53" t="s">
        <v>120</v>
      </c>
      <c r="J83" s="53" t="s">
        <v>174</v>
      </c>
      <c r="K83" s="53" t="s">
        <v>169</v>
      </c>
      <c r="L83" s="55">
        <v>73.3</v>
      </c>
      <c r="M83" s="55">
        <f>L83*VLOOKUP(H83,dagsoorttabel1,2,FALSE)</f>
        <v>57.490196078431367</v>
      </c>
      <c r="N83" s="56">
        <f>prodnorm17</f>
        <v>0</v>
      </c>
      <c r="O83" s="57">
        <f>dagwerk17</f>
        <v>0</v>
      </c>
      <c r="P83" s="53" t="s">
        <v>41</v>
      </c>
      <c r="Q83" s="58">
        <f>uurtarief17</f>
        <v>0</v>
      </c>
      <c r="R83" s="55" t="e">
        <f>IF(ISBLANK(N83),0,M83/ROUND(N83,4))</f>
        <v>#DIV/0!</v>
      </c>
      <c r="S83" s="55" t="e">
        <f>IF(ISBLANK(N83),0,R83*ROUND(O83,2))</f>
        <v>#DIV/0!</v>
      </c>
      <c r="T83" s="58" t="e">
        <f>ROUND(Q83,2)*R83</f>
        <v>#DIV/0!</v>
      </c>
      <c r="U83" s="55" t="e">
        <f>R83*dagenperjaar1</f>
        <v>#DIV/0!</v>
      </c>
      <c r="V83" s="59" t="e">
        <f>U83*ROUND(Q83,2)</f>
        <v>#DIV/0!</v>
      </c>
    </row>
    <row r="84" spans="1:22">
      <c r="A84" s="52" t="s">
        <v>168</v>
      </c>
      <c r="B84" s="53" t="s">
        <v>169</v>
      </c>
      <c r="C84" s="53" t="s">
        <v>268</v>
      </c>
      <c r="D84" s="53" t="s">
        <v>277</v>
      </c>
      <c r="E84" s="54" t="s">
        <v>188</v>
      </c>
      <c r="F84" s="53" t="s">
        <v>218</v>
      </c>
      <c r="G84" s="53" t="s">
        <v>152</v>
      </c>
      <c r="H84" s="53" t="s">
        <v>18</v>
      </c>
      <c r="I84" s="53" t="s">
        <v>120</v>
      </c>
      <c r="J84" s="53" t="s">
        <v>174</v>
      </c>
      <c r="K84" s="53" t="s">
        <v>169</v>
      </c>
      <c r="L84" s="55">
        <v>7.9</v>
      </c>
      <c r="M84" s="55">
        <f>L84*VLOOKUP(H84,dagsoorttabel1,2,FALSE)</f>
        <v>6.1960784313725492</v>
      </c>
      <c r="N84" s="56">
        <f>prodnorm21</f>
        <v>0</v>
      </c>
      <c r="O84" s="57">
        <f>dagwerk21</f>
        <v>0</v>
      </c>
      <c r="P84" s="53" t="s">
        <v>41</v>
      </c>
      <c r="Q84" s="58">
        <f>uurtarief21</f>
        <v>0</v>
      </c>
      <c r="R84" s="55" t="e">
        <f>IF(ISBLANK(N84),0,M84/ROUND(N84,4))</f>
        <v>#DIV/0!</v>
      </c>
      <c r="S84" s="55" t="e">
        <f>IF(ISBLANK(N84),0,R84*ROUND(O84,2))</f>
        <v>#DIV/0!</v>
      </c>
      <c r="T84" s="58" t="e">
        <f>ROUND(Q84,2)*R84</f>
        <v>#DIV/0!</v>
      </c>
      <c r="U84" s="55" t="e">
        <f>R84*dagenperjaar1</f>
        <v>#DIV/0!</v>
      </c>
      <c r="V84" s="59" t="e">
        <f>U84*ROUND(Q84,2)</f>
        <v>#DIV/0!</v>
      </c>
    </row>
    <row r="85" spans="1:22">
      <c r="A85" s="52" t="s">
        <v>168</v>
      </c>
      <c r="B85" s="53" t="s">
        <v>169</v>
      </c>
      <c r="C85" s="53" t="s">
        <v>268</v>
      </c>
      <c r="D85" s="53" t="s">
        <v>278</v>
      </c>
      <c r="E85" s="54" t="s">
        <v>192</v>
      </c>
      <c r="F85" s="53" t="s">
        <v>177</v>
      </c>
      <c r="G85" s="53" t="s">
        <v>152</v>
      </c>
      <c r="H85" s="53" t="s">
        <v>18</v>
      </c>
      <c r="I85" s="53" t="s">
        <v>120</v>
      </c>
      <c r="J85" s="53" t="s">
        <v>174</v>
      </c>
      <c r="K85" s="53" t="s">
        <v>169</v>
      </c>
      <c r="L85" s="55">
        <v>4.4000000000000004</v>
      </c>
      <c r="M85" s="55">
        <f>L85*VLOOKUP(H85,dagsoorttabel1,2,FALSE)</f>
        <v>3.4509803921568629</v>
      </c>
      <c r="N85" s="56">
        <f>prodnorm21</f>
        <v>0</v>
      </c>
      <c r="O85" s="57">
        <f>dagwerk21</f>
        <v>0</v>
      </c>
      <c r="P85" s="53" t="s">
        <v>41</v>
      </c>
      <c r="Q85" s="58">
        <f>uurtarief21</f>
        <v>0</v>
      </c>
      <c r="R85" s="55" t="e">
        <f>IF(ISBLANK(N85),0,M85/ROUND(N85,4))</f>
        <v>#DIV/0!</v>
      </c>
      <c r="S85" s="55" t="e">
        <f>IF(ISBLANK(N85),0,R85*ROUND(O85,2))</f>
        <v>#DIV/0!</v>
      </c>
      <c r="T85" s="58" t="e">
        <f>ROUND(Q85,2)*R85</f>
        <v>#DIV/0!</v>
      </c>
      <c r="U85" s="55" t="e">
        <f>R85*dagenperjaar1</f>
        <v>#DIV/0!</v>
      </c>
      <c r="V85" s="59" t="e">
        <f>U85*ROUND(Q85,2)</f>
        <v>#DIV/0!</v>
      </c>
    </row>
    <row r="86" spans="1:22">
      <c r="A86" s="52" t="s">
        <v>168</v>
      </c>
      <c r="B86" s="53" t="s">
        <v>169</v>
      </c>
      <c r="C86" s="53" t="s">
        <v>268</v>
      </c>
      <c r="D86" s="53" t="s">
        <v>279</v>
      </c>
      <c r="E86" s="54" t="s">
        <v>280</v>
      </c>
      <c r="F86" s="53" t="s">
        <v>181</v>
      </c>
      <c r="G86" s="53" t="s">
        <v>144</v>
      </c>
      <c r="H86" s="53" t="s">
        <v>18</v>
      </c>
      <c r="I86" s="53" t="s">
        <v>120</v>
      </c>
      <c r="J86" s="53" t="s">
        <v>174</v>
      </c>
      <c r="K86" s="53" t="s">
        <v>169</v>
      </c>
      <c r="L86" s="55">
        <v>5.4</v>
      </c>
      <c r="M86" s="55">
        <f>L86*VLOOKUP(H86,dagsoorttabel1,2,FALSE)</f>
        <v>4.2352941176470589</v>
      </c>
      <c r="N86" s="56">
        <f>prodnorm17</f>
        <v>0</v>
      </c>
      <c r="O86" s="57">
        <f>dagwerk17</f>
        <v>0</v>
      </c>
      <c r="P86" s="53" t="s">
        <v>41</v>
      </c>
      <c r="Q86" s="58">
        <f>uurtarief17</f>
        <v>0</v>
      </c>
      <c r="R86" s="55" t="e">
        <f>IF(ISBLANK(N86),0,M86/ROUND(N86,4))</f>
        <v>#DIV/0!</v>
      </c>
      <c r="S86" s="55" t="e">
        <f>IF(ISBLANK(N86),0,R86*ROUND(O86,2))</f>
        <v>#DIV/0!</v>
      </c>
      <c r="T86" s="58" t="e">
        <f>ROUND(Q86,2)*R86</f>
        <v>#DIV/0!</v>
      </c>
      <c r="U86" s="55" t="e">
        <f>R86*dagenperjaar1</f>
        <v>#DIV/0!</v>
      </c>
      <c r="V86" s="59" t="e">
        <f>U86*ROUND(Q86,2)</f>
        <v>#DIV/0!</v>
      </c>
    </row>
    <row r="87" spans="1:22">
      <c r="A87" s="52" t="s">
        <v>168</v>
      </c>
      <c r="B87" s="53" t="s">
        <v>169</v>
      </c>
      <c r="C87" s="53" t="s">
        <v>268</v>
      </c>
      <c r="D87" s="53" t="s">
        <v>281</v>
      </c>
      <c r="E87" s="54" t="s">
        <v>188</v>
      </c>
      <c r="F87" s="53" t="s">
        <v>177</v>
      </c>
      <c r="G87" s="53" t="s">
        <v>152</v>
      </c>
      <c r="H87" s="53" t="s">
        <v>18</v>
      </c>
      <c r="I87" s="53" t="s">
        <v>120</v>
      </c>
      <c r="J87" s="53" t="s">
        <v>174</v>
      </c>
      <c r="K87" s="53" t="s">
        <v>169</v>
      </c>
      <c r="L87" s="55">
        <v>2.5</v>
      </c>
      <c r="M87" s="55">
        <f>L87*VLOOKUP(H87,dagsoorttabel1,2,FALSE)</f>
        <v>1.9607843137254901</v>
      </c>
      <c r="N87" s="56">
        <f>prodnorm21</f>
        <v>0</v>
      </c>
      <c r="O87" s="57">
        <f>dagwerk21</f>
        <v>0</v>
      </c>
      <c r="P87" s="53" t="s">
        <v>41</v>
      </c>
      <c r="Q87" s="58">
        <f>uurtarief21</f>
        <v>0</v>
      </c>
      <c r="R87" s="55" t="e">
        <f>IF(ISBLANK(N87),0,M87/ROUND(N87,4))</f>
        <v>#DIV/0!</v>
      </c>
      <c r="S87" s="55" t="e">
        <f>IF(ISBLANK(N87),0,R87*ROUND(O87,2))</f>
        <v>#DIV/0!</v>
      </c>
      <c r="T87" s="58" t="e">
        <f>ROUND(Q87,2)*R87</f>
        <v>#DIV/0!</v>
      </c>
      <c r="U87" s="55" t="e">
        <f>R87*dagenperjaar1</f>
        <v>#DIV/0!</v>
      </c>
      <c r="V87" s="59" t="e">
        <f>U87*ROUND(Q87,2)</f>
        <v>#DIV/0!</v>
      </c>
    </row>
    <row r="88" spans="1:22">
      <c r="A88" s="52" t="s">
        <v>168</v>
      </c>
      <c r="B88" s="53" t="s">
        <v>169</v>
      </c>
      <c r="C88" s="53" t="s">
        <v>268</v>
      </c>
      <c r="D88" s="53" t="s">
        <v>282</v>
      </c>
      <c r="E88" s="54" t="s">
        <v>190</v>
      </c>
      <c r="F88" s="53" t="s">
        <v>173</v>
      </c>
      <c r="G88" s="53" t="s">
        <v>146</v>
      </c>
      <c r="H88" s="53" t="s">
        <v>18</v>
      </c>
      <c r="I88" s="53" t="s">
        <v>120</v>
      </c>
      <c r="J88" s="53" t="s">
        <v>174</v>
      </c>
      <c r="K88" s="53" t="s">
        <v>169</v>
      </c>
      <c r="L88" s="55">
        <v>3.3</v>
      </c>
      <c r="M88" s="55">
        <f>L88*VLOOKUP(H88,dagsoorttabel1,2,FALSE)</f>
        <v>2.5882352941176467</v>
      </c>
      <c r="N88" s="56">
        <f>prodnorm18</f>
        <v>0</v>
      </c>
      <c r="O88" s="57">
        <f>dagwerk18</f>
        <v>0</v>
      </c>
      <c r="P88" s="53" t="s">
        <v>41</v>
      </c>
      <c r="Q88" s="58">
        <f>uurtarief18</f>
        <v>0</v>
      </c>
      <c r="R88" s="55" t="e">
        <f>IF(ISBLANK(N88),0,M88/ROUND(N88,4))</f>
        <v>#DIV/0!</v>
      </c>
      <c r="S88" s="55" t="e">
        <f>IF(ISBLANK(N88),0,R88*ROUND(O88,2))</f>
        <v>#DIV/0!</v>
      </c>
      <c r="T88" s="58" t="e">
        <f>ROUND(Q88,2)*R88</f>
        <v>#DIV/0!</v>
      </c>
      <c r="U88" s="55" t="e">
        <f>R88*dagenperjaar1</f>
        <v>#DIV/0!</v>
      </c>
      <c r="V88" s="59" t="e">
        <f>U88*ROUND(Q88,2)</f>
        <v>#DIV/0!</v>
      </c>
    </row>
    <row r="89" spans="1:22">
      <c r="A89" s="52" t="s">
        <v>168</v>
      </c>
      <c r="B89" s="53" t="s">
        <v>169</v>
      </c>
      <c r="C89" s="53" t="s">
        <v>268</v>
      </c>
      <c r="D89" s="53" t="s">
        <v>283</v>
      </c>
      <c r="E89" s="54" t="s">
        <v>226</v>
      </c>
      <c r="F89" s="53" t="s">
        <v>177</v>
      </c>
      <c r="G89" s="53" t="s">
        <v>144</v>
      </c>
      <c r="H89" s="53" t="s">
        <v>18</v>
      </c>
      <c r="I89" s="53" t="s">
        <v>120</v>
      </c>
      <c r="J89" s="53" t="s">
        <v>174</v>
      </c>
      <c r="K89" s="53" t="s">
        <v>169</v>
      </c>
      <c r="L89" s="55">
        <v>75</v>
      </c>
      <c r="M89" s="55">
        <f>L89*VLOOKUP(H89,dagsoorttabel1,2,FALSE)</f>
        <v>58.823529411764703</v>
      </c>
      <c r="N89" s="56">
        <f>prodnorm17</f>
        <v>0</v>
      </c>
      <c r="O89" s="57">
        <f>dagwerk17</f>
        <v>0</v>
      </c>
      <c r="P89" s="53" t="s">
        <v>41</v>
      </c>
      <c r="Q89" s="58">
        <f>uurtarief17</f>
        <v>0</v>
      </c>
      <c r="R89" s="55" t="e">
        <f>IF(ISBLANK(N89),0,M89/ROUND(N89,4))</f>
        <v>#DIV/0!</v>
      </c>
      <c r="S89" s="55" t="e">
        <f>IF(ISBLANK(N89),0,R89*ROUND(O89,2))</f>
        <v>#DIV/0!</v>
      </c>
      <c r="T89" s="58" t="e">
        <f>ROUND(Q89,2)*R89</f>
        <v>#DIV/0!</v>
      </c>
      <c r="U89" s="55" t="e">
        <f>R89*dagenperjaar1</f>
        <v>#DIV/0!</v>
      </c>
      <c r="V89" s="59" t="e">
        <f>U89*ROUND(Q89,2)</f>
        <v>#DIV/0!</v>
      </c>
    </row>
    <row r="90" spans="1:22">
      <c r="A90" s="52" t="s">
        <v>168</v>
      </c>
      <c r="B90" s="53" t="s">
        <v>169</v>
      </c>
      <c r="C90" s="53" t="s">
        <v>268</v>
      </c>
      <c r="D90" s="53" t="s">
        <v>284</v>
      </c>
      <c r="E90" s="54" t="s">
        <v>285</v>
      </c>
      <c r="F90" s="53" t="s">
        <v>177</v>
      </c>
      <c r="G90" s="53" t="s">
        <v>134</v>
      </c>
      <c r="H90" s="53" t="s">
        <v>18</v>
      </c>
      <c r="I90" s="53" t="s">
        <v>120</v>
      </c>
      <c r="J90" s="53" t="s">
        <v>178</v>
      </c>
      <c r="K90" s="53" t="s">
        <v>169</v>
      </c>
      <c r="L90" s="55">
        <v>114</v>
      </c>
      <c r="M90" s="55">
        <f>L90*VLOOKUP(H90,dagsoorttabel1,2,FALSE)</f>
        <v>89.411764705882348</v>
      </c>
      <c r="N90" s="56">
        <f>prodnorm12</f>
        <v>0</v>
      </c>
      <c r="O90" s="57">
        <f>dagwerk12</f>
        <v>0</v>
      </c>
      <c r="P90" s="53" t="s">
        <v>41</v>
      </c>
      <c r="Q90" s="58">
        <f>uurtarief12</f>
        <v>0</v>
      </c>
      <c r="R90" s="55" t="e">
        <f>IF(ISBLANK(N90),0,M90/ROUND(N90,4))</f>
        <v>#DIV/0!</v>
      </c>
      <c r="S90" s="55" t="e">
        <f>IF(ISBLANK(N90),0,R90*ROUND(O90,2))</f>
        <v>#DIV/0!</v>
      </c>
      <c r="T90" s="58" t="e">
        <f>ROUND(Q90,2)*R90</f>
        <v>#DIV/0!</v>
      </c>
      <c r="U90" s="55" t="e">
        <f>R90*dagenperjaar1</f>
        <v>#DIV/0!</v>
      </c>
      <c r="V90" s="59" t="e">
        <f>U90*ROUND(Q90,2)</f>
        <v>#DIV/0!</v>
      </c>
    </row>
    <row r="91" spans="1:22">
      <c r="A91" s="52" t="s">
        <v>168</v>
      </c>
      <c r="B91" s="53" t="s">
        <v>169</v>
      </c>
      <c r="C91" s="53" t="s">
        <v>268</v>
      </c>
      <c r="D91" s="53" t="s">
        <v>286</v>
      </c>
      <c r="E91" s="54" t="s">
        <v>188</v>
      </c>
      <c r="F91" s="53" t="s">
        <v>177</v>
      </c>
      <c r="G91" s="53" t="s">
        <v>152</v>
      </c>
      <c r="H91" s="53" t="s">
        <v>18</v>
      </c>
      <c r="I91" s="53" t="s">
        <v>120</v>
      </c>
      <c r="J91" s="53" t="s">
        <v>174</v>
      </c>
      <c r="K91" s="53" t="s">
        <v>169</v>
      </c>
      <c r="L91" s="55">
        <v>3</v>
      </c>
      <c r="M91" s="55">
        <f>L91*VLOOKUP(H91,dagsoorttabel1,2,FALSE)</f>
        <v>2.3529411764705883</v>
      </c>
      <c r="N91" s="56">
        <f>prodnorm21</f>
        <v>0</v>
      </c>
      <c r="O91" s="57">
        <f>dagwerk21</f>
        <v>0</v>
      </c>
      <c r="P91" s="53" t="s">
        <v>41</v>
      </c>
      <c r="Q91" s="58">
        <f>uurtarief21</f>
        <v>0</v>
      </c>
      <c r="R91" s="55" t="e">
        <f>IF(ISBLANK(N91),0,M91/ROUND(N91,4))</f>
        <v>#DIV/0!</v>
      </c>
      <c r="S91" s="55" t="e">
        <f>IF(ISBLANK(N91),0,R91*ROUND(O91,2))</f>
        <v>#DIV/0!</v>
      </c>
      <c r="T91" s="58" t="e">
        <f>ROUND(Q91,2)*R91</f>
        <v>#DIV/0!</v>
      </c>
      <c r="U91" s="55" t="e">
        <f>R91*dagenperjaar1</f>
        <v>#DIV/0!</v>
      </c>
      <c r="V91" s="59" t="e">
        <f>U91*ROUND(Q91,2)</f>
        <v>#DIV/0!</v>
      </c>
    </row>
    <row r="92" spans="1:22">
      <c r="A92" s="52" t="s">
        <v>168</v>
      </c>
      <c r="B92" s="53" t="s">
        <v>169</v>
      </c>
      <c r="C92" s="53" t="s">
        <v>268</v>
      </c>
      <c r="D92" s="53" t="s">
        <v>287</v>
      </c>
      <c r="E92" s="54" t="s">
        <v>192</v>
      </c>
      <c r="F92" s="53" t="s">
        <v>177</v>
      </c>
      <c r="G92" s="53" t="s">
        <v>152</v>
      </c>
      <c r="H92" s="53" t="s">
        <v>18</v>
      </c>
      <c r="I92" s="53" t="s">
        <v>120</v>
      </c>
      <c r="J92" s="53" t="s">
        <v>174</v>
      </c>
      <c r="K92" s="53" t="s">
        <v>169</v>
      </c>
      <c r="L92" s="55">
        <v>65</v>
      </c>
      <c r="M92" s="55">
        <f>L92*VLOOKUP(H92,dagsoorttabel1,2,FALSE)</f>
        <v>50.980392156862742</v>
      </c>
      <c r="N92" s="56">
        <f>prodnorm21</f>
        <v>0</v>
      </c>
      <c r="O92" s="57">
        <f>dagwerk21</f>
        <v>0</v>
      </c>
      <c r="P92" s="53" t="s">
        <v>41</v>
      </c>
      <c r="Q92" s="58">
        <f>uurtarief21</f>
        <v>0</v>
      </c>
      <c r="R92" s="55" t="e">
        <f>IF(ISBLANK(N92),0,M92/ROUND(N92,4))</f>
        <v>#DIV/0!</v>
      </c>
      <c r="S92" s="55" t="e">
        <f>IF(ISBLANK(N92),0,R92*ROUND(O92,2))</f>
        <v>#DIV/0!</v>
      </c>
      <c r="T92" s="58" t="e">
        <f>ROUND(Q92,2)*R92</f>
        <v>#DIV/0!</v>
      </c>
      <c r="U92" s="55" t="e">
        <f>R92*dagenperjaar1</f>
        <v>#DIV/0!</v>
      </c>
      <c r="V92" s="59" t="e">
        <f>U92*ROUND(Q92,2)</f>
        <v>#DIV/0!</v>
      </c>
    </row>
    <row r="93" spans="1:22">
      <c r="A93" s="52" t="s">
        <v>168</v>
      </c>
      <c r="B93" s="53" t="s">
        <v>169</v>
      </c>
      <c r="C93" s="53" t="s">
        <v>268</v>
      </c>
      <c r="D93" s="53" t="s">
        <v>288</v>
      </c>
      <c r="E93" s="54" t="s">
        <v>190</v>
      </c>
      <c r="F93" s="53" t="s">
        <v>177</v>
      </c>
      <c r="G93" s="53" t="s">
        <v>144</v>
      </c>
      <c r="H93" s="53" t="s">
        <v>18</v>
      </c>
      <c r="I93" s="53" t="s">
        <v>120</v>
      </c>
      <c r="J93" s="53" t="s">
        <v>174</v>
      </c>
      <c r="K93" s="53" t="s">
        <v>169</v>
      </c>
      <c r="L93" s="55">
        <v>28</v>
      </c>
      <c r="M93" s="55">
        <f>L93*VLOOKUP(H93,dagsoorttabel1,2,FALSE)</f>
        <v>21.96078431372549</v>
      </c>
      <c r="N93" s="56">
        <f>prodnorm17</f>
        <v>0</v>
      </c>
      <c r="O93" s="57">
        <f>dagwerk17</f>
        <v>0</v>
      </c>
      <c r="P93" s="53" t="s">
        <v>41</v>
      </c>
      <c r="Q93" s="58">
        <f>uurtarief17</f>
        <v>0</v>
      </c>
      <c r="R93" s="55" t="e">
        <f>IF(ISBLANK(N93),0,M93/ROUND(N93,4))</f>
        <v>#DIV/0!</v>
      </c>
      <c r="S93" s="55" t="e">
        <f>IF(ISBLANK(N93),0,R93*ROUND(O93,2))</f>
        <v>#DIV/0!</v>
      </c>
      <c r="T93" s="58" t="e">
        <f>ROUND(Q93,2)*R93</f>
        <v>#DIV/0!</v>
      </c>
      <c r="U93" s="55" t="e">
        <f>R93*dagenperjaar1</f>
        <v>#DIV/0!</v>
      </c>
      <c r="V93" s="59" t="e">
        <f>U93*ROUND(Q93,2)</f>
        <v>#DIV/0!</v>
      </c>
    </row>
    <row r="94" spans="1:22">
      <c r="A94" s="52" t="s">
        <v>168</v>
      </c>
      <c r="B94" s="53" t="s">
        <v>169</v>
      </c>
      <c r="C94" s="53" t="s">
        <v>268</v>
      </c>
      <c r="D94" s="53" t="s">
        <v>289</v>
      </c>
      <c r="E94" s="54" t="s">
        <v>226</v>
      </c>
      <c r="F94" s="53" t="s">
        <v>177</v>
      </c>
      <c r="G94" s="53" t="s">
        <v>144</v>
      </c>
      <c r="H94" s="53" t="s">
        <v>18</v>
      </c>
      <c r="I94" s="53" t="s">
        <v>120</v>
      </c>
      <c r="J94" s="53" t="s">
        <v>174</v>
      </c>
      <c r="K94" s="53" t="s">
        <v>169</v>
      </c>
      <c r="L94" s="55">
        <v>150</v>
      </c>
      <c r="M94" s="55">
        <f>L94*VLOOKUP(H94,dagsoorttabel1,2,FALSE)</f>
        <v>117.64705882352941</v>
      </c>
      <c r="N94" s="56">
        <f>prodnorm17</f>
        <v>0</v>
      </c>
      <c r="O94" s="57">
        <f>dagwerk17</f>
        <v>0</v>
      </c>
      <c r="P94" s="53" t="s">
        <v>41</v>
      </c>
      <c r="Q94" s="58">
        <f>uurtarief17</f>
        <v>0</v>
      </c>
      <c r="R94" s="55" t="e">
        <f>IF(ISBLANK(N94),0,M94/ROUND(N94,4))</f>
        <v>#DIV/0!</v>
      </c>
      <c r="S94" s="55" t="e">
        <f>IF(ISBLANK(N94),0,R94*ROUND(O94,2))</f>
        <v>#DIV/0!</v>
      </c>
      <c r="T94" s="58" t="e">
        <f>ROUND(Q94,2)*R94</f>
        <v>#DIV/0!</v>
      </c>
      <c r="U94" s="55" t="e">
        <f>R94*dagenperjaar1</f>
        <v>#DIV/0!</v>
      </c>
      <c r="V94" s="59" t="e">
        <f>U94*ROUND(Q94,2)</f>
        <v>#DIV/0!</v>
      </c>
    </row>
    <row r="95" spans="1:22">
      <c r="A95" s="52" t="s">
        <v>168</v>
      </c>
      <c r="B95" s="53" t="s">
        <v>169</v>
      </c>
      <c r="C95" s="53" t="s">
        <v>268</v>
      </c>
      <c r="D95" s="53" t="s">
        <v>290</v>
      </c>
      <c r="E95" s="54" t="s">
        <v>228</v>
      </c>
      <c r="F95" s="53" t="s">
        <v>177</v>
      </c>
      <c r="G95" s="53" t="s">
        <v>119</v>
      </c>
      <c r="H95" s="53" t="s">
        <v>23</v>
      </c>
      <c r="I95" s="53" t="s">
        <v>120</v>
      </c>
      <c r="J95" s="53" t="s">
        <v>178</v>
      </c>
      <c r="K95" s="53" t="s">
        <v>169</v>
      </c>
      <c r="L95" s="55">
        <v>96.3</v>
      </c>
      <c r="M95" s="55">
        <f>L95*VLOOKUP(H95,dagsoorttabel1,2,FALSE)</f>
        <v>30.211764705882352</v>
      </c>
      <c r="N95" s="56">
        <f>prodnorm4</f>
        <v>0</v>
      </c>
      <c r="O95" s="57">
        <f>dagwerk4</f>
        <v>0</v>
      </c>
      <c r="P95" s="53" t="s">
        <v>41</v>
      </c>
      <c r="Q95" s="58">
        <f>uurtarief4</f>
        <v>0</v>
      </c>
      <c r="R95" s="55" t="e">
        <f>IF(ISBLANK(N95),0,M95/ROUND(N95,4))</f>
        <v>#DIV/0!</v>
      </c>
      <c r="S95" s="55" t="e">
        <f>IF(ISBLANK(N95),0,R95*ROUND(O95,2))</f>
        <v>#DIV/0!</v>
      </c>
      <c r="T95" s="58" t="e">
        <f>ROUND(Q95,2)*R95</f>
        <v>#DIV/0!</v>
      </c>
      <c r="U95" s="55" t="e">
        <f>R95*dagenperjaar1</f>
        <v>#DIV/0!</v>
      </c>
      <c r="V95" s="59" t="e">
        <f>U95*ROUND(Q95,2)</f>
        <v>#DIV/0!</v>
      </c>
    </row>
    <row r="96" spans="1:22">
      <c r="A96" s="52" t="s">
        <v>168</v>
      </c>
      <c r="B96" s="53" t="s">
        <v>169</v>
      </c>
      <c r="C96" s="53" t="s">
        <v>268</v>
      </c>
      <c r="D96" s="53" t="s">
        <v>290</v>
      </c>
      <c r="E96" s="54" t="s">
        <v>228</v>
      </c>
      <c r="F96" s="53" t="s">
        <v>177</v>
      </c>
      <c r="G96" s="53" t="s">
        <v>126</v>
      </c>
      <c r="H96" s="53" t="s">
        <v>20</v>
      </c>
      <c r="I96" s="53" t="s">
        <v>120</v>
      </c>
      <c r="J96" s="53" t="s">
        <v>178</v>
      </c>
      <c r="K96" s="53" t="s">
        <v>169</v>
      </c>
      <c r="L96" s="55">
        <v>96.3</v>
      </c>
      <c r="M96" s="55">
        <f>L96*VLOOKUP(H96,dagsoorttabel1,2,FALSE)</f>
        <v>45.317647058823525</v>
      </c>
      <c r="N96" s="56">
        <f>prodnorm8</f>
        <v>0</v>
      </c>
      <c r="O96" s="57">
        <f>dagwerk8</f>
        <v>0</v>
      </c>
      <c r="P96" s="53" t="s">
        <v>41</v>
      </c>
      <c r="Q96" s="58">
        <f>uurtarief8</f>
        <v>0</v>
      </c>
      <c r="R96" s="55" t="e">
        <f>IF(ISBLANK(N96),0,M96/ROUND(N96,4))</f>
        <v>#DIV/0!</v>
      </c>
      <c r="S96" s="55" t="e">
        <f>IF(ISBLANK(N96),0,R96*ROUND(O96,2))</f>
        <v>#DIV/0!</v>
      </c>
      <c r="T96" s="58" t="e">
        <f>ROUND(Q96,2)*R96</f>
        <v>#DIV/0!</v>
      </c>
      <c r="U96" s="55" t="e">
        <f>R96*dagenperjaar1</f>
        <v>#DIV/0!</v>
      </c>
      <c r="V96" s="59" t="e">
        <f>U96*ROUND(Q96,2)</f>
        <v>#DIV/0!</v>
      </c>
    </row>
    <row r="97" spans="1:22">
      <c r="A97" s="52" t="s">
        <v>168</v>
      </c>
      <c r="B97" s="53" t="s">
        <v>169</v>
      </c>
      <c r="C97" s="53" t="s">
        <v>268</v>
      </c>
      <c r="D97" s="53" t="s">
        <v>291</v>
      </c>
      <c r="E97" s="54" t="s">
        <v>228</v>
      </c>
      <c r="F97" s="53" t="s">
        <v>177</v>
      </c>
      <c r="G97" s="53" t="s">
        <v>119</v>
      </c>
      <c r="H97" s="53" t="s">
        <v>23</v>
      </c>
      <c r="I97" s="53" t="s">
        <v>120</v>
      </c>
      <c r="J97" s="53" t="s">
        <v>178</v>
      </c>
      <c r="K97" s="53" t="s">
        <v>169</v>
      </c>
      <c r="L97" s="55">
        <v>63.3</v>
      </c>
      <c r="M97" s="55">
        <f>L97*VLOOKUP(H97,dagsoorttabel1,2,FALSE)</f>
        <v>19.858823529411765</v>
      </c>
      <c r="N97" s="56">
        <f>prodnorm4</f>
        <v>0</v>
      </c>
      <c r="O97" s="57">
        <f>dagwerk4</f>
        <v>0</v>
      </c>
      <c r="P97" s="53" t="s">
        <v>41</v>
      </c>
      <c r="Q97" s="58">
        <f>uurtarief4</f>
        <v>0</v>
      </c>
      <c r="R97" s="55" t="e">
        <f>IF(ISBLANK(N97),0,M97/ROUND(N97,4))</f>
        <v>#DIV/0!</v>
      </c>
      <c r="S97" s="55" t="e">
        <f>IF(ISBLANK(N97),0,R97*ROUND(O97,2))</f>
        <v>#DIV/0!</v>
      </c>
      <c r="T97" s="58" t="e">
        <f>ROUND(Q97,2)*R97</f>
        <v>#DIV/0!</v>
      </c>
      <c r="U97" s="55" t="e">
        <f>R97*dagenperjaar1</f>
        <v>#DIV/0!</v>
      </c>
      <c r="V97" s="59" t="e">
        <f>U97*ROUND(Q97,2)</f>
        <v>#DIV/0!</v>
      </c>
    </row>
    <row r="98" spans="1:22">
      <c r="A98" s="52" t="s">
        <v>168</v>
      </c>
      <c r="B98" s="53" t="s">
        <v>169</v>
      </c>
      <c r="C98" s="53" t="s">
        <v>268</v>
      </c>
      <c r="D98" s="53" t="s">
        <v>291</v>
      </c>
      <c r="E98" s="54" t="s">
        <v>228</v>
      </c>
      <c r="F98" s="53" t="s">
        <v>177</v>
      </c>
      <c r="G98" s="53" t="s">
        <v>126</v>
      </c>
      <c r="H98" s="53" t="s">
        <v>20</v>
      </c>
      <c r="I98" s="53" t="s">
        <v>120</v>
      </c>
      <c r="J98" s="53" t="s">
        <v>178</v>
      </c>
      <c r="K98" s="53" t="s">
        <v>169</v>
      </c>
      <c r="L98" s="55">
        <v>63.3</v>
      </c>
      <c r="M98" s="55">
        <f>L98*VLOOKUP(H98,dagsoorttabel1,2,FALSE)</f>
        <v>29.788235294117644</v>
      </c>
      <c r="N98" s="56">
        <f>prodnorm8</f>
        <v>0</v>
      </c>
      <c r="O98" s="57">
        <f>dagwerk8</f>
        <v>0</v>
      </c>
      <c r="P98" s="53" t="s">
        <v>41</v>
      </c>
      <c r="Q98" s="58">
        <f>uurtarief8</f>
        <v>0</v>
      </c>
      <c r="R98" s="55" t="e">
        <f>IF(ISBLANK(N98),0,M98/ROUND(N98,4))</f>
        <v>#DIV/0!</v>
      </c>
      <c r="S98" s="55" t="e">
        <f>IF(ISBLANK(N98),0,R98*ROUND(O98,2))</f>
        <v>#DIV/0!</v>
      </c>
      <c r="T98" s="58" t="e">
        <f>ROUND(Q98,2)*R98</f>
        <v>#DIV/0!</v>
      </c>
      <c r="U98" s="55" t="e">
        <f>R98*dagenperjaar1</f>
        <v>#DIV/0!</v>
      </c>
      <c r="V98" s="59" t="e">
        <f>U98*ROUND(Q98,2)</f>
        <v>#DIV/0!</v>
      </c>
    </row>
    <row r="99" spans="1:22">
      <c r="A99" s="52" t="s">
        <v>168</v>
      </c>
      <c r="B99" s="53" t="s">
        <v>169</v>
      </c>
      <c r="C99" s="53" t="s">
        <v>268</v>
      </c>
      <c r="D99" s="53" t="s">
        <v>292</v>
      </c>
      <c r="E99" s="54" t="s">
        <v>195</v>
      </c>
      <c r="F99" s="53" t="s">
        <v>181</v>
      </c>
      <c r="G99" s="53" t="s">
        <v>142</v>
      </c>
      <c r="H99" s="53" t="s">
        <v>18</v>
      </c>
      <c r="I99" s="53" t="s">
        <v>120</v>
      </c>
      <c r="J99" s="53" t="s">
        <v>182</v>
      </c>
      <c r="K99" s="53" t="s">
        <v>169</v>
      </c>
      <c r="L99" s="55">
        <v>10.7</v>
      </c>
      <c r="M99" s="55">
        <f>L99*VLOOKUP(H99,dagsoorttabel1,2,FALSE)</f>
        <v>8.3921568627450966</v>
      </c>
      <c r="N99" s="56">
        <f>prodnorm16</f>
        <v>0</v>
      </c>
      <c r="O99" s="57">
        <f>dagwerk16</f>
        <v>0</v>
      </c>
      <c r="P99" s="53" t="s">
        <v>41</v>
      </c>
      <c r="Q99" s="58">
        <f>uurtarief16</f>
        <v>0</v>
      </c>
      <c r="R99" s="55" t="e">
        <f>IF(ISBLANK(N99),0,M99/ROUND(N99,4))</f>
        <v>#DIV/0!</v>
      </c>
      <c r="S99" s="55" t="e">
        <f>IF(ISBLANK(N99),0,R99*ROUND(O99,2))</f>
        <v>#DIV/0!</v>
      </c>
      <c r="T99" s="58" t="e">
        <f>ROUND(Q99,2)*R99</f>
        <v>#DIV/0!</v>
      </c>
      <c r="U99" s="55" t="e">
        <f>R99*dagenperjaar1</f>
        <v>#DIV/0!</v>
      </c>
      <c r="V99" s="59" t="e">
        <f>U99*ROUND(Q99,2)</f>
        <v>#DIV/0!</v>
      </c>
    </row>
    <row r="100" spans="1:22">
      <c r="A100" s="52" t="s">
        <v>168</v>
      </c>
      <c r="B100" s="53" t="s">
        <v>169</v>
      </c>
      <c r="C100" s="53" t="s">
        <v>268</v>
      </c>
      <c r="D100" s="53" t="s">
        <v>293</v>
      </c>
      <c r="E100" s="54" t="s">
        <v>195</v>
      </c>
      <c r="F100" s="53" t="s">
        <v>181</v>
      </c>
      <c r="G100" s="53" t="s">
        <v>142</v>
      </c>
      <c r="H100" s="53" t="s">
        <v>18</v>
      </c>
      <c r="I100" s="53" t="s">
        <v>120</v>
      </c>
      <c r="J100" s="53" t="s">
        <v>182</v>
      </c>
      <c r="K100" s="53" t="s">
        <v>169</v>
      </c>
      <c r="L100" s="55">
        <v>11.7</v>
      </c>
      <c r="M100" s="55">
        <f>L100*VLOOKUP(H100,dagsoorttabel1,2,FALSE)</f>
        <v>9.1764705882352935</v>
      </c>
      <c r="N100" s="56">
        <f>prodnorm16</f>
        <v>0</v>
      </c>
      <c r="O100" s="57">
        <f>dagwerk16</f>
        <v>0</v>
      </c>
      <c r="P100" s="53" t="s">
        <v>41</v>
      </c>
      <c r="Q100" s="58">
        <f>uurtarief16</f>
        <v>0</v>
      </c>
      <c r="R100" s="55" t="e">
        <f>IF(ISBLANK(N100),0,M100/ROUND(N100,4))</f>
        <v>#DIV/0!</v>
      </c>
      <c r="S100" s="55" t="e">
        <f>IF(ISBLANK(N100),0,R100*ROUND(O100,2))</f>
        <v>#DIV/0!</v>
      </c>
      <c r="T100" s="58" t="e">
        <f>ROUND(Q100,2)*R100</f>
        <v>#DIV/0!</v>
      </c>
      <c r="U100" s="55" t="e">
        <f>R100*dagenperjaar1</f>
        <v>#DIV/0!</v>
      </c>
      <c r="V100" s="59" t="e">
        <f>U100*ROUND(Q100,2)</f>
        <v>#DIV/0!</v>
      </c>
    </row>
    <row r="101" spans="1:22">
      <c r="A101" s="52" t="s">
        <v>168</v>
      </c>
      <c r="B101" s="53" t="s">
        <v>169</v>
      </c>
      <c r="C101" s="53" t="s">
        <v>268</v>
      </c>
      <c r="D101" s="53" t="s">
        <v>294</v>
      </c>
      <c r="E101" s="54" t="s">
        <v>228</v>
      </c>
      <c r="F101" s="53" t="s">
        <v>177</v>
      </c>
      <c r="G101" s="53" t="s">
        <v>119</v>
      </c>
      <c r="H101" s="53" t="s">
        <v>23</v>
      </c>
      <c r="I101" s="53" t="s">
        <v>120</v>
      </c>
      <c r="J101" s="53" t="s">
        <v>178</v>
      </c>
      <c r="K101" s="53" t="s">
        <v>169</v>
      </c>
      <c r="L101" s="55">
        <v>63.3</v>
      </c>
      <c r="M101" s="55">
        <f>L101*VLOOKUP(H101,dagsoorttabel1,2,FALSE)</f>
        <v>19.858823529411765</v>
      </c>
      <c r="N101" s="56">
        <f>prodnorm4</f>
        <v>0</v>
      </c>
      <c r="O101" s="57">
        <f>dagwerk4</f>
        <v>0</v>
      </c>
      <c r="P101" s="53" t="s">
        <v>41</v>
      </c>
      <c r="Q101" s="58">
        <f>uurtarief4</f>
        <v>0</v>
      </c>
      <c r="R101" s="55" t="e">
        <f>IF(ISBLANK(N101),0,M101/ROUND(N101,4))</f>
        <v>#DIV/0!</v>
      </c>
      <c r="S101" s="55" t="e">
        <f>IF(ISBLANK(N101),0,R101*ROUND(O101,2))</f>
        <v>#DIV/0!</v>
      </c>
      <c r="T101" s="58" t="e">
        <f>ROUND(Q101,2)*R101</f>
        <v>#DIV/0!</v>
      </c>
      <c r="U101" s="55" t="e">
        <f>R101*dagenperjaar1</f>
        <v>#DIV/0!</v>
      </c>
      <c r="V101" s="59" t="e">
        <f>U101*ROUND(Q101,2)</f>
        <v>#DIV/0!</v>
      </c>
    </row>
    <row r="102" spans="1:22">
      <c r="A102" s="52" t="s">
        <v>168</v>
      </c>
      <c r="B102" s="53" t="s">
        <v>169</v>
      </c>
      <c r="C102" s="53" t="s">
        <v>268</v>
      </c>
      <c r="D102" s="53" t="s">
        <v>294</v>
      </c>
      <c r="E102" s="54" t="s">
        <v>228</v>
      </c>
      <c r="F102" s="53" t="s">
        <v>177</v>
      </c>
      <c r="G102" s="53" t="s">
        <v>126</v>
      </c>
      <c r="H102" s="53" t="s">
        <v>20</v>
      </c>
      <c r="I102" s="53" t="s">
        <v>120</v>
      </c>
      <c r="J102" s="53" t="s">
        <v>178</v>
      </c>
      <c r="K102" s="53" t="s">
        <v>169</v>
      </c>
      <c r="L102" s="55">
        <v>63.3</v>
      </c>
      <c r="M102" s="55">
        <f>L102*VLOOKUP(H102,dagsoorttabel1,2,FALSE)</f>
        <v>29.788235294117644</v>
      </c>
      <c r="N102" s="56">
        <f>prodnorm8</f>
        <v>0</v>
      </c>
      <c r="O102" s="57">
        <f>dagwerk8</f>
        <v>0</v>
      </c>
      <c r="P102" s="53" t="s">
        <v>41</v>
      </c>
      <c r="Q102" s="58">
        <f>uurtarief8</f>
        <v>0</v>
      </c>
      <c r="R102" s="55" t="e">
        <f>IF(ISBLANK(N102),0,M102/ROUND(N102,4))</f>
        <v>#DIV/0!</v>
      </c>
      <c r="S102" s="55" t="e">
        <f>IF(ISBLANK(N102),0,R102*ROUND(O102,2))</f>
        <v>#DIV/0!</v>
      </c>
      <c r="T102" s="58" t="e">
        <f>ROUND(Q102,2)*R102</f>
        <v>#DIV/0!</v>
      </c>
      <c r="U102" s="55" t="e">
        <f>R102*dagenperjaar1</f>
        <v>#DIV/0!</v>
      </c>
      <c r="V102" s="59" t="e">
        <f>U102*ROUND(Q102,2)</f>
        <v>#DIV/0!</v>
      </c>
    </row>
    <row r="103" spans="1:22">
      <c r="A103" s="52" t="s">
        <v>168</v>
      </c>
      <c r="B103" s="53" t="s">
        <v>169</v>
      </c>
      <c r="C103" s="53" t="s">
        <v>268</v>
      </c>
      <c r="D103" s="53" t="s">
        <v>295</v>
      </c>
      <c r="E103" s="54" t="s">
        <v>228</v>
      </c>
      <c r="F103" s="53" t="s">
        <v>177</v>
      </c>
      <c r="G103" s="53" t="s">
        <v>119</v>
      </c>
      <c r="H103" s="53" t="s">
        <v>23</v>
      </c>
      <c r="I103" s="53" t="s">
        <v>120</v>
      </c>
      <c r="J103" s="53" t="s">
        <v>178</v>
      </c>
      <c r="K103" s="53" t="s">
        <v>169</v>
      </c>
      <c r="L103" s="55">
        <v>50</v>
      </c>
      <c r="M103" s="55">
        <f>L103*VLOOKUP(H103,dagsoorttabel1,2,FALSE)</f>
        <v>15.686274509803921</v>
      </c>
      <c r="N103" s="56">
        <f>prodnorm4</f>
        <v>0</v>
      </c>
      <c r="O103" s="57">
        <f>dagwerk4</f>
        <v>0</v>
      </c>
      <c r="P103" s="53" t="s">
        <v>41</v>
      </c>
      <c r="Q103" s="58">
        <f>uurtarief4</f>
        <v>0</v>
      </c>
      <c r="R103" s="55" t="e">
        <f>IF(ISBLANK(N103),0,M103/ROUND(N103,4))</f>
        <v>#DIV/0!</v>
      </c>
      <c r="S103" s="55" t="e">
        <f>IF(ISBLANK(N103),0,R103*ROUND(O103,2))</f>
        <v>#DIV/0!</v>
      </c>
      <c r="T103" s="58" t="e">
        <f>ROUND(Q103,2)*R103</f>
        <v>#DIV/0!</v>
      </c>
      <c r="U103" s="55" t="e">
        <f>R103*dagenperjaar1</f>
        <v>#DIV/0!</v>
      </c>
      <c r="V103" s="59" t="e">
        <f>U103*ROUND(Q103,2)</f>
        <v>#DIV/0!</v>
      </c>
    </row>
    <row r="104" spans="1:22">
      <c r="A104" s="52" t="s">
        <v>168</v>
      </c>
      <c r="B104" s="53" t="s">
        <v>169</v>
      </c>
      <c r="C104" s="53" t="s">
        <v>268</v>
      </c>
      <c r="D104" s="53" t="s">
        <v>295</v>
      </c>
      <c r="E104" s="54" t="s">
        <v>228</v>
      </c>
      <c r="F104" s="53" t="s">
        <v>177</v>
      </c>
      <c r="G104" s="53" t="s">
        <v>126</v>
      </c>
      <c r="H104" s="53" t="s">
        <v>20</v>
      </c>
      <c r="I104" s="53" t="s">
        <v>120</v>
      </c>
      <c r="J104" s="53" t="s">
        <v>178</v>
      </c>
      <c r="K104" s="53" t="s">
        <v>169</v>
      </c>
      <c r="L104" s="55">
        <v>50</v>
      </c>
      <c r="M104" s="55">
        <f>L104*VLOOKUP(H104,dagsoorttabel1,2,FALSE)</f>
        <v>23.52941176470588</v>
      </c>
      <c r="N104" s="56">
        <f>prodnorm8</f>
        <v>0</v>
      </c>
      <c r="O104" s="57">
        <f>dagwerk8</f>
        <v>0</v>
      </c>
      <c r="P104" s="53" t="s">
        <v>41</v>
      </c>
      <c r="Q104" s="58">
        <f>uurtarief8</f>
        <v>0</v>
      </c>
      <c r="R104" s="55" t="e">
        <f>IF(ISBLANK(N104),0,M104/ROUND(N104,4))</f>
        <v>#DIV/0!</v>
      </c>
      <c r="S104" s="55" t="e">
        <f>IF(ISBLANK(N104),0,R104*ROUND(O104,2))</f>
        <v>#DIV/0!</v>
      </c>
      <c r="T104" s="58" t="e">
        <f>ROUND(Q104,2)*R104</f>
        <v>#DIV/0!</v>
      </c>
      <c r="U104" s="55" t="e">
        <f>R104*dagenperjaar1</f>
        <v>#DIV/0!</v>
      </c>
      <c r="V104" s="59" t="e">
        <f>U104*ROUND(Q104,2)</f>
        <v>#DIV/0!</v>
      </c>
    </row>
    <row r="105" spans="1:22">
      <c r="A105" s="52" t="s">
        <v>168</v>
      </c>
      <c r="B105" s="53" t="s">
        <v>169</v>
      </c>
      <c r="C105" s="53" t="s">
        <v>268</v>
      </c>
      <c r="D105" s="53" t="s">
        <v>296</v>
      </c>
      <c r="E105" s="54" t="s">
        <v>226</v>
      </c>
      <c r="F105" s="53" t="s">
        <v>177</v>
      </c>
      <c r="G105" s="53" t="s">
        <v>144</v>
      </c>
      <c r="H105" s="53" t="s">
        <v>18</v>
      </c>
      <c r="I105" s="53" t="s">
        <v>120</v>
      </c>
      <c r="J105" s="53" t="s">
        <v>174</v>
      </c>
      <c r="K105" s="53" t="s">
        <v>169</v>
      </c>
      <c r="L105" s="55">
        <v>18.8</v>
      </c>
      <c r="M105" s="55">
        <f>L105*VLOOKUP(H105,dagsoorttabel1,2,FALSE)</f>
        <v>14.745098039215687</v>
      </c>
      <c r="N105" s="56">
        <f>prodnorm17</f>
        <v>0</v>
      </c>
      <c r="O105" s="57">
        <f>dagwerk17</f>
        <v>0</v>
      </c>
      <c r="P105" s="53" t="s">
        <v>41</v>
      </c>
      <c r="Q105" s="58">
        <f>uurtarief17</f>
        <v>0</v>
      </c>
      <c r="R105" s="55" t="e">
        <f>IF(ISBLANK(N105),0,M105/ROUND(N105,4))</f>
        <v>#DIV/0!</v>
      </c>
      <c r="S105" s="55" t="e">
        <f>IF(ISBLANK(N105),0,R105*ROUND(O105,2))</f>
        <v>#DIV/0!</v>
      </c>
      <c r="T105" s="58" t="e">
        <f>ROUND(Q105,2)*R105</f>
        <v>#DIV/0!</v>
      </c>
      <c r="U105" s="55" t="e">
        <f>R105*dagenperjaar1</f>
        <v>#DIV/0!</v>
      </c>
      <c r="V105" s="59" t="e">
        <f>U105*ROUND(Q105,2)</f>
        <v>#DIV/0!</v>
      </c>
    </row>
    <row r="106" spans="1:22">
      <c r="A106" s="52" t="s">
        <v>168</v>
      </c>
      <c r="B106" s="53" t="s">
        <v>169</v>
      </c>
      <c r="C106" s="53" t="s">
        <v>268</v>
      </c>
      <c r="D106" s="53" t="s">
        <v>297</v>
      </c>
      <c r="E106" s="54" t="s">
        <v>190</v>
      </c>
      <c r="F106" s="53" t="s">
        <v>177</v>
      </c>
      <c r="G106" s="53" t="s">
        <v>144</v>
      </c>
      <c r="H106" s="53" t="s">
        <v>18</v>
      </c>
      <c r="I106" s="53" t="s">
        <v>120</v>
      </c>
      <c r="J106" s="53" t="s">
        <v>174</v>
      </c>
      <c r="K106" s="53" t="s">
        <v>169</v>
      </c>
      <c r="L106" s="55">
        <v>12</v>
      </c>
      <c r="M106" s="55">
        <f>L106*VLOOKUP(H106,dagsoorttabel1,2,FALSE)</f>
        <v>9.4117647058823533</v>
      </c>
      <c r="N106" s="56">
        <f>prodnorm17</f>
        <v>0</v>
      </c>
      <c r="O106" s="57">
        <f>dagwerk17</f>
        <v>0</v>
      </c>
      <c r="P106" s="53" t="s">
        <v>41</v>
      </c>
      <c r="Q106" s="58">
        <f>uurtarief17</f>
        <v>0</v>
      </c>
      <c r="R106" s="55" t="e">
        <f>IF(ISBLANK(N106),0,M106/ROUND(N106,4))</f>
        <v>#DIV/0!</v>
      </c>
      <c r="S106" s="55" t="e">
        <f>IF(ISBLANK(N106),0,R106*ROUND(O106,2))</f>
        <v>#DIV/0!</v>
      </c>
      <c r="T106" s="58" t="e">
        <f>ROUND(Q106,2)*R106</f>
        <v>#DIV/0!</v>
      </c>
      <c r="U106" s="55" t="e">
        <f>R106*dagenperjaar1</f>
        <v>#DIV/0!</v>
      </c>
      <c r="V106" s="59" t="e">
        <f>U106*ROUND(Q106,2)</f>
        <v>#DIV/0!</v>
      </c>
    </row>
    <row r="107" spans="1:22">
      <c r="A107" s="52" t="s">
        <v>168</v>
      </c>
      <c r="B107" s="53" t="s">
        <v>169</v>
      </c>
      <c r="C107" s="53" t="s">
        <v>268</v>
      </c>
      <c r="D107" s="53" t="s">
        <v>298</v>
      </c>
      <c r="E107" s="54" t="s">
        <v>188</v>
      </c>
      <c r="F107" s="53" t="s">
        <v>218</v>
      </c>
      <c r="G107" s="53" t="s">
        <v>152</v>
      </c>
      <c r="H107" s="53" t="s">
        <v>18</v>
      </c>
      <c r="I107" s="53" t="s">
        <v>120</v>
      </c>
      <c r="J107" s="53" t="s">
        <v>174</v>
      </c>
      <c r="K107" s="53" t="s">
        <v>169</v>
      </c>
      <c r="L107" s="55">
        <v>6.5</v>
      </c>
      <c r="M107" s="55">
        <f>L107*VLOOKUP(H107,dagsoorttabel1,2,FALSE)</f>
        <v>5.0980392156862742</v>
      </c>
      <c r="N107" s="56">
        <f>prodnorm21</f>
        <v>0</v>
      </c>
      <c r="O107" s="57">
        <f>dagwerk21</f>
        <v>0</v>
      </c>
      <c r="P107" s="53" t="s">
        <v>41</v>
      </c>
      <c r="Q107" s="58">
        <f>uurtarief21</f>
        <v>0</v>
      </c>
      <c r="R107" s="55" t="e">
        <f>IF(ISBLANK(N107),0,M107/ROUND(N107,4))</f>
        <v>#DIV/0!</v>
      </c>
      <c r="S107" s="55" t="e">
        <f>IF(ISBLANK(N107),0,R107*ROUND(O107,2))</f>
        <v>#DIV/0!</v>
      </c>
      <c r="T107" s="58" t="e">
        <f>ROUND(Q107,2)*R107</f>
        <v>#DIV/0!</v>
      </c>
      <c r="U107" s="55" t="e">
        <f>R107*dagenperjaar1</f>
        <v>#DIV/0!</v>
      </c>
      <c r="V107" s="59" t="e">
        <f>U107*ROUND(Q107,2)</f>
        <v>#DIV/0!</v>
      </c>
    </row>
    <row r="108" spans="1:22">
      <c r="A108" s="52" t="s">
        <v>168</v>
      </c>
      <c r="B108" s="53" t="s">
        <v>169</v>
      </c>
      <c r="C108" s="53" t="s">
        <v>268</v>
      </c>
      <c r="D108" s="53" t="s">
        <v>299</v>
      </c>
      <c r="E108" s="54" t="s">
        <v>192</v>
      </c>
      <c r="F108" s="53" t="s">
        <v>177</v>
      </c>
      <c r="G108" s="53" t="s">
        <v>152</v>
      </c>
      <c r="H108" s="53" t="s">
        <v>18</v>
      </c>
      <c r="I108" s="53" t="s">
        <v>120</v>
      </c>
      <c r="J108" s="53" t="s">
        <v>174</v>
      </c>
      <c r="K108" s="53" t="s">
        <v>169</v>
      </c>
      <c r="L108" s="55">
        <v>4.8</v>
      </c>
      <c r="M108" s="55">
        <f>L108*VLOOKUP(H108,dagsoorttabel1,2,FALSE)</f>
        <v>3.7647058823529411</v>
      </c>
      <c r="N108" s="56">
        <f>prodnorm21</f>
        <v>0</v>
      </c>
      <c r="O108" s="57">
        <f>dagwerk21</f>
        <v>0</v>
      </c>
      <c r="P108" s="53" t="s">
        <v>41</v>
      </c>
      <c r="Q108" s="58">
        <f>uurtarief21</f>
        <v>0</v>
      </c>
      <c r="R108" s="55" t="e">
        <f>IF(ISBLANK(N108),0,M108/ROUND(N108,4))</f>
        <v>#DIV/0!</v>
      </c>
      <c r="S108" s="55" t="e">
        <f>IF(ISBLANK(N108),0,R108*ROUND(O108,2))</f>
        <v>#DIV/0!</v>
      </c>
      <c r="T108" s="58" t="e">
        <f>ROUND(Q108,2)*R108</f>
        <v>#DIV/0!</v>
      </c>
      <c r="U108" s="55" t="e">
        <f>R108*dagenperjaar1</f>
        <v>#DIV/0!</v>
      </c>
      <c r="V108" s="59" t="e">
        <f>U108*ROUND(Q108,2)</f>
        <v>#DIV/0!</v>
      </c>
    </row>
    <row r="109" spans="1:22">
      <c r="A109" s="52" t="s">
        <v>168</v>
      </c>
      <c r="B109" s="53" t="s">
        <v>169</v>
      </c>
      <c r="C109" s="53" t="s">
        <v>268</v>
      </c>
      <c r="D109" s="53" t="s">
        <v>300</v>
      </c>
      <c r="E109" s="54" t="s">
        <v>228</v>
      </c>
      <c r="F109" s="53" t="s">
        <v>177</v>
      </c>
      <c r="G109" s="53" t="s">
        <v>119</v>
      </c>
      <c r="H109" s="53" t="s">
        <v>23</v>
      </c>
      <c r="I109" s="53" t="s">
        <v>120</v>
      </c>
      <c r="J109" s="53" t="s">
        <v>178</v>
      </c>
      <c r="K109" s="53" t="s">
        <v>169</v>
      </c>
      <c r="L109" s="55">
        <v>50</v>
      </c>
      <c r="M109" s="55">
        <f>L109*VLOOKUP(H109,dagsoorttabel1,2,FALSE)</f>
        <v>15.686274509803921</v>
      </c>
      <c r="N109" s="56">
        <f>prodnorm4</f>
        <v>0</v>
      </c>
      <c r="O109" s="57">
        <f>dagwerk4</f>
        <v>0</v>
      </c>
      <c r="P109" s="53" t="s">
        <v>41</v>
      </c>
      <c r="Q109" s="58">
        <f>uurtarief4</f>
        <v>0</v>
      </c>
      <c r="R109" s="55" t="e">
        <f>IF(ISBLANK(N109),0,M109/ROUND(N109,4))</f>
        <v>#DIV/0!</v>
      </c>
      <c r="S109" s="55" t="e">
        <f>IF(ISBLANK(N109),0,R109*ROUND(O109,2))</f>
        <v>#DIV/0!</v>
      </c>
      <c r="T109" s="58" t="e">
        <f>ROUND(Q109,2)*R109</f>
        <v>#DIV/0!</v>
      </c>
      <c r="U109" s="55" t="e">
        <f>R109*dagenperjaar1</f>
        <v>#DIV/0!</v>
      </c>
      <c r="V109" s="59" t="e">
        <f>U109*ROUND(Q109,2)</f>
        <v>#DIV/0!</v>
      </c>
    </row>
    <row r="110" spans="1:22">
      <c r="A110" s="52" t="s">
        <v>168</v>
      </c>
      <c r="B110" s="53" t="s">
        <v>169</v>
      </c>
      <c r="C110" s="53" t="s">
        <v>268</v>
      </c>
      <c r="D110" s="53" t="s">
        <v>300</v>
      </c>
      <c r="E110" s="54" t="s">
        <v>228</v>
      </c>
      <c r="F110" s="53" t="s">
        <v>177</v>
      </c>
      <c r="G110" s="53" t="s">
        <v>126</v>
      </c>
      <c r="H110" s="53" t="s">
        <v>20</v>
      </c>
      <c r="I110" s="53" t="s">
        <v>120</v>
      </c>
      <c r="J110" s="53" t="s">
        <v>178</v>
      </c>
      <c r="K110" s="53" t="s">
        <v>169</v>
      </c>
      <c r="L110" s="55">
        <v>50</v>
      </c>
      <c r="M110" s="55">
        <f>L110*VLOOKUP(H110,dagsoorttabel1,2,FALSE)</f>
        <v>23.52941176470588</v>
      </c>
      <c r="N110" s="56">
        <f>prodnorm8</f>
        <v>0</v>
      </c>
      <c r="O110" s="57">
        <f>dagwerk8</f>
        <v>0</v>
      </c>
      <c r="P110" s="53" t="s">
        <v>41</v>
      </c>
      <c r="Q110" s="58">
        <f>uurtarief8</f>
        <v>0</v>
      </c>
      <c r="R110" s="55" t="e">
        <f>IF(ISBLANK(N110),0,M110/ROUND(N110,4))</f>
        <v>#DIV/0!</v>
      </c>
      <c r="S110" s="55" t="e">
        <f>IF(ISBLANK(N110),0,R110*ROUND(O110,2))</f>
        <v>#DIV/0!</v>
      </c>
      <c r="T110" s="58" t="e">
        <f>ROUND(Q110,2)*R110</f>
        <v>#DIV/0!</v>
      </c>
      <c r="U110" s="55" t="e">
        <f>R110*dagenperjaar1</f>
        <v>#DIV/0!</v>
      </c>
      <c r="V110" s="59" t="e">
        <f>U110*ROUND(Q110,2)</f>
        <v>#DIV/0!</v>
      </c>
    </row>
    <row r="111" spans="1:22">
      <c r="A111" s="52" t="s">
        <v>168</v>
      </c>
      <c r="B111" s="53" t="s">
        <v>169</v>
      </c>
      <c r="C111" s="53" t="s">
        <v>268</v>
      </c>
      <c r="D111" s="53" t="s">
        <v>301</v>
      </c>
      <c r="E111" s="54" t="s">
        <v>228</v>
      </c>
      <c r="F111" s="53" t="s">
        <v>177</v>
      </c>
      <c r="G111" s="53" t="s">
        <v>119</v>
      </c>
      <c r="H111" s="53" t="s">
        <v>23</v>
      </c>
      <c r="I111" s="53" t="s">
        <v>120</v>
      </c>
      <c r="J111" s="53" t="s">
        <v>178</v>
      </c>
      <c r="K111" s="53" t="s">
        <v>169</v>
      </c>
      <c r="L111" s="55">
        <v>50</v>
      </c>
      <c r="M111" s="55">
        <f>L111*VLOOKUP(H111,dagsoorttabel1,2,FALSE)</f>
        <v>15.686274509803921</v>
      </c>
      <c r="N111" s="56">
        <f>prodnorm4</f>
        <v>0</v>
      </c>
      <c r="O111" s="57">
        <f>dagwerk4</f>
        <v>0</v>
      </c>
      <c r="P111" s="53" t="s">
        <v>41</v>
      </c>
      <c r="Q111" s="58">
        <f>uurtarief4</f>
        <v>0</v>
      </c>
      <c r="R111" s="55" t="e">
        <f>IF(ISBLANK(N111),0,M111/ROUND(N111,4))</f>
        <v>#DIV/0!</v>
      </c>
      <c r="S111" s="55" t="e">
        <f>IF(ISBLANK(N111),0,R111*ROUND(O111,2))</f>
        <v>#DIV/0!</v>
      </c>
      <c r="T111" s="58" t="e">
        <f>ROUND(Q111,2)*R111</f>
        <v>#DIV/0!</v>
      </c>
      <c r="U111" s="55" t="e">
        <f>R111*dagenperjaar1</f>
        <v>#DIV/0!</v>
      </c>
      <c r="V111" s="59" t="e">
        <f>U111*ROUND(Q111,2)</f>
        <v>#DIV/0!</v>
      </c>
    </row>
    <row r="112" spans="1:22">
      <c r="A112" s="52" t="s">
        <v>168</v>
      </c>
      <c r="B112" s="53" t="s">
        <v>169</v>
      </c>
      <c r="C112" s="53" t="s">
        <v>268</v>
      </c>
      <c r="D112" s="53" t="s">
        <v>301</v>
      </c>
      <c r="E112" s="54" t="s">
        <v>228</v>
      </c>
      <c r="F112" s="53" t="s">
        <v>177</v>
      </c>
      <c r="G112" s="53" t="s">
        <v>126</v>
      </c>
      <c r="H112" s="53" t="s">
        <v>20</v>
      </c>
      <c r="I112" s="53" t="s">
        <v>120</v>
      </c>
      <c r="J112" s="53" t="s">
        <v>178</v>
      </c>
      <c r="K112" s="53" t="s">
        <v>169</v>
      </c>
      <c r="L112" s="55">
        <v>50</v>
      </c>
      <c r="M112" s="55">
        <f>L112*VLOOKUP(H112,dagsoorttabel1,2,FALSE)</f>
        <v>23.52941176470588</v>
      </c>
      <c r="N112" s="56">
        <f>prodnorm8</f>
        <v>0</v>
      </c>
      <c r="O112" s="57">
        <f>dagwerk8</f>
        <v>0</v>
      </c>
      <c r="P112" s="53" t="s">
        <v>41</v>
      </c>
      <c r="Q112" s="58">
        <f>uurtarief8</f>
        <v>0</v>
      </c>
      <c r="R112" s="55" t="e">
        <f>IF(ISBLANK(N112),0,M112/ROUND(N112,4))</f>
        <v>#DIV/0!</v>
      </c>
      <c r="S112" s="55" t="e">
        <f>IF(ISBLANK(N112),0,R112*ROUND(O112,2))</f>
        <v>#DIV/0!</v>
      </c>
      <c r="T112" s="58" t="e">
        <f>ROUND(Q112,2)*R112</f>
        <v>#DIV/0!</v>
      </c>
      <c r="U112" s="55" t="e">
        <f>R112*dagenperjaar1</f>
        <v>#DIV/0!</v>
      </c>
      <c r="V112" s="59" t="e">
        <f>U112*ROUND(Q112,2)</f>
        <v>#DIV/0!</v>
      </c>
    </row>
    <row r="113" spans="1:22">
      <c r="A113" s="52" t="s">
        <v>168</v>
      </c>
      <c r="B113" s="53" t="s">
        <v>169</v>
      </c>
      <c r="C113" s="53" t="s">
        <v>268</v>
      </c>
      <c r="D113" s="53" t="s">
        <v>302</v>
      </c>
      <c r="E113" s="54" t="s">
        <v>195</v>
      </c>
      <c r="F113" s="53" t="s">
        <v>181</v>
      </c>
      <c r="G113" s="53" t="s">
        <v>142</v>
      </c>
      <c r="H113" s="53" t="s">
        <v>18</v>
      </c>
      <c r="I113" s="53" t="s">
        <v>120</v>
      </c>
      <c r="J113" s="53" t="s">
        <v>182</v>
      </c>
      <c r="K113" s="53" t="s">
        <v>169</v>
      </c>
      <c r="L113" s="55">
        <v>2.4</v>
      </c>
      <c r="M113" s="55">
        <f>L113*VLOOKUP(H113,dagsoorttabel1,2,FALSE)</f>
        <v>1.8823529411764706</v>
      </c>
      <c r="N113" s="56">
        <f>prodnorm16</f>
        <v>0</v>
      </c>
      <c r="O113" s="57">
        <f>dagwerk16</f>
        <v>0</v>
      </c>
      <c r="P113" s="53" t="s">
        <v>41</v>
      </c>
      <c r="Q113" s="58">
        <f>uurtarief16</f>
        <v>0</v>
      </c>
      <c r="R113" s="55" t="e">
        <f>IF(ISBLANK(N113),0,M113/ROUND(N113,4))</f>
        <v>#DIV/0!</v>
      </c>
      <c r="S113" s="55" t="e">
        <f>IF(ISBLANK(N113),0,R113*ROUND(O113,2))</f>
        <v>#DIV/0!</v>
      </c>
      <c r="T113" s="58" t="e">
        <f>ROUND(Q113,2)*R113</f>
        <v>#DIV/0!</v>
      </c>
      <c r="U113" s="55" t="e">
        <f>R113*dagenperjaar1</f>
        <v>#DIV/0!</v>
      </c>
      <c r="V113" s="59" t="e">
        <f>U113*ROUND(Q113,2)</f>
        <v>#DIV/0!</v>
      </c>
    </row>
    <row r="114" spans="1:22">
      <c r="A114" s="52" t="s">
        <v>168</v>
      </c>
      <c r="B114" s="53" t="s">
        <v>169</v>
      </c>
      <c r="C114" s="53" t="s">
        <v>303</v>
      </c>
      <c r="D114" s="53" t="s">
        <v>304</v>
      </c>
      <c r="E114" s="54" t="s">
        <v>226</v>
      </c>
      <c r="F114" s="53" t="s">
        <v>177</v>
      </c>
      <c r="G114" s="53" t="s">
        <v>144</v>
      </c>
      <c r="H114" s="53" t="s">
        <v>18</v>
      </c>
      <c r="I114" s="53" t="s">
        <v>120</v>
      </c>
      <c r="J114" s="53" t="s">
        <v>174</v>
      </c>
      <c r="K114" s="53" t="s">
        <v>169</v>
      </c>
      <c r="L114" s="55">
        <v>23.1</v>
      </c>
      <c r="M114" s="55">
        <f>L114*VLOOKUP(H114,dagsoorttabel1,2,FALSE)</f>
        <v>18.117647058823529</v>
      </c>
      <c r="N114" s="56">
        <f>prodnorm17</f>
        <v>0</v>
      </c>
      <c r="O114" s="57">
        <f>dagwerk17</f>
        <v>0</v>
      </c>
      <c r="P114" s="53" t="s">
        <v>41</v>
      </c>
      <c r="Q114" s="58">
        <f>uurtarief17</f>
        <v>0</v>
      </c>
      <c r="R114" s="55" t="e">
        <f>IF(ISBLANK(N114),0,M114/ROUND(N114,4))</f>
        <v>#DIV/0!</v>
      </c>
      <c r="S114" s="55" t="e">
        <f>IF(ISBLANK(N114),0,R114*ROUND(O114,2))</f>
        <v>#DIV/0!</v>
      </c>
      <c r="T114" s="58" t="e">
        <f>ROUND(Q114,2)*R114</f>
        <v>#DIV/0!</v>
      </c>
      <c r="U114" s="55" t="e">
        <f>R114*dagenperjaar1</f>
        <v>#DIV/0!</v>
      </c>
      <c r="V114" s="59" t="e">
        <f>U114*ROUND(Q114,2)</f>
        <v>#DIV/0!</v>
      </c>
    </row>
    <row r="115" spans="1:22">
      <c r="A115" s="52" t="s">
        <v>168</v>
      </c>
      <c r="B115" s="53" t="s">
        <v>169</v>
      </c>
      <c r="C115" s="53" t="s">
        <v>303</v>
      </c>
      <c r="D115" s="53" t="s">
        <v>305</v>
      </c>
      <c r="E115" s="54" t="s">
        <v>226</v>
      </c>
      <c r="F115" s="53" t="s">
        <v>177</v>
      </c>
      <c r="G115" s="53" t="s">
        <v>144</v>
      </c>
      <c r="H115" s="53" t="s">
        <v>18</v>
      </c>
      <c r="I115" s="53" t="s">
        <v>120</v>
      </c>
      <c r="J115" s="53" t="s">
        <v>174</v>
      </c>
      <c r="K115" s="53" t="s">
        <v>169</v>
      </c>
      <c r="L115" s="55">
        <v>64.400000000000006</v>
      </c>
      <c r="M115" s="55">
        <f>L115*VLOOKUP(H115,dagsoorttabel1,2,FALSE)</f>
        <v>50.509803921568633</v>
      </c>
      <c r="N115" s="56">
        <f>prodnorm17</f>
        <v>0</v>
      </c>
      <c r="O115" s="57">
        <f>dagwerk17</f>
        <v>0</v>
      </c>
      <c r="P115" s="53" t="s">
        <v>41</v>
      </c>
      <c r="Q115" s="58">
        <f>uurtarief17</f>
        <v>0</v>
      </c>
      <c r="R115" s="55" t="e">
        <f>IF(ISBLANK(N115),0,M115/ROUND(N115,4))</f>
        <v>#DIV/0!</v>
      </c>
      <c r="S115" s="55" t="e">
        <f>IF(ISBLANK(N115),0,R115*ROUND(O115,2))</f>
        <v>#DIV/0!</v>
      </c>
      <c r="T115" s="58" t="e">
        <f>ROUND(Q115,2)*R115</f>
        <v>#DIV/0!</v>
      </c>
      <c r="U115" s="55" t="e">
        <f>R115*dagenperjaar1</f>
        <v>#DIV/0!</v>
      </c>
      <c r="V115" s="59" t="e">
        <f>U115*ROUND(Q115,2)</f>
        <v>#DIV/0!</v>
      </c>
    </row>
    <row r="116" spans="1:22">
      <c r="A116" s="52" t="s">
        <v>168</v>
      </c>
      <c r="B116" s="53" t="s">
        <v>169</v>
      </c>
      <c r="C116" s="53" t="s">
        <v>303</v>
      </c>
      <c r="D116" s="53" t="s">
        <v>306</v>
      </c>
      <c r="E116" s="54" t="s">
        <v>228</v>
      </c>
      <c r="F116" s="53" t="s">
        <v>173</v>
      </c>
      <c r="G116" s="53" t="s">
        <v>119</v>
      </c>
      <c r="H116" s="53" t="s">
        <v>23</v>
      </c>
      <c r="I116" s="53" t="s">
        <v>120</v>
      </c>
      <c r="J116" s="53" t="s">
        <v>178</v>
      </c>
      <c r="K116" s="53" t="s">
        <v>169</v>
      </c>
      <c r="L116" s="55">
        <v>61.4</v>
      </c>
      <c r="M116" s="55">
        <f>L116*VLOOKUP(H116,dagsoorttabel1,2,FALSE)</f>
        <v>19.262745098039215</v>
      </c>
      <c r="N116" s="56">
        <f>prodnorm4</f>
        <v>0</v>
      </c>
      <c r="O116" s="57">
        <f>dagwerk4</f>
        <v>0</v>
      </c>
      <c r="P116" s="53" t="s">
        <v>41</v>
      </c>
      <c r="Q116" s="58">
        <f>uurtarief4</f>
        <v>0</v>
      </c>
      <c r="R116" s="55" t="e">
        <f>IF(ISBLANK(N116),0,M116/ROUND(N116,4))</f>
        <v>#DIV/0!</v>
      </c>
      <c r="S116" s="55" t="e">
        <f>IF(ISBLANK(N116),0,R116*ROUND(O116,2))</f>
        <v>#DIV/0!</v>
      </c>
      <c r="T116" s="58" t="e">
        <f>ROUND(Q116,2)*R116</f>
        <v>#DIV/0!</v>
      </c>
      <c r="U116" s="55" t="e">
        <f>R116*dagenperjaar1</f>
        <v>#DIV/0!</v>
      </c>
      <c r="V116" s="59" t="e">
        <f>U116*ROUND(Q116,2)</f>
        <v>#DIV/0!</v>
      </c>
    </row>
    <row r="117" spans="1:22">
      <c r="A117" s="52" t="s">
        <v>168</v>
      </c>
      <c r="B117" s="53" t="s">
        <v>169</v>
      </c>
      <c r="C117" s="53" t="s">
        <v>303</v>
      </c>
      <c r="D117" s="53" t="s">
        <v>306</v>
      </c>
      <c r="E117" s="54" t="s">
        <v>228</v>
      </c>
      <c r="F117" s="53" t="s">
        <v>173</v>
      </c>
      <c r="G117" s="53" t="s">
        <v>128</v>
      </c>
      <c r="H117" s="53" t="s">
        <v>20</v>
      </c>
      <c r="I117" s="53" t="s">
        <v>120</v>
      </c>
      <c r="J117" s="53" t="s">
        <v>178</v>
      </c>
      <c r="K117" s="53" t="s">
        <v>169</v>
      </c>
      <c r="L117" s="55">
        <v>61.4</v>
      </c>
      <c r="M117" s="55">
        <f>L117*VLOOKUP(H117,dagsoorttabel1,2,FALSE)</f>
        <v>28.894117647058824</v>
      </c>
      <c r="N117" s="56">
        <f>prodnorm9</f>
        <v>0</v>
      </c>
      <c r="O117" s="57">
        <f>dagwerk9</f>
        <v>0</v>
      </c>
      <c r="P117" s="53" t="s">
        <v>41</v>
      </c>
      <c r="Q117" s="58">
        <f>uurtarief9</f>
        <v>0</v>
      </c>
      <c r="R117" s="55" t="e">
        <f>IF(ISBLANK(N117),0,M117/ROUND(N117,4))</f>
        <v>#DIV/0!</v>
      </c>
      <c r="S117" s="55" t="e">
        <f>IF(ISBLANK(N117),0,R117*ROUND(O117,2))</f>
        <v>#DIV/0!</v>
      </c>
      <c r="T117" s="58" t="e">
        <f>ROUND(Q117,2)*R117</f>
        <v>#DIV/0!</v>
      </c>
      <c r="U117" s="55" t="e">
        <f>R117*dagenperjaar1</f>
        <v>#DIV/0!</v>
      </c>
      <c r="V117" s="59" t="e">
        <f>U117*ROUND(Q117,2)</f>
        <v>#DIV/0!</v>
      </c>
    </row>
    <row r="118" spans="1:22">
      <c r="A118" s="52" t="s">
        <v>168</v>
      </c>
      <c r="B118" s="53" t="s">
        <v>169</v>
      </c>
      <c r="C118" s="53" t="s">
        <v>303</v>
      </c>
      <c r="D118" s="53" t="s">
        <v>307</v>
      </c>
      <c r="E118" s="54" t="s">
        <v>228</v>
      </c>
      <c r="F118" s="53" t="s">
        <v>177</v>
      </c>
      <c r="G118" s="53" t="s">
        <v>119</v>
      </c>
      <c r="H118" s="53" t="s">
        <v>23</v>
      </c>
      <c r="I118" s="53" t="s">
        <v>120</v>
      </c>
      <c r="J118" s="53" t="s">
        <v>178</v>
      </c>
      <c r="K118" s="53" t="s">
        <v>169</v>
      </c>
      <c r="L118" s="55">
        <v>57.8</v>
      </c>
      <c r="M118" s="55">
        <f>L118*VLOOKUP(H118,dagsoorttabel1,2,FALSE)</f>
        <v>18.133333333333333</v>
      </c>
      <c r="N118" s="56">
        <f>prodnorm4</f>
        <v>0</v>
      </c>
      <c r="O118" s="57">
        <f>dagwerk4</f>
        <v>0</v>
      </c>
      <c r="P118" s="53" t="s">
        <v>41</v>
      </c>
      <c r="Q118" s="58">
        <f>uurtarief4</f>
        <v>0</v>
      </c>
      <c r="R118" s="55" t="e">
        <f>IF(ISBLANK(N118),0,M118/ROUND(N118,4))</f>
        <v>#DIV/0!</v>
      </c>
      <c r="S118" s="55" t="e">
        <f>IF(ISBLANK(N118),0,R118*ROUND(O118,2))</f>
        <v>#DIV/0!</v>
      </c>
      <c r="T118" s="58" t="e">
        <f>ROUND(Q118,2)*R118</f>
        <v>#DIV/0!</v>
      </c>
      <c r="U118" s="55" t="e">
        <f>R118*dagenperjaar1</f>
        <v>#DIV/0!</v>
      </c>
      <c r="V118" s="59" t="e">
        <f>U118*ROUND(Q118,2)</f>
        <v>#DIV/0!</v>
      </c>
    </row>
    <row r="119" spans="1:22">
      <c r="A119" s="52" t="s">
        <v>168</v>
      </c>
      <c r="B119" s="53" t="s">
        <v>169</v>
      </c>
      <c r="C119" s="53" t="s">
        <v>303</v>
      </c>
      <c r="D119" s="53" t="s">
        <v>307</v>
      </c>
      <c r="E119" s="54" t="s">
        <v>228</v>
      </c>
      <c r="F119" s="53" t="s">
        <v>177</v>
      </c>
      <c r="G119" s="53" t="s">
        <v>126</v>
      </c>
      <c r="H119" s="53" t="s">
        <v>20</v>
      </c>
      <c r="I119" s="53" t="s">
        <v>120</v>
      </c>
      <c r="J119" s="53" t="s">
        <v>178</v>
      </c>
      <c r="K119" s="53" t="s">
        <v>169</v>
      </c>
      <c r="L119" s="55">
        <v>57.8</v>
      </c>
      <c r="M119" s="55">
        <f>L119*VLOOKUP(H119,dagsoorttabel1,2,FALSE)</f>
        <v>27.2</v>
      </c>
      <c r="N119" s="56">
        <f>prodnorm8</f>
        <v>0</v>
      </c>
      <c r="O119" s="57">
        <f>dagwerk8</f>
        <v>0</v>
      </c>
      <c r="P119" s="53" t="s">
        <v>41</v>
      </c>
      <c r="Q119" s="58">
        <f>uurtarief8</f>
        <v>0</v>
      </c>
      <c r="R119" s="55" t="e">
        <f>IF(ISBLANK(N119),0,M119/ROUND(N119,4))</f>
        <v>#DIV/0!</v>
      </c>
      <c r="S119" s="55" t="e">
        <f>IF(ISBLANK(N119),0,R119*ROUND(O119,2))</f>
        <v>#DIV/0!</v>
      </c>
      <c r="T119" s="58" t="e">
        <f>ROUND(Q119,2)*R119</f>
        <v>#DIV/0!</v>
      </c>
      <c r="U119" s="55" t="e">
        <f>R119*dagenperjaar1</f>
        <v>#DIV/0!</v>
      </c>
      <c r="V119" s="59" t="e">
        <f>U119*ROUND(Q119,2)</f>
        <v>#DIV/0!</v>
      </c>
    </row>
    <row r="120" spans="1:22">
      <c r="A120" s="52" t="s">
        <v>168</v>
      </c>
      <c r="B120" s="53" t="s">
        <v>169</v>
      </c>
      <c r="C120" s="53" t="s">
        <v>303</v>
      </c>
      <c r="D120" s="53" t="s">
        <v>308</v>
      </c>
      <c r="E120" s="54" t="s">
        <v>228</v>
      </c>
      <c r="F120" s="53" t="s">
        <v>177</v>
      </c>
      <c r="G120" s="53" t="s">
        <v>119</v>
      </c>
      <c r="H120" s="53" t="s">
        <v>23</v>
      </c>
      <c r="I120" s="53" t="s">
        <v>120</v>
      </c>
      <c r="J120" s="53" t="s">
        <v>178</v>
      </c>
      <c r="K120" s="53" t="s">
        <v>169</v>
      </c>
      <c r="L120" s="55">
        <v>57.8</v>
      </c>
      <c r="M120" s="55">
        <f>L120*VLOOKUP(H120,dagsoorttabel1,2,FALSE)</f>
        <v>18.133333333333333</v>
      </c>
      <c r="N120" s="56">
        <f>prodnorm4</f>
        <v>0</v>
      </c>
      <c r="O120" s="57">
        <f>dagwerk4</f>
        <v>0</v>
      </c>
      <c r="P120" s="53" t="s">
        <v>41</v>
      </c>
      <c r="Q120" s="58">
        <f>uurtarief4</f>
        <v>0</v>
      </c>
      <c r="R120" s="55" t="e">
        <f>IF(ISBLANK(N120),0,M120/ROUND(N120,4))</f>
        <v>#DIV/0!</v>
      </c>
      <c r="S120" s="55" t="e">
        <f>IF(ISBLANK(N120),0,R120*ROUND(O120,2))</f>
        <v>#DIV/0!</v>
      </c>
      <c r="T120" s="58" t="e">
        <f>ROUND(Q120,2)*R120</f>
        <v>#DIV/0!</v>
      </c>
      <c r="U120" s="55" t="e">
        <f>R120*dagenperjaar1</f>
        <v>#DIV/0!</v>
      </c>
      <c r="V120" s="59" t="e">
        <f>U120*ROUND(Q120,2)</f>
        <v>#DIV/0!</v>
      </c>
    </row>
    <row r="121" spans="1:22">
      <c r="A121" s="52" t="s">
        <v>168</v>
      </c>
      <c r="B121" s="53" t="s">
        <v>169</v>
      </c>
      <c r="C121" s="53" t="s">
        <v>303</v>
      </c>
      <c r="D121" s="53" t="s">
        <v>308</v>
      </c>
      <c r="E121" s="54" t="s">
        <v>228</v>
      </c>
      <c r="F121" s="53" t="s">
        <v>177</v>
      </c>
      <c r="G121" s="53" t="s">
        <v>126</v>
      </c>
      <c r="H121" s="53" t="s">
        <v>20</v>
      </c>
      <c r="I121" s="53" t="s">
        <v>120</v>
      </c>
      <c r="J121" s="53" t="s">
        <v>178</v>
      </c>
      <c r="K121" s="53" t="s">
        <v>169</v>
      </c>
      <c r="L121" s="55">
        <v>57.8</v>
      </c>
      <c r="M121" s="55">
        <f>L121*VLOOKUP(H121,dagsoorttabel1,2,FALSE)</f>
        <v>27.2</v>
      </c>
      <c r="N121" s="56">
        <f>prodnorm8</f>
        <v>0</v>
      </c>
      <c r="O121" s="57">
        <f>dagwerk8</f>
        <v>0</v>
      </c>
      <c r="P121" s="53" t="s">
        <v>41</v>
      </c>
      <c r="Q121" s="58">
        <f>uurtarief8</f>
        <v>0</v>
      </c>
      <c r="R121" s="55" t="e">
        <f>IF(ISBLANK(N121),0,M121/ROUND(N121,4))</f>
        <v>#DIV/0!</v>
      </c>
      <c r="S121" s="55" t="e">
        <f>IF(ISBLANK(N121),0,R121*ROUND(O121,2))</f>
        <v>#DIV/0!</v>
      </c>
      <c r="T121" s="58" t="e">
        <f>ROUND(Q121,2)*R121</f>
        <v>#DIV/0!</v>
      </c>
      <c r="U121" s="55" t="e">
        <f>R121*dagenperjaar1</f>
        <v>#DIV/0!</v>
      </c>
      <c r="V121" s="59" t="e">
        <f>U121*ROUND(Q121,2)</f>
        <v>#DIV/0!</v>
      </c>
    </row>
    <row r="122" spans="1:22">
      <c r="A122" s="52" t="s">
        <v>168</v>
      </c>
      <c r="B122" s="53" t="s">
        <v>169</v>
      </c>
      <c r="C122" s="53" t="s">
        <v>303</v>
      </c>
      <c r="D122" s="53" t="s">
        <v>309</v>
      </c>
      <c r="E122" s="54" t="s">
        <v>228</v>
      </c>
      <c r="F122" s="53" t="s">
        <v>177</v>
      </c>
      <c r="G122" s="53" t="s">
        <v>119</v>
      </c>
      <c r="H122" s="53" t="s">
        <v>23</v>
      </c>
      <c r="I122" s="53" t="s">
        <v>120</v>
      </c>
      <c r="J122" s="53" t="s">
        <v>178</v>
      </c>
      <c r="K122" s="53" t="s">
        <v>169</v>
      </c>
      <c r="L122" s="55">
        <v>90.3</v>
      </c>
      <c r="M122" s="55">
        <f>L122*VLOOKUP(H122,dagsoorttabel1,2,FALSE)</f>
        <v>28.329411764705881</v>
      </c>
      <c r="N122" s="56">
        <f>prodnorm4</f>
        <v>0</v>
      </c>
      <c r="O122" s="57">
        <f>dagwerk4</f>
        <v>0</v>
      </c>
      <c r="P122" s="53" t="s">
        <v>41</v>
      </c>
      <c r="Q122" s="58">
        <f>uurtarief4</f>
        <v>0</v>
      </c>
      <c r="R122" s="55" t="e">
        <f>IF(ISBLANK(N122),0,M122/ROUND(N122,4))</f>
        <v>#DIV/0!</v>
      </c>
      <c r="S122" s="55" t="e">
        <f>IF(ISBLANK(N122),0,R122*ROUND(O122,2))</f>
        <v>#DIV/0!</v>
      </c>
      <c r="T122" s="58" t="e">
        <f>ROUND(Q122,2)*R122</f>
        <v>#DIV/0!</v>
      </c>
      <c r="U122" s="55" t="e">
        <f>R122*dagenperjaar1</f>
        <v>#DIV/0!</v>
      </c>
      <c r="V122" s="59" t="e">
        <f>U122*ROUND(Q122,2)</f>
        <v>#DIV/0!</v>
      </c>
    </row>
    <row r="123" spans="1:22">
      <c r="A123" s="52" t="s">
        <v>168</v>
      </c>
      <c r="B123" s="53" t="s">
        <v>169</v>
      </c>
      <c r="C123" s="53" t="s">
        <v>303</v>
      </c>
      <c r="D123" s="53" t="s">
        <v>309</v>
      </c>
      <c r="E123" s="54" t="s">
        <v>228</v>
      </c>
      <c r="F123" s="53" t="s">
        <v>177</v>
      </c>
      <c r="G123" s="53" t="s">
        <v>126</v>
      </c>
      <c r="H123" s="53" t="s">
        <v>20</v>
      </c>
      <c r="I123" s="53" t="s">
        <v>120</v>
      </c>
      <c r="J123" s="53" t="s">
        <v>178</v>
      </c>
      <c r="K123" s="53" t="s">
        <v>169</v>
      </c>
      <c r="L123" s="55">
        <v>90.3</v>
      </c>
      <c r="M123" s="55">
        <f>L123*VLOOKUP(H123,dagsoorttabel1,2,FALSE)</f>
        <v>42.494117647058822</v>
      </c>
      <c r="N123" s="56">
        <f>prodnorm8</f>
        <v>0</v>
      </c>
      <c r="O123" s="57">
        <f>dagwerk8</f>
        <v>0</v>
      </c>
      <c r="P123" s="53" t="s">
        <v>41</v>
      </c>
      <c r="Q123" s="58">
        <f>uurtarief8</f>
        <v>0</v>
      </c>
      <c r="R123" s="55" t="e">
        <f>IF(ISBLANK(N123),0,M123/ROUND(N123,4))</f>
        <v>#DIV/0!</v>
      </c>
      <c r="S123" s="55" t="e">
        <f>IF(ISBLANK(N123),0,R123*ROUND(O123,2))</f>
        <v>#DIV/0!</v>
      </c>
      <c r="T123" s="58" t="e">
        <f>ROUND(Q123,2)*R123</f>
        <v>#DIV/0!</v>
      </c>
      <c r="U123" s="55" t="e">
        <f>R123*dagenperjaar1</f>
        <v>#DIV/0!</v>
      </c>
      <c r="V123" s="59" t="e">
        <f>U123*ROUND(Q123,2)</f>
        <v>#DIV/0!</v>
      </c>
    </row>
    <row r="124" spans="1:22">
      <c r="A124" s="52" t="s">
        <v>168</v>
      </c>
      <c r="B124" s="53" t="s">
        <v>169</v>
      </c>
      <c r="C124" s="53" t="s">
        <v>303</v>
      </c>
      <c r="D124" s="53" t="s">
        <v>310</v>
      </c>
      <c r="E124" s="54" t="s">
        <v>190</v>
      </c>
      <c r="F124" s="53" t="s">
        <v>181</v>
      </c>
      <c r="G124" s="53" t="s">
        <v>144</v>
      </c>
      <c r="H124" s="53" t="s">
        <v>18</v>
      </c>
      <c r="I124" s="53" t="s">
        <v>120</v>
      </c>
      <c r="J124" s="53" t="s">
        <v>174</v>
      </c>
      <c r="K124" s="53" t="s">
        <v>169</v>
      </c>
      <c r="L124" s="55">
        <v>6.2</v>
      </c>
      <c r="M124" s="55">
        <f>L124*VLOOKUP(H124,dagsoorttabel1,2,FALSE)</f>
        <v>4.8627450980392162</v>
      </c>
      <c r="N124" s="56">
        <f>prodnorm17</f>
        <v>0</v>
      </c>
      <c r="O124" s="57">
        <f>dagwerk17</f>
        <v>0</v>
      </c>
      <c r="P124" s="53" t="s">
        <v>41</v>
      </c>
      <c r="Q124" s="58">
        <f>uurtarief17</f>
        <v>0</v>
      </c>
      <c r="R124" s="55" t="e">
        <f>IF(ISBLANK(N124),0,M124/ROUND(N124,4))</f>
        <v>#DIV/0!</v>
      </c>
      <c r="S124" s="55" t="e">
        <f>IF(ISBLANK(N124),0,R124*ROUND(O124,2))</f>
        <v>#DIV/0!</v>
      </c>
      <c r="T124" s="58" t="e">
        <f>ROUND(Q124,2)*R124</f>
        <v>#DIV/0!</v>
      </c>
      <c r="U124" s="55" t="e">
        <f>R124*dagenperjaar1</f>
        <v>#DIV/0!</v>
      </c>
      <c r="V124" s="59" t="e">
        <f>U124*ROUND(Q124,2)</f>
        <v>#DIV/0!</v>
      </c>
    </row>
    <row r="125" spans="1:22">
      <c r="A125" s="52" t="s">
        <v>168</v>
      </c>
      <c r="B125" s="53" t="s">
        <v>169</v>
      </c>
      <c r="C125" s="53" t="s">
        <v>303</v>
      </c>
      <c r="D125" s="53" t="s">
        <v>311</v>
      </c>
      <c r="E125" s="54" t="s">
        <v>228</v>
      </c>
      <c r="F125" s="53" t="s">
        <v>177</v>
      </c>
      <c r="G125" s="53" t="s">
        <v>119</v>
      </c>
      <c r="H125" s="53" t="s">
        <v>23</v>
      </c>
      <c r="I125" s="53" t="s">
        <v>120</v>
      </c>
      <c r="J125" s="53" t="s">
        <v>178</v>
      </c>
      <c r="K125" s="53" t="s">
        <v>169</v>
      </c>
      <c r="L125" s="55">
        <v>96.5</v>
      </c>
      <c r="M125" s="55">
        <f>L125*VLOOKUP(H125,dagsoorttabel1,2,FALSE)</f>
        <v>30.274509803921568</v>
      </c>
      <c r="N125" s="56">
        <f>prodnorm4</f>
        <v>0</v>
      </c>
      <c r="O125" s="57">
        <f>dagwerk4</f>
        <v>0</v>
      </c>
      <c r="P125" s="53" t="s">
        <v>41</v>
      </c>
      <c r="Q125" s="58">
        <f>uurtarief4</f>
        <v>0</v>
      </c>
      <c r="R125" s="55" t="e">
        <f>IF(ISBLANK(N125),0,M125/ROUND(N125,4))</f>
        <v>#DIV/0!</v>
      </c>
      <c r="S125" s="55" t="e">
        <f>IF(ISBLANK(N125),0,R125*ROUND(O125,2))</f>
        <v>#DIV/0!</v>
      </c>
      <c r="T125" s="58" t="e">
        <f>ROUND(Q125,2)*R125</f>
        <v>#DIV/0!</v>
      </c>
      <c r="U125" s="55" t="e">
        <f>R125*dagenperjaar1</f>
        <v>#DIV/0!</v>
      </c>
      <c r="V125" s="59" t="e">
        <f>U125*ROUND(Q125,2)</f>
        <v>#DIV/0!</v>
      </c>
    </row>
    <row r="126" spans="1:22">
      <c r="A126" s="52" t="s">
        <v>168</v>
      </c>
      <c r="B126" s="53" t="s">
        <v>169</v>
      </c>
      <c r="C126" s="53" t="s">
        <v>303</v>
      </c>
      <c r="D126" s="53" t="s">
        <v>311</v>
      </c>
      <c r="E126" s="54" t="s">
        <v>228</v>
      </c>
      <c r="F126" s="53" t="s">
        <v>177</v>
      </c>
      <c r="G126" s="53" t="s">
        <v>126</v>
      </c>
      <c r="H126" s="53" t="s">
        <v>20</v>
      </c>
      <c r="I126" s="53" t="s">
        <v>120</v>
      </c>
      <c r="J126" s="53" t="s">
        <v>178</v>
      </c>
      <c r="K126" s="53" t="s">
        <v>169</v>
      </c>
      <c r="L126" s="55">
        <v>96.5</v>
      </c>
      <c r="M126" s="55">
        <f>L126*VLOOKUP(H126,dagsoorttabel1,2,FALSE)</f>
        <v>45.411764705882355</v>
      </c>
      <c r="N126" s="56">
        <f>prodnorm8</f>
        <v>0</v>
      </c>
      <c r="O126" s="57">
        <f>dagwerk8</f>
        <v>0</v>
      </c>
      <c r="P126" s="53" t="s">
        <v>41</v>
      </c>
      <c r="Q126" s="58">
        <f>uurtarief8</f>
        <v>0</v>
      </c>
      <c r="R126" s="55" t="e">
        <f>IF(ISBLANK(N126),0,M126/ROUND(N126,4))</f>
        <v>#DIV/0!</v>
      </c>
      <c r="S126" s="55" t="e">
        <f>IF(ISBLANK(N126),0,R126*ROUND(O126,2))</f>
        <v>#DIV/0!</v>
      </c>
      <c r="T126" s="58" t="e">
        <f>ROUND(Q126,2)*R126</f>
        <v>#DIV/0!</v>
      </c>
      <c r="U126" s="55" t="e">
        <f>R126*dagenperjaar1</f>
        <v>#DIV/0!</v>
      </c>
      <c r="V126" s="59" t="e">
        <f>U126*ROUND(Q126,2)</f>
        <v>#DIV/0!</v>
      </c>
    </row>
    <row r="127" spans="1:22">
      <c r="A127" s="52" t="s">
        <v>168</v>
      </c>
      <c r="B127" s="53" t="s">
        <v>169</v>
      </c>
      <c r="C127" s="53" t="s">
        <v>303</v>
      </c>
      <c r="D127" s="53" t="s">
        <v>312</v>
      </c>
      <c r="E127" s="54" t="s">
        <v>226</v>
      </c>
      <c r="F127" s="53" t="s">
        <v>177</v>
      </c>
      <c r="G127" s="53" t="s">
        <v>144</v>
      </c>
      <c r="H127" s="53" t="s">
        <v>18</v>
      </c>
      <c r="I127" s="53" t="s">
        <v>120</v>
      </c>
      <c r="J127" s="53" t="s">
        <v>174</v>
      </c>
      <c r="K127" s="53" t="s">
        <v>169</v>
      </c>
      <c r="L127" s="55">
        <v>101.4</v>
      </c>
      <c r="M127" s="55">
        <f>L127*VLOOKUP(H127,dagsoorttabel1,2,FALSE)</f>
        <v>79.529411764705884</v>
      </c>
      <c r="N127" s="56">
        <f>prodnorm17</f>
        <v>0</v>
      </c>
      <c r="O127" s="57">
        <f>dagwerk17</f>
        <v>0</v>
      </c>
      <c r="P127" s="53" t="s">
        <v>41</v>
      </c>
      <c r="Q127" s="58">
        <f>uurtarief17</f>
        <v>0</v>
      </c>
      <c r="R127" s="55" t="e">
        <f>IF(ISBLANK(N127),0,M127/ROUND(N127,4))</f>
        <v>#DIV/0!</v>
      </c>
      <c r="S127" s="55" t="e">
        <f>IF(ISBLANK(N127),0,R127*ROUND(O127,2))</f>
        <v>#DIV/0!</v>
      </c>
      <c r="T127" s="58" t="e">
        <f>ROUND(Q127,2)*R127</f>
        <v>#DIV/0!</v>
      </c>
      <c r="U127" s="55" t="e">
        <f>R127*dagenperjaar1</f>
        <v>#DIV/0!</v>
      </c>
      <c r="V127" s="59" t="e">
        <f>U127*ROUND(Q127,2)</f>
        <v>#DIV/0!</v>
      </c>
    </row>
    <row r="128" spans="1:22">
      <c r="A128" s="52" t="s">
        <v>168</v>
      </c>
      <c r="B128" s="53" t="s">
        <v>169</v>
      </c>
      <c r="C128" s="53" t="s">
        <v>303</v>
      </c>
      <c r="D128" s="53" t="s">
        <v>313</v>
      </c>
      <c r="E128" s="54" t="s">
        <v>228</v>
      </c>
      <c r="F128" s="53" t="s">
        <v>173</v>
      </c>
      <c r="G128" s="53" t="s">
        <v>119</v>
      </c>
      <c r="H128" s="53" t="s">
        <v>23</v>
      </c>
      <c r="I128" s="53" t="s">
        <v>120</v>
      </c>
      <c r="J128" s="53" t="s">
        <v>178</v>
      </c>
      <c r="K128" s="53" t="s">
        <v>169</v>
      </c>
      <c r="L128" s="55">
        <v>64.7</v>
      </c>
      <c r="M128" s="55">
        <f>L128*VLOOKUP(H128,dagsoorttabel1,2,FALSE)</f>
        <v>20.298039215686273</v>
      </c>
      <c r="N128" s="56">
        <f>prodnorm4</f>
        <v>0</v>
      </c>
      <c r="O128" s="57">
        <f>dagwerk4</f>
        <v>0</v>
      </c>
      <c r="P128" s="53" t="s">
        <v>41</v>
      </c>
      <c r="Q128" s="58">
        <f>uurtarief4</f>
        <v>0</v>
      </c>
      <c r="R128" s="55" t="e">
        <f>IF(ISBLANK(N128),0,M128/ROUND(N128,4))</f>
        <v>#DIV/0!</v>
      </c>
      <c r="S128" s="55" t="e">
        <f>IF(ISBLANK(N128),0,R128*ROUND(O128,2))</f>
        <v>#DIV/0!</v>
      </c>
      <c r="T128" s="58" t="e">
        <f>ROUND(Q128,2)*R128</f>
        <v>#DIV/0!</v>
      </c>
      <c r="U128" s="55" t="e">
        <f>R128*dagenperjaar1</f>
        <v>#DIV/0!</v>
      </c>
      <c r="V128" s="59" t="e">
        <f>U128*ROUND(Q128,2)</f>
        <v>#DIV/0!</v>
      </c>
    </row>
    <row r="129" spans="1:22">
      <c r="A129" s="52" t="s">
        <v>168</v>
      </c>
      <c r="B129" s="53" t="s">
        <v>169</v>
      </c>
      <c r="C129" s="53" t="s">
        <v>303</v>
      </c>
      <c r="D129" s="53" t="s">
        <v>313</v>
      </c>
      <c r="E129" s="54" t="s">
        <v>228</v>
      </c>
      <c r="F129" s="53" t="s">
        <v>173</v>
      </c>
      <c r="G129" s="53" t="s">
        <v>128</v>
      </c>
      <c r="H129" s="53" t="s">
        <v>20</v>
      </c>
      <c r="I129" s="53" t="s">
        <v>120</v>
      </c>
      <c r="J129" s="53" t="s">
        <v>178</v>
      </c>
      <c r="K129" s="53" t="s">
        <v>169</v>
      </c>
      <c r="L129" s="55">
        <v>64.7</v>
      </c>
      <c r="M129" s="55">
        <f>L129*VLOOKUP(H129,dagsoorttabel1,2,FALSE)</f>
        <v>30.447058823529414</v>
      </c>
      <c r="N129" s="56">
        <f>prodnorm9</f>
        <v>0</v>
      </c>
      <c r="O129" s="57">
        <f>dagwerk9</f>
        <v>0</v>
      </c>
      <c r="P129" s="53" t="s">
        <v>41</v>
      </c>
      <c r="Q129" s="58">
        <f>uurtarief9</f>
        <v>0</v>
      </c>
      <c r="R129" s="55" t="e">
        <f>IF(ISBLANK(N129),0,M129/ROUND(N129,4))</f>
        <v>#DIV/0!</v>
      </c>
      <c r="S129" s="55" t="e">
        <f>IF(ISBLANK(N129),0,R129*ROUND(O129,2))</f>
        <v>#DIV/0!</v>
      </c>
      <c r="T129" s="58" t="e">
        <f>ROUND(Q129,2)*R129</f>
        <v>#DIV/0!</v>
      </c>
      <c r="U129" s="55" t="e">
        <f>R129*dagenperjaar1</f>
        <v>#DIV/0!</v>
      </c>
      <c r="V129" s="59" t="e">
        <f>U129*ROUND(Q129,2)</f>
        <v>#DIV/0!</v>
      </c>
    </row>
    <row r="130" spans="1:22">
      <c r="A130" s="52" t="s">
        <v>168</v>
      </c>
      <c r="B130" s="53" t="s">
        <v>169</v>
      </c>
      <c r="C130" s="53" t="s">
        <v>303</v>
      </c>
      <c r="D130" s="53" t="s">
        <v>314</v>
      </c>
      <c r="E130" s="54" t="s">
        <v>195</v>
      </c>
      <c r="F130" s="53" t="s">
        <v>181</v>
      </c>
      <c r="G130" s="53" t="s">
        <v>142</v>
      </c>
      <c r="H130" s="53" t="s">
        <v>18</v>
      </c>
      <c r="I130" s="53" t="s">
        <v>120</v>
      </c>
      <c r="J130" s="53" t="s">
        <v>182</v>
      </c>
      <c r="K130" s="53" t="s">
        <v>169</v>
      </c>
      <c r="L130" s="55">
        <v>11.1</v>
      </c>
      <c r="M130" s="55">
        <f>L130*VLOOKUP(H130,dagsoorttabel1,2,FALSE)</f>
        <v>8.7058823529411757</v>
      </c>
      <c r="N130" s="56">
        <f>prodnorm16</f>
        <v>0</v>
      </c>
      <c r="O130" s="57">
        <f>dagwerk16</f>
        <v>0</v>
      </c>
      <c r="P130" s="53" t="s">
        <v>41</v>
      </c>
      <c r="Q130" s="58">
        <f>uurtarief16</f>
        <v>0</v>
      </c>
      <c r="R130" s="55" t="e">
        <f>IF(ISBLANK(N130),0,M130/ROUND(N130,4))</f>
        <v>#DIV/0!</v>
      </c>
      <c r="S130" s="55" t="e">
        <f>IF(ISBLANK(N130),0,R130*ROUND(O130,2))</f>
        <v>#DIV/0!</v>
      </c>
      <c r="T130" s="58" t="e">
        <f>ROUND(Q130,2)*R130</f>
        <v>#DIV/0!</v>
      </c>
      <c r="U130" s="55" t="e">
        <f>R130*dagenperjaar1</f>
        <v>#DIV/0!</v>
      </c>
      <c r="V130" s="59" t="e">
        <f>U130*ROUND(Q130,2)</f>
        <v>#DIV/0!</v>
      </c>
    </row>
    <row r="131" spans="1:22">
      <c r="A131" s="52" t="s">
        <v>168</v>
      </c>
      <c r="B131" s="53" t="s">
        <v>169</v>
      </c>
      <c r="C131" s="53" t="s">
        <v>303</v>
      </c>
      <c r="D131" s="53" t="s">
        <v>315</v>
      </c>
      <c r="E131" s="54" t="s">
        <v>195</v>
      </c>
      <c r="F131" s="53" t="s">
        <v>181</v>
      </c>
      <c r="G131" s="53" t="s">
        <v>142</v>
      </c>
      <c r="H131" s="53" t="s">
        <v>18</v>
      </c>
      <c r="I131" s="53" t="s">
        <v>120</v>
      </c>
      <c r="J131" s="53" t="s">
        <v>182</v>
      </c>
      <c r="K131" s="53" t="s">
        <v>169</v>
      </c>
      <c r="L131" s="55">
        <v>11.3</v>
      </c>
      <c r="M131" s="55">
        <f>L131*VLOOKUP(H131,dagsoorttabel1,2,FALSE)</f>
        <v>8.8627450980392162</v>
      </c>
      <c r="N131" s="56">
        <f>prodnorm16</f>
        <v>0</v>
      </c>
      <c r="O131" s="57">
        <f>dagwerk16</f>
        <v>0</v>
      </c>
      <c r="P131" s="53" t="s">
        <v>41</v>
      </c>
      <c r="Q131" s="58">
        <f>uurtarief16</f>
        <v>0</v>
      </c>
      <c r="R131" s="55" t="e">
        <f>IF(ISBLANK(N131),0,M131/ROUND(N131,4))</f>
        <v>#DIV/0!</v>
      </c>
      <c r="S131" s="55" t="e">
        <f>IF(ISBLANK(N131),0,R131*ROUND(O131,2))</f>
        <v>#DIV/0!</v>
      </c>
      <c r="T131" s="58" t="e">
        <f>ROUND(Q131,2)*R131</f>
        <v>#DIV/0!</v>
      </c>
      <c r="U131" s="55" t="e">
        <f>R131*dagenperjaar1</f>
        <v>#DIV/0!</v>
      </c>
      <c r="V131" s="59" t="e">
        <f>U131*ROUND(Q131,2)</f>
        <v>#DIV/0!</v>
      </c>
    </row>
    <row r="132" spans="1:22">
      <c r="A132" s="52" t="s">
        <v>168</v>
      </c>
      <c r="B132" s="53" t="s">
        <v>169</v>
      </c>
      <c r="C132" s="53" t="s">
        <v>303</v>
      </c>
      <c r="D132" s="53" t="s">
        <v>316</v>
      </c>
      <c r="E132" s="54" t="s">
        <v>228</v>
      </c>
      <c r="F132" s="53" t="s">
        <v>173</v>
      </c>
      <c r="G132" s="53" t="s">
        <v>119</v>
      </c>
      <c r="H132" s="53" t="s">
        <v>23</v>
      </c>
      <c r="I132" s="53" t="s">
        <v>120</v>
      </c>
      <c r="J132" s="53" t="s">
        <v>178</v>
      </c>
      <c r="K132" s="53" t="s">
        <v>169</v>
      </c>
      <c r="L132" s="55">
        <v>250</v>
      </c>
      <c r="M132" s="55">
        <f>L132*VLOOKUP(H132,dagsoorttabel1,2,FALSE)</f>
        <v>78.431372549019613</v>
      </c>
      <c r="N132" s="56">
        <f>prodnorm4</f>
        <v>0</v>
      </c>
      <c r="O132" s="57">
        <f>dagwerk4</f>
        <v>0</v>
      </c>
      <c r="P132" s="53" t="s">
        <v>41</v>
      </c>
      <c r="Q132" s="58">
        <f>uurtarief4</f>
        <v>0</v>
      </c>
      <c r="R132" s="55" t="e">
        <f>IF(ISBLANK(N132),0,M132/ROUND(N132,4))</f>
        <v>#DIV/0!</v>
      </c>
      <c r="S132" s="55" t="e">
        <f>IF(ISBLANK(N132),0,R132*ROUND(O132,2))</f>
        <v>#DIV/0!</v>
      </c>
      <c r="T132" s="58" t="e">
        <f>ROUND(Q132,2)*R132</f>
        <v>#DIV/0!</v>
      </c>
      <c r="U132" s="55" t="e">
        <f>R132*dagenperjaar1</f>
        <v>#DIV/0!</v>
      </c>
      <c r="V132" s="59" t="e">
        <f>U132*ROUND(Q132,2)</f>
        <v>#DIV/0!</v>
      </c>
    </row>
    <row r="133" spans="1:22">
      <c r="A133" s="52" t="s">
        <v>168</v>
      </c>
      <c r="B133" s="53" t="s">
        <v>169</v>
      </c>
      <c r="C133" s="53" t="s">
        <v>303</v>
      </c>
      <c r="D133" s="53" t="s">
        <v>316</v>
      </c>
      <c r="E133" s="54" t="s">
        <v>228</v>
      </c>
      <c r="F133" s="53" t="s">
        <v>173</v>
      </c>
      <c r="G133" s="53" t="s">
        <v>128</v>
      </c>
      <c r="H133" s="53" t="s">
        <v>20</v>
      </c>
      <c r="I133" s="53" t="s">
        <v>120</v>
      </c>
      <c r="J133" s="53" t="s">
        <v>178</v>
      </c>
      <c r="K133" s="53" t="s">
        <v>169</v>
      </c>
      <c r="L133" s="55">
        <v>250</v>
      </c>
      <c r="M133" s="55">
        <f>L133*VLOOKUP(H133,dagsoorttabel1,2,FALSE)</f>
        <v>117.64705882352941</v>
      </c>
      <c r="N133" s="56">
        <f>prodnorm9</f>
        <v>0</v>
      </c>
      <c r="O133" s="57">
        <f>dagwerk9</f>
        <v>0</v>
      </c>
      <c r="P133" s="53" t="s">
        <v>41</v>
      </c>
      <c r="Q133" s="58">
        <f>uurtarief9</f>
        <v>0</v>
      </c>
      <c r="R133" s="55" t="e">
        <f>IF(ISBLANK(N133),0,M133/ROUND(N133,4))</f>
        <v>#DIV/0!</v>
      </c>
      <c r="S133" s="55" t="e">
        <f>IF(ISBLANK(N133),0,R133*ROUND(O133,2))</f>
        <v>#DIV/0!</v>
      </c>
      <c r="T133" s="58" t="e">
        <f>ROUND(Q133,2)*R133</f>
        <v>#DIV/0!</v>
      </c>
      <c r="U133" s="55" t="e">
        <f>R133*dagenperjaar1</f>
        <v>#DIV/0!</v>
      </c>
      <c r="V133" s="59" t="e">
        <f>U133*ROUND(Q133,2)</f>
        <v>#DIV/0!</v>
      </c>
    </row>
    <row r="134" spans="1:22">
      <c r="A134" s="52" t="s">
        <v>168</v>
      </c>
      <c r="B134" s="53" t="s">
        <v>169</v>
      </c>
      <c r="C134" s="53" t="s">
        <v>303</v>
      </c>
      <c r="D134" s="53" t="s">
        <v>317</v>
      </c>
      <c r="E134" s="54" t="s">
        <v>190</v>
      </c>
      <c r="F134" s="53" t="s">
        <v>177</v>
      </c>
      <c r="G134" s="53" t="s">
        <v>144</v>
      </c>
      <c r="H134" s="53" t="s">
        <v>18</v>
      </c>
      <c r="I134" s="53" t="s">
        <v>120</v>
      </c>
      <c r="J134" s="53" t="s">
        <v>174</v>
      </c>
      <c r="K134" s="53" t="s">
        <v>169</v>
      </c>
      <c r="L134" s="55">
        <v>12.3</v>
      </c>
      <c r="M134" s="55">
        <f>L134*VLOOKUP(H134,dagsoorttabel1,2,FALSE)</f>
        <v>9.647058823529413</v>
      </c>
      <c r="N134" s="56">
        <f>prodnorm17</f>
        <v>0</v>
      </c>
      <c r="O134" s="57">
        <f>dagwerk17</f>
        <v>0</v>
      </c>
      <c r="P134" s="53" t="s">
        <v>41</v>
      </c>
      <c r="Q134" s="58">
        <f>uurtarief17</f>
        <v>0</v>
      </c>
      <c r="R134" s="55" t="e">
        <f>IF(ISBLANK(N134),0,M134/ROUND(N134,4))</f>
        <v>#DIV/0!</v>
      </c>
      <c r="S134" s="55" t="e">
        <f>IF(ISBLANK(N134),0,R134*ROUND(O134,2))</f>
        <v>#DIV/0!</v>
      </c>
      <c r="T134" s="58" t="e">
        <f>ROUND(Q134,2)*R134</f>
        <v>#DIV/0!</v>
      </c>
      <c r="U134" s="55" t="e">
        <f>R134*dagenperjaar1</f>
        <v>#DIV/0!</v>
      </c>
      <c r="V134" s="59" t="e">
        <f>U134*ROUND(Q134,2)</f>
        <v>#DIV/0!</v>
      </c>
    </row>
    <row r="135" spans="1:22">
      <c r="A135" s="52" t="s">
        <v>168</v>
      </c>
      <c r="B135" s="53" t="s">
        <v>169</v>
      </c>
      <c r="C135" s="53" t="s">
        <v>303</v>
      </c>
      <c r="D135" s="53" t="s">
        <v>318</v>
      </c>
      <c r="E135" s="54" t="s">
        <v>228</v>
      </c>
      <c r="F135" s="53" t="s">
        <v>177</v>
      </c>
      <c r="G135" s="53" t="s">
        <v>119</v>
      </c>
      <c r="H135" s="53" t="s">
        <v>23</v>
      </c>
      <c r="I135" s="53" t="s">
        <v>120</v>
      </c>
      <c r="J135" s="53" t="s">
        <v>178</v>
      </c>
      <c r="K135" s="53" t="s">
        <v>169</v>
      </c>
      <c r="L135" s="55">
        <v>51.6</v>
      </c>
      <c r="M135" s="55">
        <f>L135*VLOOKUP(H135,dagsoorttabel1,2,FALSE)</f>
        <v>16.188235294117646</v>
      </c>
      <c r="N135" s="56">
        <f>prodnorm4</f>
        <v>0</v>
      </c>
      <c r="O135" s="57">
        <f>dagwerk4</f>
        <v>0</v>
      </c>
      <c r="P135" s="53" t="s">
        <v>41</v>
      </c>
      <c r="Q135" s="58">
        <f>uurtarief4</f>
        <v>0</v>
      </c>
      <c r="R135" s="55" t="e">
        <f>IF(ISBLANK(N135),0,M135/ROUND(N135,4))</f>
        <v>#DIV/0!</v>
      </c>
      <c r="S135" s="55" t="e">
        <f>IF(ISBLANK(N135),0,R135*ROUND(O135,2))</f>
        <v>#DIV/0!</v>
      </c>
      <c r="T135" s="58" t="e">
        <f>ROUND(Q135,2)*R135</f>
        <v>#DIV/0!</v>
      </c>
      <c r="U135" s="55" t="e">
        <f>R135*dagenperjaar1</f>
        <v>#DIV/0!</v>
      </c>
      <c r="V135" s="59" t="e">
        <f>U135*ROUND(Q135,2)</f>
        <v>#DIV/0!</v>
      </c>
    </row>
    <row r="136" spans="1:22">
      <c r="A136" s="52" t="s">
        <v>168</v>
      </c>
      <c r="B136" s="53" t="s">
        <v>169</v>
      </c>
      <c r="C136" s="53" t="s">
        <v>303</v>
      </c>
      <c r="D136" s="53" t="s">
        <v>318</v>
      </c>
      <c r="E136" s="54" t="s">
        <v>228</v>
      </c>
      <c r="F136" s="53" t="s">
        <v>177</v>
      </c>
      <c r="G136" s="53" t="s">
        <v>126</v>
      </c>
      <c r="H136" s="53" t="s">
        <v>20</v>
      </c>
      <c r="I136" s="53" t="s">
        <v>120</v>
      </c>
      <c r="J136" s="53" t="s">
        <v>178</v>
      </c>
      <c r="K136" s="53" t="s">
        <v>169</v>
      </c>
      <c r="L136" s="55">
        <v>51.6</v>
      </c>
      <c r="M136" s="55">
        <f>L136*VLOOKUP(H136,dagsoorttabel1,2,FALSE)</f>
        <v>24.28235294117647</v>
      </c>
      <c r="N136" s="56">
        <f>prodnorm8</f>
        <v>0</v>
      </c>
      <c r="O136" s="57">
        <f>dagwerk8</f>
        <v>0</v>
      </c>
      <c r="P136" s="53" t="s">
        <v>41</v>
      </c>
      <c r="Q136" s="58">
        <f>uurtarief8</f>
        <v>0</v>
      </c>
      <c r="R136" s="55" t="e">
        <f>IF(ISBLANK(N136),0,M136/ROUND(N136,4))</f>
        <v>#DIV/0!</v>
      </c>
      <c r="S136" s="55" t="e">
        <f>IF(ISBLANK(N136),0,R136*ROUND(O136,2))</f>
        <v>#DIV/0!</v>
      </c>
      <c r="T136" s="58" t="e">
        <f>ROUND(Q136,2)*R136</f>
        <v>#DIV/0!</v>
      </c>
      <c r="U136" s="55" t="e">
        <f>R136*dagenperjaar1</f>
        <v>#DIV/0!</v>
      </c>
      <c r="V136" s="59" t="e">
        <f>U136*ROUND(Q136,2)</f>
        <v>#DIV/0!</v>
      </c>
    </row>
    <row r="137" spans="1:22">
      <c r="A137" s="52" t="s">
        <v>168</v>
      </c>
      <c r="B137" s="53" t="s">
        <v>169</v>
      </c>
      <c r="C137" s="53" t="s">
        <v>303</v>
      </c>
      <c r="D137" s="53" t="s">
        <v>319</v>
      </c>
      <c r="E137" s="54" t="s">
        <v>228</v>
      </c>
      <c r="F137" s="53" t="s">
        <v>177</v>
      </c>
      <c r="G137" s="53" t="s">
        <v>119</v>
      </c>
      <c r="H137" s="53" t="s">
        <v>23</v>
      </c>
      <c r="I137" s="53" t="s">
        <v>120</v>
      </c>
      <c r="J137" s="53" t="s">
        <v>178</v>
      </c>
      <c r="K137" s="53" t="s">
        <v>169</v>
      </c>
      <c r="L137" s="55">
        <v>51.6</v>
      </c>
      <c r="M137" s="55">
        <f>L137*VLOOKUP(H137,dagsoorttabel1,2,FALSE)</f>
        <v>16.188235294117646</v>
      </c>
      <c r="N137" s="56">
        <f>prodnorm4</f>
        <v>0</v>
      </c>
      <c r="O137" s="57">
        <f>dagwerk4</f>
        <v>0</v>
      </c>
      <c r="P137" s="53" t="s">
        <v>41</v>
      </c>
      <c r="Q137" s="58">
        <f>uurtarief4</f>
        <v>0</v>
      </c>
      <c r="R137" s="55" t="e">
        <f>IF(ISBLANK(N137),0,M137/ROUND(N137,4))</f>
        <v>#DIV/0!</v>
      </c>
      <c r="S137" s="55" t="e">
        <f>IF(ISBLANK(N137),0,R137*ROUND(O137,2))</f>
        <v>#DIV/0!</v>
      </c>
      <c r="T137" s="58" t="e">
        <f>ROUND(Q137,2)*R137</f>
        <v>#DIV/0!</v>
      </c>
      <c r="U137" s="55" t="e">
        <f>R137*dagenperjaar1</f>
        <v>#DIV/0!</v>
      </c>
      <c r="V137" s="59" t="e">
        <f>U137*ROUND(Q137,2)</f>
        <v>#DIV/0!</v>
      </c>
    </row>
    <row r="138" spans="1:22">
      <c r="A138" s="52" t="s">
        <v>168</v>
      </c>
      <c r="B138" s="53" t="s">
        <v>169</v>
      </c>
      <c r="C138" s="53" t="s">
        <v>303</v>
      </c>
      <c r="D138" s="53" t="s">
        <v>319</v>
      </c>
      <c r="E138" s="54" t="s">
        <v>228</v>
      </c>
      <c r="F138" s="53" t="s">
        <v>177</v>
      </c>
      <c r="G138" s="53" t="s">
        <v>126</v>
      </c>
      <c r="H138" s="53" t="s">
        <v>20</v>
      </c>
      <c r="I138" s="53" t="s">
        <v>120</v>
      </c>
      <c r="J138" s="53" t="s">
        <v>178</v>
      </c>
      <c r="K138" s="53" t="s">
        <v>169</v>
      </c>
      <c r="L138" s="55">
        <v>51.6</v>
      </c>
      <c r="M138" s="55">
        <f>L138*VLOOKUP(H138,dagsoorttabel1,2,FALSE)</f>
        <v>24.28235294117647</v>
      </c>
      <c r="N138" s="56">
        <f>prodnorm8</f>
        <v>0</v>
      </c>
      <c r="O138" s="57">
        <f>dagwerk8</f>
        <v>0</v>
      </c>
      <c r="P138" s="53" t="s">
        <v>41</v>
      </c>
      <c r="Q138" s="58">
        <f>uurtarief8</f>
        <v>0</v>
      </c>
      <c r="R138" s="55" t="e">
        <f>IF(ISBLANK(N138),0,M138/ROUND(N138,4))</f>
        <v>#DIV/0!</v>
      </c>
      <c r="S138" s="55" t="e">
        <f>IF(ISBLANK(N138),0,R138*ROUND(O138,2))</f>
        <v>#DIV/0!</v>
      </c>
      <c r="T138" s="58" t="e">
        <f>ROUND(Q138,2)*R138</f>
        <v>#DIV/0!</v>
      </c>
      <c r="U138" s="55" t="e">
        <f>R138*dagenperjaar1</f>
        <v>#DIV/0!</v>
      </c>
      <c r="V138" s="59" t="e">
        <f>U138*ROUND(Q138,2)</f>
        <v>#DIV/0!</v>
      </c>
    </row>
    <row r="139" spans="1:22">
      <c r="A139" s="60" t="s">
        <v>168</v>
      </c>
      <c r="B139" s="61" t="s">
        <v>169</v>
      </c>
      <c r="C139" s="61" t="s">
        <v>303</v>
      </c>
      <c r="D139" s="61" t="s">
        <v>320</v>
      </c>
      <c r="E139" s="62" t="s">
        <v>195</v>
      </c>
      <c r="F139" s="61" t="s">
        <v>181</v>
      </c>
      <c r="G139" s="61" t="s">
        <v>142</v>
      </c>
      <c r="H139" s="61" t="s">
        <v>18</v>
      </c>
      <c r="I139" s="61" t="s">
        <v>120</v>
      </c>
      <c r="J139" s="61" t="s">
        <v>182</v>
      </c>
      <c r="K139" s="61" t="s">
        <v>169</v>
      </c>
      <c r="L139" s="63">
        <v>2.4</v>
      </c>
      <c r="M139" s="63">
        <f>L139*VLOOKUP(H139,dagsoorttabel1,2,FALSE)</f>
        <v>1.8823529411764706</v>
      </c>
      <c r="N139" s="64">
        <f>prodnorm16</f>
        <v>0</v>
      </c>
      <c r="O139" s="65">
        <f>dagwerk16</f>
        <v>0</v>
      </c>
      <c r="P139" s="61" t="s">
        <v>41</v>
      </c>
      <c r="Q139" s="66">
        <f>uurtarief16</f>
        <v>0</v>
      </c>
      <c r="R139" s="63" t="e">
        <f>IF(ISBLANK(N139),0,M139/ROUND(N139,4))</f>
        <v>#DIV/0!</v>
      </c>
      <c r="S139" s="63" t="e">
        <f>IF(ISBLANK(N139),0,R139*ROUND(O139,2))</f>
        <v>#DIV/0!</v>
      </c>
      <c r="T139" s="66" t="e">
        <f>ROUND(Q139,2)*R139</f>
        <v>#DIV/0!</v>
      </c>
      <c r="U139" s="63" t="e">
        <f>R139*dagenperjaar1</f>
        <v>#DIV/0!</v>
      </c>
      <c r="V139" s="67" t="e">
        <f>U139*ROUND(Q139,2)</f>
        <v>#DIV/0!</v>
      </c>
    </row>
    <row r="140" spans="1:22">
      <c r="A140" s="38" t="s">
        <v>321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105" t="e">
        <f>IF(_xlfn.SINGLE(object1_urenjaar1)&gt;0,_xlfn.SINGLE(object1_prijsjaar1)/_xlfn.SINGLE(object1_urenjaar1),0)</f>
        <v>#DIV/0!</v>
      </c>
      <c r="R140" s="104" t="e">
        <f>SUM(R5:R139)</f>
        <v>#DIV/0!</v>
      </c>
      <c r="S140" s="104" t="e">
        <f>SUM(S5:S139)</f>
        <v>#DIV/0!</v>
      </c>
      <c r="T140" s="105" t="e">
        <f>SUM(T5:T139)</f>
        <v>#DIV/0!</v>
      </c>
      <c r="U140" s="104" t="e">
        <f>SUM(U5:U139)</f>
        <v>#DIV/0!</v>
      </c>
      <c r="V140" s="105" t="e">
        <f>SUM(V5:V139)</f>
        <v>#DIV/0!</v>
      </c>
    </row>
  </sheetData>
  <pageMargins left="0.7" right="0.7" top="0.75" bottom="0.75" header="0.3" footer="0.3"/>
  <pageSetup paperSize="9" scale="61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CAFD-BACC-4D67-B375-807A21F42C56}">
  <dimension ref="A1:J23"/>
  <sheetViews>
    <sheetView workbookViewId="0"/>
  </sheetViews>
  <sheetFormatPr defaultRowHeight="12.6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>
      <c r="A1" s="1" t="s">
        <v>322</v>
      </c>
    </row>
    <row r="3" spans="1:10">
      <c r="A3" s="68" t="s">
        <v>111</v>
      </c>
      <c r="B3" s="68" t="s">
        <v>9</v>
      </c>
      <c r="C3" s="68" t="s">
        <v>323</v>
      </c>
      <c r="D3" s="68" t="s">
        <v>324</v>
      </c>
      <c r="E3" s="68" t="s">
        <v>325</v>
      </c>
      <c r="F3" s="68" t="s">
        <v>326</v>
      </c>
      <c r="G3" s="68" t="s">
        <v>327</v>
      </c>
      <c r="H3" s="68" t="s">
        <v>34</v>
      </c>
      <c r="I3" s="68" t="s">
        <v>328</v>
      </c>
      <c r="J3" s="68" t="s">
        <v>329</v>
      </c>
    </row>
    <row r="4" spans="1:10">
      <c r="A4" s="69"/>
      <c r="B4" s="69"/>
      <c r="C4" s="69"/>
      <c r="D4" s="69"/>
      <c r="E4" s="69"/>
      <c r="F4" s="69"/>
      <c r="G4" s="69"/>
      <c r="H4" s="69"/>
      <c r="I4" s="69"/>
      <c r="J4" s="70" t="s">
        <v>113</v>
      </c>
    </row>
    <row r="5" spans="1:10">
      <c r="A5" s="10" t="s">
        <v>119</v>
      </c>
      <c r="B5" s="10" t="s">
        <v>23</v>
      </c>
      <c r="C5" s="10" t="s">
        <v>330</v>
      </c>
      <c r="D5" s="10" t="s">
        <v>120</v>
      </c>
      <c r="E5" s="25">
        <f>VLOOKUP(B5,dagsoorttabel1,2,FALSE)</f>
        <v>0.31372549019607843</v>
      </c>
      <c r="F5" s="25">
        <v>1</v>
      </c>
      <c r="G5" s="25">
        <f>IF(prodnorm4&gt;0,1/ROUND(prodnorm4,4),0)</f>
        <v>0</v>
      </c>
      <c r="H5" s="27">
        <f>ROUND(dagwerk4,4+2)</f>
        <v>0</v>
      </c>
      <c r="I5" s="28">
        <f>ROUND(uurtarief4,2)</f>
        <v>0</v>
      </c>
      <c r="J5" s="25">
        <v>1922.9</v>
      </c>
    </row>
    <row r="6" spans="1:10">
      <c r="A6" s="15" t="s">
        <v>122</v>
      </c>
      <c r="B6" s="15" t="s">
        <v>18</v>
      </c>
      <c r="C6" s="15" t="s">
        <v>330</v>
      </c>
      <c r="D6" s="15" t="s">
        <v>120</v>
      </c>
      <c r="E6" s="29">
        <f>VLOOKUP(B6,dagsoorttabel1,2,FALSE)</f>
        <v>0.78431372549019607</v>
      </c>
      <c r="F6" s="29">
        <v>1</v>
      </c>
      <c r="G6" s="29">
        <f>IF(prodnorm5&gt;0,1/ROUND(prodnorm5,4),0)</f>
        <v>0</v>
      </c>
      <c r="H6" s="31">
        <f>ROUND(dagwerk5,4+2)</f>
        <v>0</v>
      </c>
      <c r="I6" s="32">
        <f>ROUND(uurtarief5,2)</f>
        <v>0</v>
      </c>
      <c r="J6" s="29">
        <v>504</v>
      </c>
    </row>
    <row r="7" spans="1:10">
      <c r="A7" s="15" t="s">
        <v>122</v>
      </c>
      <c r="B7" s="15" t="s">
        <v>24</v>
      </c>
      <c r="C7" s="15" t="s">
        <v>330</v>
      </c>
      <c r="D7" s="15" t="s">
        <v>120</v>
      </c>
      <c r="E7" s="29">
        <f>VLOOKUP(B7,dagsoorttabel1,2,FALSE)</f>
        <v>1.5686274509803921E-2</v>
      </c>
      <c r="F7" s="29">
        <v>1</v>
      </c>
      <c r="G7" s="29">
        <f>IF(prodnorm6&gt;0,1/ROUND(prodnorm6,4),0)</f>
        <v>0</v>
      </c>
      <c r="H7" s="31">
        <f>ROUND(dagwerk6,4+2)</f>
        <v>0</v>
      </c>
      <c r="I7" s="32">
        <f>ROUND(uurtarief6,2)</f>
        <v>0</v>
      </c>
      <c r="J7" s="29">
        <v>61.400000000000006</v>
      </c>
    </row>
    <row r="8" spans="1:10">
      <c r="A8" s="15" t="s">
        <v>124</v>
      </c>
      <c r="B8" s="15" t="s">
        <v>18</v>
      </c>
      <c r="C8" s="15" t="s">
        <v>330</v>
      </c>
      <c r="D8" s="15" t="s">
        <v>120</v>
      </c>
      <c r="E8" s="29">
        <f>VLOOKUP(B8,dagsoorttabel1,2,FALSE)</f>
        <v>0.78431372549019607</v>
      </c>
      <c r="F8" s="29">
        <v>1</v>
      </c>
      <c r="G8" s="29">
        <f>IF(prodnorm7&gt;0,1/ROUND(prodnorm7,4),0)</f>
        <v>0</v>
      </c>
      <c r="H8" s="31">
        <f>ROUND(dagwerk7,4+2)</f>
        <v>0</v>
      </c>
      <c r="I8" s="32">
        <f>ROUND(uurtarief7,2)</f>
        <v>0</v>
      </c>
      <c r="J8" s="29">
        <v>421.7</v>
      </c>
    </row>
    <row r="9" spans="1:10">
      <c r="A9" s="15" t="s">
        <v>126</v>
      </c>
      <c r="B9" s="15" t="s">
        <v>20</v>
      </c>
      <c r="C9" s="15" t="s">
        <v>330</v>
      </c>
      <c r="D9" s="15" t="s">
        <v>120</v>
      </c>
      <c r="E9" s="29">
        <f>VLOOKUP(B9,dagsoorttabel1,2,FALSE)</f>
        <v>0.47058823529411764</v>
      </c>
      <c r="F9" s="29">
        <v>1</v>
      </c>
      <c r="G9" s="29">
        <f>IF(prodnorm8&gt;0,1/ROUND(prodnorm8,4),0)</f>
        <v>0</v>
      </c>
      <c r="H9" s="31">
        <f>ROUND(dagwerk8,4+2)</f>
        <v>0</v>
      </c>
      <c r="I9" s="32">
        <f>ROUND(uurtarief8,2)</f>
        <v>0</v>
      </c>
      <c r="J9" s="29">
        <v>1546.8000000000002</v>
      </c>
    </row>
    <row r="10" spans="1:10">
      <c r="A10" s="15" t="s">
        <v>128</v>
      </c>
      <c r="B10" s="15" t="s">
        <v>20</v>
      </c>
      <c r="C10" s="15" t="s">
        <v>330</v>
      </c>
      <c r="D10" s="15" t="s">
        <v>120</v>
      </c>
      <c r="E10" s="29">
        <f>VLOOKUP(B10,dagsoorttabel1,2,FALSE)</f>
        <v>0.47058823529411764</v>
      </c>
      <c r="F10" s="29">
        <v>1</v>
      </c>
      <c r="G10" s="29">
        <f>IF(prodnorm9&gt;0,1/ROUND(prodnorm9,4),0)</f>
        <v>0</v>
      </c>
      <c r="H10" s="31">
        <f>ROUND(dagwerk9,4+2)</f>
        <v>0</v>
      </c>
      <c r="I10" s="32">
        <f>ROUND(uurtarief9,2)</f>
        <v>0</v>
      </c>
      <c r="J10" s="29">
        <v>376.1</v>
      </c>
    </row>
    <row r="11" spans="1:10">
      <c r="A11" s="15" t="s">
        <v>130</v>
      </c>
      <c r="B11" s="15" t="s">
        <v>18</v>
      </c>
      <c r="C11" s="15" t="s">
        <v>330</v>
      </c>
      <c r="D11" s="15" t="s">
        <v>120</v>
      </c>
      <c r="E11" s="29">
        <f>VLOOKUP(B11,dagsoorttabel1,2,FALSE)</f>
        <v>0.78431372549019607</v>
      </c>
      <c r="F11" s="29">
        <v>1</v>
      </c>
      <c r="G11" s="29">
        <f>IF(prodnorm10&gt;0,1/ROUND(prodnorm10,4),0)</f>
        <v>0</v>
      </c>
      <c r="H11" s="31">
        <f>ROUND(dagwerk10,4+2)</f>
        <v>0</v>
      </c>
      <c r="I11" s="32">
        <f>ROUND(uurtarief10,2)</f>
        <v>0</v>
      </c>
      <c r="J11" s="29">
        <v>192.39999999999998</v>
      </c>
    </row>
    <row r="12" spans="1:10">
      <c r="A12" s="15" t="s">
        <v>132</v>
      </c>
      <c r="B12" s="15" t="s">
        <v>26</v>
      </c>
      <c r="C12" s="15" t="s">
        <v>330</v>
      </c>
      <c r="D12" s="15" t="s">
        <v>120</v>
      </c>
      <c r="E12" s="29">
        <f>VLOOKUP(B12,dagsoorttabel1,2,FALSE)</f>
        <v>0.15686274509803921</v>
      </c>
      <c r="F12" s="29">
        <v>1</v>
      </c>
      <c r="G12" s="29">
        <f>IF(prodnorm11&gt;0,1/ROUND(prodnorm11,4),0)</f>
        <v>0</v>
      </c>
      <c r="H12" s="31">
        <f>ROUND(dagwerk11,4+2)</f>
        <v>0</v>
      </c>
      <c r="I12" s="32">
        <f>ROUND(uurtarief11,2)</f>
        <v>0</v>
      </c>
      <c r="J12" s="29">
        <v>24.3</v>
      </c>
    </row>
    <row r="13" spans="1:10">
      <c r="A13" s="15" t="s">
        <v>134</v>
      </c>
      <c r="B13" s="15" t="s">
        <v>18</v>
      </c>
      <c r="C13" s="15" t="s">
        <v>330</v>
      </c>
      <c r="D13" s="15" t="s">
        <v>120</v>
      </c>
      <c r="E13" s="29">
        <f>VLOOKUP(B13,dagsoorttabel1,2,FALSE)</f>
        <v>0.78431372549019607</v>
      </c>
      <c r="F13" s="29">
        <v>1</v>
      </c>
      <c r="G13" s="29">
        <f>IF(prodnorm12&gt;0,1/ROUND(prodnorm12,4),0)</f>
        <v>0</v>
      </c>
      <c r="H13" s="31">
        <f>ROUND(dagwerk12,4+2)</f>
        <v>0</v>
      </c>
      <c r="I13" s="32">
        <f>ROUND(uurtarief12,2)</f>
        <v>0</v>
      </c>
      <c r="J13" s="29">
        <v>114</v>
      </c>
    </row>
    <row r="14" spans="1:10">
      <c r="A14" s="15" t="s">
        <v>136</v>
      </c>
      <c r="B14" s="15" t="s">
        <v>18</v>
      </c>
      <c r="C14" s="15" t="s">
        <v>330</v>
      </c>
      <c r="D14" s="15" t="s">
        <v>120</v>
      </c>
      <c r="E14" s="29">
        <f>VLOOKUP(B14,dagsoorttabel1,2,FALSE)</f>
        <v>0.78431372549019607</v>
      </c>
      <c r="F14" s="29">
        <v>1</v>
      </c>
      <c r="G14" s="29">
        <f>IF(prodnorm13&gt;0,1/ROUND(prodnorm13,4),0)</f>
        <v>0</v>
      </c>
      <c r="H14" s="31">
        <f>ROUND(dagwerk13,4+2)</f>
        <v>0</v>
      </c>
      <c r="I14" s="32">
        <f>ROUND(uurtarief13,2)</f>
        <v>0</v>
      </c>
      <c r="J14" s="29">
        <v>669</v>
      </c>
    </row>
    <row r="15" spans="1:10">
      <c r="A15" s="15" t="s">
        <v>138</v>
      </c>
      <c r="B15" s="15" t="s">
        <v>18</v>
      </c>
      <c r="C15" s="15" t="s">
        <v>330</v>
      </c>
      <c r="D15" s="15" t="s">
        <v>120</v>
      </c>
      <c r="E15" s="29">
        <f>VLOOKUP(B15,dagsoorttabel1,2,FALSE)</f>
        <v>0.78431372549019607</v>
      </c>
      <c r="F15" s="29">
        <v>1</v>
      </c>
      <c r="G15" s="29">
        <f>IF(prodnorm14&gt;0,1/ROUND(prodnorm14,4),0)</f>
        <v>0</v>
      </c>
      <c r="H15" s="31">
        <f>ROUND(dagwerk14,4+2)</f>
        <v>0</v>
      </c>
      <c r="I15" s="32">
        <f>ROUND(uurtarief14,2)</f>
        <v>0</v>
      </c>
      <c r="J15" s="29">
        <v>32.5</v>
      </c>
    </row>
    <row r="16" spans="1:10">
      <c r="A16" s="15" t="s">
        <v>140</v>
      </c>
      <c r="B16" s="15" t="s">
        <v>18</v>
      </c>
      <c r="C16" s="15" t="s">
        <v>330</v>
      </c>
      <c r="D16" s="15" t="s">
        <v>120</v>
      </c>
      <c r="E16" s="29">
        <f>VLOOKUP(B16,dagsoorttabel1,2,FALSE)</f>
        <v>0.78431372549019607</v>
      </c>
      <c r="F16" s="29">
        <v>1</v>
      </c>
      <c r="G16" s="29">
        <f>IF(prodnorm15&gt;0,1/ROUND(prodnorm15,4),0)</f>
        <v>0</v>
      </c>
      <c r="H16" s="31">
        <f>ROUND(dagwerk15,4+2)</f>
        <v>0</v>
      </c>
      <c r="I16" s="32">
        <f>ROUND(uurtarief15,2)</f>
        <v>0</v>
      </c>
      <c r="J16" s="29">
        <v>46.800000000000004</v>
      </c>
    </row>
    <row r="17" spans="1:10">
      <c r="A17" s="15" t="s">
        <v>142</v>
      </c>
      <c r="B17" s="15" t="s">
        <v>18</v>
      </c>
      <c r="C17" s="15" t="s">
        <v>330</v>
      </c>
      <c r="D17" s="15" t="s">
        <v>120</v>
      </c>
      <c r="E17" s="29">
        <f>VLOOKUP(B17,dagsoorttabel1,2,FALSE)</f>
        <v>0.78431372549019607</v>
      </c>
      <c r="F17" s="29">
        <v>1</v>
      </c>
      <c r="G17" s="29">
        <f>IF(prodnorm16&gt;0,1/ROUND(prodnorm16,4),0)</f>
        <v>0</v>
      </c>
      <c r="H17" s="31">
        <f>ROUND(dagwerk16,4+2)</f>
        <v>0</v>
      </c>
      <c r="I17" s="32">
        <f>ROUND(uurtarief16,2)</f>
        <v>0</v>
      </c>
      <c r="J17" s="29">
        <v>139.80000000000001</v>
      </c>
    </row>
    <row r="18" spans="1:10">
      <c r="A18" s="15" t="s">
        <v>144</v>
      </c>
      <c r="B18" s="15" t="s">
        <v>18</v>
      </c>
      <c r="C18" s="15" t="s">
        <v>330</v>
      </c>
      <c r="D18" s="15" t="s">
        <v>120</v>
      </c>
      <c r="E18" s="29">
        <f>VLOOKUP(B18,dagsoorttabel1,2,FALSE)</f>
        <v>0.78431372549019607</v>
      </c>
      <c r="F18" s="29">
        <v>1</v>
      </c>
      <c r="G18" s="29">
        <f>IF(prodnorm17&gt;0,1/ROUND(prodnorm17,4),0)</f>
        <v>0</v>
      </c>
      <c r="H18" s="31">
        <f>ROUND(dagwerk17,4+2)</f>
        <v>0</v>
      </c>
      <c r="I18" s="32">
        <f>ROUND(uurtarief17,2)</f>
        <v>0</v>
      </c>
      <c r="J18" s="29">
        <v>1209.2</v>
      </c>
    </row>
    <row r="19" spans="1:10">
      <c r="A19" s="15" t="s">
        <v>146</v>
      </c>
      <c r="B19" s="15" t="s">
        <v>18</v>
      </c>
      <c r="C19" s="15" t="s">
        <v>330</v>
      </c>
      <c r="D19" s="15" t="s">
        <v>120</v>
      </c>
      <c r="E19" s="29">
        <f>VLOOKUP(B19,dagsoorttabel1,2,FALSE)</f>
        <v>0.78431372549019607</v>
      </c>
      <c r="F19" s="29">
        <v>1</v>
      </c>
      <c r="G19" s="29">
        <f>IF(prodnorm18&gt;0,1/ROUND(prodnorm18,4),0)</f>
        <v>0</v>
      </c>
      <c r="H19" s="31">
        <f>ROUND(dagwerk18,4+2)</f>
        <v>0</v>
      </c>
      <c r="I19" s="32">
        <f>ROUND(uurtarief18,2)</f>
        <v>0</v>
      </c>
      <c r="J19" s="29">
        <v>13.3</v>
      </c>
    </row>
    <row r="20" spans="1:10">
      <c r="A20" s="15" t="s">
        <v>148</v>
      </c>
      <c r="B20" s="15" t="s">
        <v>18</v>
      </c>
      <c r="C20" s="15" t="s">
        <v>330</v>
      </c>
      <c r="D20" s="15" t="s">
        <v>120</v>
      </c>
      <c r="E20" s="29">
        <f>VLOOKUP(B20,dagsoorttabel1,2,FALSE)</f>
        <v>0.78431372549019607</v>
      </c>
      <c r="F20" s="29">
        <v>1</v>
      </c>
      <c r="G20" s="29">
        <f>IF(prodnorm19&gt;0,1/ROUND(prodnorm19,4),0)</f>
        <v>0</v>
      </c>
      <c r="H20" s="31">
        <f>ROUND(dagwerk19,4+2)</f>
        <v>0</v>
      </c>
      <c r="I20" s="32">
        <f>ROUND(uurtarief19,2)</f>
        <v>0</v>
      </c>
      <c r="J20" s="29">
        <v>12.6</v>
      </c>
    </row>
    <row r="21" spans="1:10">
      <c r="A21" s="15" t="s">
        <v>150</v>
      </c>
      <c r="B21" s="15" t="s">
        <v>18</v>
      </c>
      <c r="C21" s="15" t="s">
        <v>330</v>
      </c>
      <c r="D21" s="15" t="s">
        <v>120</v>
      </c>
      <c r="E21" s="29">
        <f>VLOOKUP(B21,dagsoorttabel1,2,FALSE)</f>
        <v>0.78431372549019607</v>
      </c>
      <c r="F21" s="29">
        <v>1</v>
      </c>
      <c r="G21" s="29">
        <f>IF(prodnorm20&gt;0,1/ROUND(prodnorm20,4),0)</f>
        <v>0</v>
      </c>
      <c r="H21" s="31">
        <f>ROUND(dagwerk20,4+2)</f>
        <v>0</v>
      </c>
      <c r="I21" s="32">
        <f>ROUND(uurtarief20,2)</f>
        <v>0</v>
      </c>
      <c r="J21" s="29">
        <v>187.8</v>
      </c>
    </row>
    <row r="22" spans="1:10">
      <c r="A22" s="20" t="s">
        <v>152</v>
      </c>
      <c r="B22" s="20" t="s">
        <v>18</v>
      </c>
      <c r="C22" s="20" t="s">
        <v>330</v>
      </c>
      <c r="D22" s="20" t="s">
        <v>120</v>
      </c>
      <c r="E22" s="33">
        <f>VLOOKUP(B22,dagsoorttabel1,2,FALSE)</f>
        <v>0.78431372549019607</v>
      </c>
      <c r="F22" s="33">
        <v>1</v>
      </c>
      <c r="G22" s="33">
        <f>IF(prodnorm21&gt;0,1/ROUND(prodnorm21,4),0)</f>
        <v>0</v>
      </c>
      <c r="H22" s="35">
        <f>ROUND(dagwerk21,4+2)</f>
        <v>0</v>
      </c>
      <c r="I22" s="36">
        <f>ROUND(uurtarief21,2)</f>
        <v>0</v>
      </c>
      <c r="J22" s="33">
        <v>140.5</v>
      </c>
    </row>
    <row r="23" spans="1:10">
      <c r="A23" s="38" t="s">
        <v>154</v>
      </c>
      <c r="B23" s="39"/>
      <c r="C23" s="39"/>
      <c r="D23" s="39"/>
      <c r="E23" s="39"/>
      <c r="F23" s="39"/>
      <c r="G23" s="39"/>
      <c r="H23" s="39"/>
      <c r="I23" s="39"/>
      <c r="J23" s="106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D34C-928E-4A03-B489-52BC88E63A6D}">
  <dimension ref="A1:M12"/>
  <sheetViews>
    <sheetView workbookViewId="0"/>
  </sheetViews>
  <sheetFormatPr defaultRowHeight="12.6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9" width="12.125" customWidth="1"/>
    <col min="10" max="11" width="12.625" customWidth="1"/>
    <col min="12" max="13" width="13.625" customWidth="1"/>
  </cols>
  <sheetData>
    <row r="1" spans="1:13">
      <c r="A1" s="1" t="str">
        <f>CONCATENATE("Bijlage G2.4: ",tabeltype," objecten")</f>
        <v>Bijlage G2.4: Invultabel objecten</v>
      </c>
    </row>
    <row r="3" spans="1:13" ht="37.9">
      <c r="A3" s="42" t="s">
        <v>157</v>
      </c>
      <c r="B3" s="42" t="s">
        <v>331</v>
      </c>
      <c r="C3" s="42" t="s">
        <v>332</v>
      </c>
      <c r="D3" s="42" t="s">
        <v>333</v>
      </c>
      <c r="E3" s="42" t="s">
        <v>9</v>
      </c>
      <c r="F3" s="42" t="s">
        <v>334</v>
      </c>
      <c r="G3" s="42" t="s">
        <v>335</v>
      </c>
      <c r="H3" s="42" t="s">
        <v>336</v>
      </c>
      <c r="I3" s="42" t="s">
        <v>337</v>
      </c>
      <c r="J3" s="42" t="s">
        <v>338</v>
      </c>
      <c r="K3" s="42" t="s">
        <v>117</v>
      </c>
      <c r="L3" s="42" t="s">
        <v>339</v>
      </c>
      <c r="M3" s="42" t="s">
        <v>340</v>
      </c>
    </row>
    <row r="4" spans="1:1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>
      <c r="A5" s="43" t="s">
        <v>37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7"/>
    </row>
    <row r="6" spans="1:13">
      <c r="A6" s="107" t="s">
        <v>168</v>
      </c>
      <c r="B6" s="107" t="s">
        <v>341</v>
      </c>
      <c r="C6" s="107" t="s">
        <v>342</v>
      </c>
      <c r="D6" s="107" t="s">
        <v>343</v>
      </c>
      <c r="E6" s="108" t="s">
        <v>18</v>
      </c>
      <c r="F6" s="109">
        <f>gemuurtarief1</f>
        <v>0</v>
      </c>
      <c r="G6" s="110">
        <f>SUMPRODUCT(taakfreqtabel1,uurfactortabel1,kengetaltabel1,object1_opptabel1)*(1/VLOOKUP(E6,dagsoorttabel1,2,FALSE))</f>
        <v>0</v>
      </c>
      <c r="H6" s="110">
        <f>SUMPRODUCT(dagwerktabel1,taakfreqtabel1,uurfactortabel1,kengetaltabel1,object1_opptabel1)*(1/VLOOKUP(E6,dagsoorttabel1,2,FALSE))</f>
        <v>0</v>
      </c>
      <c r="I6" s="111">
        <f>SUMPRODUCT(taakfreqtabel1,kengetaltabel1,tarieftabel1,object1_opptabel1)*(1/VLOOKUP(E6,dagsoorttabel1,2,FALSE))</f>
        <v>0</v>
      </c>
      <c r="J6" s="110">
        <f>H6*dagenperjaar1*VLOOKUP(E6,dagsoorttabel1,2,FALSE)</f>
        <v>0</v>
      </c>
      <c r="K6" s="110">
        <f>G6*dagenperjaar1*VLOOKUP(E6,dagsoorttabel1,2,FALSE)</f>
        <v>0</v>
      </c>
      <c r="L6" s="111">
        <f>I6*dagenperjaar1*VLOOKUP(E6,dagsoorttabel1,2,FALSE)</f>
        <v>0</v>
      </c>
      <c r="M6" s="111">
        <f>L6/12</f>
        <v>0</v>
      </c>
    </row>
    <row r="7" spans="1:13">
      <c r="A7" s="38" t="s">
        <v>154</v>
      </c>
      <c r="B7" s="39"/>
      <c r="C7" s="39"/>
      <c r="D7" s="39"/>
      <c r="E7" s="39"/>
      <c r="F7" s="39"/>
      <c r="G7" s="39"/>
      <c r="H7" s="39"/>
      <c r="I7" s="39"/>
      <c r="J7" s="104">
        <f>SUM(J6:J6)</f>
        <v>0</v>
      </c>
      <c r="K7" s="104">
        <f>SUM(K6:K6)</f>
        <v>0</v>
      </c>
      <c r="L7" s="105">
        <f>SUM(L6:L6)</f>
        <v>0</v>
      </c>
      <c r="M7" s="105">
        <f>SUM(M6:M6)</f>
        <v>0</v>
      </c>
    </row>
    <row r="8" spans="1:13">
      <c r="A8" s="40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41"/>
    </row>
    <row r="10" spans="1:13">
      <c r="A10" s="38" t="s">
        <v>344</v>
      </c>
      <c r="B10" s="39"/>
      <c r="C10" s="39"/>
      <c r="D10" s="39"/>
      <c r="E10" s="39"/>
      <c r="F10" s="39"/>
      <c r="G10" s="39"/>
      <c r="H10" s="39"/>
      <c r="I10" s="39"/>
      <c r="J10" s="104">
        <f>urenjaartotaalhf1</f>
        <v>0</v>
      </c>
      <c r="K10" s="104">
        <f>urenjaartotaal1</f>
        <v>0</v>
      </c>
      <c r="L10" s="105">
        <f>prijsjaartotaal1</f>
        <v>0</v>
      </c>
      <c r="M10" s="105">
        <f>prijsmaandtotaal1</f>
        <v>0</v>
      </c>
    </row>
    <row r="12" spans="1:13">
      <c r="A12" s="38" t="s">
        <v>345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105">
        <f>L10*1.21</f>
        <v>0</v>
      </c>
      <c r="M12" s="105">
        <f>M10*1.21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C3AD-3B9D-441D-AF4B-3D203C6A782B}">
  <dimension ref="A1:K19"/>
  <sheetViews>
    <sheetView workbookViewId="0"/>
  </sheetViews>
  <sheetFormatPr defaultRowHeight="12.6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>
      <c r="A1" s="1" t="str">
        <f>CONCATENATE("Bijlage G2.5: ",tabeltype," niet-meewerkende objectleiding")</f>
        <v>Bijlage G2.5: Invultabel niet-meewerkende objectleiding</v>
      </c>
    </row>
    <row r="3" spans="1:11" ht="37.9">
      <c r="A3" s="42" t="s">
        <v>346</v>
      </c>
      <c r="B3" s="42" t="s">
        <v>9</v>
      </c>
      <c r="C3" s="42" t="s">
        <v>347</v>
      </c>
      <c r="D3" s="42" t="s">
        <v>348</v>
      </c>
      <c r="E3" s="42" t="s">
        <v>349</v>
      </c>
      <c r="F3" s="42" t="s">
        <v>350</v>
      </c>
      <c r="G3" s="42" t="s">
        <v>351</v>
      </c>
      <c r="H3" s="42" t="s">
        <v>117</v>
      </c>
      <c r="I3" s="42" t="s">
        <v>352</v>
      </c>
      <c r="J3" s="42" t="s">
        <v>353</v>
      </c>
      <c r="K3" s="42" t="s">
        <v>354</v>
      </c>
    </row>
    <row r="4" spans="1:11">
      <c r="A4" s="71"/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>
      <c r="A5" s="43" t="s">
        <v>37</v>
      </c>
      <c r="B5" s="9"/>
      <c r="C5" s="9"/>
      <c r="D5" s="9"/>
      <c r="E5" s="9"/>
      <c r="F5" s="9"/>
      <c r="G5" s="9"/>
      <c r="H5" s="9"/>
      <c r="I5" s="9"/>
      <c r="J5" s="9"/>
      <c r="K5" s="37"/>
    </row>
    <row r="6" spans="1:11">
      <c r="A6" s="6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1">
      <c r="A7" s="112" t="s">
        <v>167</v>
      </c>
      <c r="B7" s="9"/>
      <c r="C7" s="9"/>
      <c r="D7" s="9"/>
      <c r="E7" s="9"/>
      <c r="F7" s="9"/>
      <c r="G7" s="9"/>
      <c r="H7" s="9"/>
      <c r="I7" s="9"/>
      <c r="J7" s="9"/>
      <c r="K7" s="37"/>
    </row>
    <row r="8" spans="1:11">
      <c r="A8" s="10"/>
      <c r="B8" s="10"/>
      <c r="C8" s="74">
        <f>dagenperjaar1</f>
        <v>255</v>
      </c>
      <c r="D8" s="75" t="s">
        <v>355</v>
      </c>
      <c r="E8" s="14"/>
      <c r="F8" s="13"/>
      <c r="G8" s="76"/>
      <c r="H8" s="25">
        <f>IF(ISBLANK(G8),0,G8*C8)+IF(ISBLANK(F8),0,F8*objecturen1_1)</f>
        <v>0</v>
      </c>
      <c r="I8" s="25">
        <f>IF(C8=0,0,H8/C8)</f>
        <v>0</v>
      </c>
      <c r="J8" s="28">
        <f>IF(ISBLANK(E8),0,ROUND(E8,2)*H8)</f>
        <v>0</v>
      </c>
      <c r="K8" s="28">
        <f>J8/12</f>
        <v>0</v>
      </c>
    </row>
    <row r="9" spans="1:11">
      <c r="A9" s="15"/>
      <c r="B9" s="15"/>
      <c r="C9" s="77">
        <f>dagenperjaar1</f>
        <v>255</v>
      </c>
      <c r="D9" s="78" t="s">
        <v>355</v>
      </c>
      <c r="E9" s="19"/>
      <c r="F9" s="18"/>
      <c r="G9" s="79"/>
      <c r="H9" s="29">
        <f>IF(ISBLANK(G9),0,G9*C9)+IF(ISBLANK(F9),0,F9*objecturen1_1)</f>
        <v>0</v>
      </c>
      <c r="I9" s="29">
        <f>IF(C9=0,0,H9/C9)</f>
        <v>0</v>
      </c>
      <c r="J9" s="32">
        <f>IF(ISBLANK(E9),0,ROUND(E9,2)*H9)</f>
        <v>0</v>
      </c>
      <c r="K9" s="32">
        <f>J9/12</f>
        <v>0</v>
      </c>
    </row>
    <row r="10" spans="1:11">
      <c r="A10" s="15"/>
      <c r="B10" s="15"/>
      <c r="C10" s="77">
        <f>dagenperjaar1</f>
        <v>255</v>
      </c>
      <c r="D10" s="78" t="s">
        <v>356</v>
      </c>
      <c r="E10" s="19"/>
      <c r="F10" s="80"/>
      <c r="G10" s="17"/>
      <c r="H10" s="29">
        <f>IF(ISBLANK(G10),0,G10*C10)+IF(ISBLANK(F10),0,F10*objecturen1_1)</f>
        <v>0</v>
      </c>
      <c r="I10" s="29">
        <f>IF(C10=0,0,H10/C10)</f>
        <v>0</v>
      </c>
      <c r="J10" s="32">
        <f>IF(ISBLANK(E10),0,ROUND(E10,2)*H10)</f>
        <v>0</v>
      </c>
      <c r="K10" s="32">
        <f>J10/12</f>
        <v>0</v>
      </c>
    </row>
    <row r="11" spans="1:11">
      <c r="A11" s="20"/>
      <c r="B11" s="20"/>
      <c r="C11" s="81">
        <f>dagenperjaar1</f>
        <v>255</v>
      </c>
      <c r="D11" s="82" t="s">
        <v>356</v>
      </c>
      <c r="E11" s="24"/>
      <c r="F11" s="83"/>
      <c r="G11" s="22"/>
      <c r="H11" s="33">
        <f>IF(ISBLANK(G11),0,G11*C11)+IF(ISBLANK(F11),0,F11*objecturen1_1)</f>
        <v>0</v>
      </c>
      <c r="I11" s="33">
        <f>IF(C11=0,0,H11/C11)</f>
        <v>0</v>
      </c>
      <c r="J11" s="36">
        <f>IF(ISBLANK(E11),0,ROUND(E11,2)*H11)</f>
        <v>0</v>
      </c>
      <c r="K11" s="36">
        <f>J11/12</f>
        <v>0</v>
      </c>
    </row>
    <row r="12" spans="1:11">
      <c r="A12" s="84" t="s">
        <v>357</v>
      </c>
      <c r="B12" s="39"/>
      <c r="C12" s="39"/>
      <c r="D12" s="39"/>
      <c r="E12" s="39"/>
      <c r="F12" s="39"/>
      <c r="G12" s="39"/>
      <c r="H12" s="104">
        <f>SUM(H8:H11)</f>
        <v>0</v>
      </c>
      <c r="I12" s="39"/>
      <c r="J12" s="105">
        <f>SUM(J8:J11)</f>
        <v>0</v>
      </c>
      <c r="K12" s="105">
        <f>SUM(K8:K11)</f>
        <v>0</v>
      </c>
    </row>
    <row r="13" spans="1:11">
      <c r="A13" s="40"/>
      <c r="B13" s="39"/>
      <c r="C13" s="39"/>
      <c r="D13" s="39"/>
      <c r="E13" s="39"/>
      <c r="F13" s="39"/>
      <c r="G13" s="39"/>
      <c r="H13" s="39"/>
      <c r="I13" s="39"/>
      <c r="J13" s="39"/>
      <c r="K13" s="41"/>
    </row>
    <row r="14" spans="1:11">
      <c r="A14" s="38" t="s">
        <v>154</v>
      </c>
      <c r="B14" s="39"/>
      <c r="C14" s="39"/>
      <c r="D14" s="39"/>
      <c r="E14" s="39"/>
      <c r="F14" s="39"/>
      <c r="G14" s="39"/>
      <c r="H14" s="104">
        <f>tzujt1_1</f>
        <v>0</v>
      </c>
      <c r="I14" s="39"/>
      <c r="J14" s="105">
        <f>tzpjt1_1</f>
        <v>0</v>
      </c>
      <c r="K14" s="105">
        <f>tzpmt1_1</f>
        <v>0</v>
      </c>
    </row>
    <row r="15" spans="1:11">
      <c r="A15" s="40"/>
      <c r="B15" s="39"/>
      <c r="C15" s="39"/>
      <c r="D15" s="39"/>
      <c r="E15" s="39"/>
      <c r="F15" s="39"/>
      <c r="G15" s="39"/>
      <c r="H15" s="39"/>
      <c r="I15" s="39"/>
      <c r="J15" s="39"/>
      <c r="K15" s="41"/>
    </row>
    <row r="17" spans="1:11">
      <c r="A17" s="38" t="s">
        <v>358</v>
      </c>
      <c r="B17" s="39"/>
      <c r="C17" s="39"/>
      <c r="D17" s="39"/>
      <c r="E17" s="39"/>
      <c r="F17" s="39"/>
      <c r="G17" s="39"/>
      <c r="H17" s="104">
        <f>tzujt1</f>
        <v>0</v>
      </c>
      <c r="I17" s="39"/>
      <c r="J17" s="105">
        <f>tzpjt1</f>
        <v>0</v>
      </c>
      <c r="K17" s="105">
        <f>tzpmt1</f>
        <v>0</v>
      </c>
    </row>
    <row r="19" spans="1:11">
      <c r="A19" s="38" t="s">
        <v>359</v>
      </c>
      <c r="B19" s="39"/>
      <c r="C19" s="39"/>
      <c r="D19" s="39"/>
      <c r="E19" s="39"/>
      <c r="F19" s="39"/>
      <c r="G19" s="39"/>
      <c r="H19" s="39"/>
      <c r="I19" s="39"/>
      <c r="J19" s="105">
        <f>J17*1.21</f>
        <v>0</v>
      </c>
      <c r="K19" s="105">
        <f>K17*1.21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570C-F6B2-414C-964D-2C5E65CC270B}">
  <dimension ref="A1:C21"/>
  <sheetViews>
    <sheetView workbookViewId="0"/>
  </sheetViews>
  <sheetFormatPr defaultRowHeight="12.6"/>
  <cols>
    <col min="1" max="1" width="25.625" customWidth="1"/>
    <col min="2" max="3" width="20.625" customWidth="1"/>
  </cols>
  <sheetData>
    <row r="1" spans="1:3">
      <c r="A1" s="1" t="str">
        <f>CONCATENATE("Bijlage G2.6: ",tabeltype," totaalblad objecten")</f>
        <v>Bijlage G2.6: Invultabel totaalblad objecten</v>
      </c>
    </row>
    <row r="3" spans="1:3">
      <c r="A3" s="85" t="s">
        <v>360</v>
      </c>
      <c r="B3" s="88" t="s">
        <v>361</v>
      </c>
      <c r="C3" s="88" t="s">
        <v>168</v>
      </c>
    </row>
    <row r="4" spans="1:3">
      <c r="A4" s="86" t="s">
        <v>362</v>
      </c>
      <c r="B4" s="90"/>
      <c r="C4" s="89" t="s">
        <v>169</v>
      </c>
    </row>
    <row r="5" spans="1:3">
      <c r="A5" s="86" t="s">
        <v>363</v>
      </c>
      <c r="B5" s="90"/>
      <c r="C5" s="89" t="s">
        <v>341</v>
      </c>
    </row>
    <row r="6" spans="1:3">
      <c r="A6" s="86" t="s">
        <v>364</v>
      </c>
      <c r="B6" s="90"/>
      <c r="C6" s="89" t="s">
        <v>342</v>
      </c>
    </row>
    <row r="7" spans="1:3">
      <c r="A7" s="86" t="s">
        <v>365</v>
      </c>
      <c r="B7" s="90"/>
      <c r="C7" s="89" t="s">
        <v>343</v>
      </c>
    </row>
    <row r="8" spans="1:3">
      <c r="A8" s="86" t="s">
        <v>366</v>
      </c>
      <c r="B8" s="79">
        <f>SUM(C8:C8)</f>
        <v>5692.2</v>
      </c>
      <c r="C8" s="79">
        <v>5692.2</v>
      </c>
    </row>
    <row r="9" spans="1:3">
      <c r="A9" s="86" t="s">
        <v>169</v>
      </c>
      <c r="B9" s="90"/>
      <c r="C9" s="90"/>
    </row>
    <row r="10" spans="1:3">
      <c r="A10" s="86" t="s">
        <v>367</v>
      </c>
      <c r="B10" s="29">
        <f>SUM(C10:C10)</f>
        <v>0</v>
      </c>
      <c r="C10" s="79">
        <f>objecturenhf1_1</f>
        <v>0</v>
      </c>
    </row>
    <row r="11" spans="1:3">
      <c r="A11" s="86" t="s">
        <v>368</v>
      </c>
      <c r="B11" s="29">
        <f>SUM(C11:C11)</f>
        <v>0</v>
      </c>
      <c r="C11" s="29">
        <f>objecturen1_1</f>
        <v>0</v>
      </c>
    </row>
    <row r="12" spans="1:3" ht="25.15">
      <c r="A12" s="86" t="s">
        <v>369</v>
      </c>
      <c r="B12" s="29">
        <f>IF(AND(urenjaartotaal1&gt;0,dagenperjaar1&gt;0),B8/(urenjaartotaal1/dagenperjaar1),0)</f>
        <v>0</v>
      </c>
      <c r="C12" s="29">
        <f>IF(AND(objecturen1_1&gt;0,dagenperjaar1&gt;0),C8/(objecturen1_1/dagenperjaar1),0)</f>
        <v>0</v>
      </c>
    </row>
    <row r="13" spans="1:3">
      <c r="A13" s="86" t="s">
        <v>370</v>
      </c>
      <c r="B13" s="32">
        <f>SUM(C13:C13)</f>
        <v>0</v>
      </c>
      <c r="C13" s="32">
        <f>objectprijs1_1</f>
        <v>0</v>
      </c>
    </row>
    <row r="14" spans="1:3">
      <c r="A14" s="86" t="s">
        <v>371</v>
      </c>
      <c r="B14" s="29">
        <f>SUM(C14:C14)</f>
        <v>0</v>
      </c>
      <c r="C14" s="29">
        <f>tzujt1_1</f>
        <v>0</v>
      </c>
    </row>
    <row r="15" spans="1:3">
      <c r="A15" s="86" t="s">
        <v>372</v>
      </c>
      <c r="B15" s="32">
        <f>SUM(C15:C15)</f>
        <v>0</v>
      </c>
      <c r="C15" s="32">
        <f>tzpjt1_1</f>
        <v>0</v>
      </c>
    </row>
    <row r="16" spans="1:3">
      <c r="A16" s="86" t="s">
        <v>373</v>
      </c>
      <c r="B16" s="32">
        <f>SUM(C16:C16)</f>
        <v>0</v>
      </c>
      <c r="C16" s="32">
        <f>C13+C15</f>
        <v>0</v>
      </c>
    </row>
    <row r="17" spans="1:3">
      <c r="A17" s="86" t="s">
        <v>374</v>
      </c>
      <c r="B17" s="32">
        <f>SUM(C17:C17)</f>
        <v>0</v>
      </c>
      <c r="C17" s="32">
        <f>C16/12</f>
        <v>0</v>
      </c>
    </row>
    <row r="18" spans="1:3">
      <c r="A18" s="86" t="s">
        <v>375</v>
      </c>
      <c r="B18" s="32">
        <f>SUM(C18:C18)</f>
        <v>0</v>
      </c>
      <c r="C18" s="32">
        <f>C17*1.21</f>
        <v>0</v>
      </c>
    </row>
    <row r="19" spans="1:3">
      <c r="A19" s="86" t="s">
        <v>169</v>
      </c>
      <c r="B19" s="90"/>
      <c r="C19" s="90"/>
    </row>
    <row r="20" spans="1:3">
      <c r="A20" s="86" t="s">
        <v>169</v>
      </c>
      <c r="B20" s="90"/>
      <c r="C20" s="90"/>
    </row>
    <row r="21" spans="1:3">
      <c r="A21" s="87" t="s">
        <v>376</v>
      </c>
      <c r="B21" s="36">
        <f>IF(B8&gt;0,B16/B8,0)</f>
        <v>0</v>
      </c>
      <c r="C21" s="36">
        <f>IF(C8&gt;0,C16/C8,0)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BAF-BAD2-4B76-95A5-2EAAE8BCDB22}">
  <dimension ref="A1:E74"/>
  <sheetViews>
    <sheetView workbookViewId="0"/>
  </sheetViews>
  <sheetFormatPr defaultRowHeight="12.6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>
      <c r="A1" s="1" t="str">
        <f>CONCATENATE("Bijlage G2.7: ",tabeltype," afroep incidenteel")</f>
        <v>Bijlage G2.7: Invultabel afroep incidenteel</v>
      </c>
    </row>
    <row r="3" spans="1:5" ht="37.9">
      <c r="A3" s="42" t="s">
        <v>377</v>
      </c>
      <c r="B3" s="42" t="s">
        <v>32</v>
      </c>
      <c r="C3" s="42" t="s">
        <v>35</v>
      </c>
      <c r="D3" s="42" t="s">
        <v>378</v>
      </c>
      <c r="E3" s="42" t="s">
        <v>379</v>
      </c>
    </row>
    <row r="4" spans="1:5">
      <c r="A4" s="6"/>
      <c r="B4" s="7"/>
      <c r="C4" s="7"/>
      <c r="D4" s="7"/>
      <c r="E4" s="8"/>
    </row>
    <row r="5" spans="1:5">
      <c r="A5" s="43" t="s">
        <v>37</v>
      </c>
      <c r="B5" s="9"/>
      <c r="C5" s="9"/>
      <c r="D5" s="9"/>
      <c r="E5" s="37"/>
    </row>
    <row r="6" spans="1:5">
      <c r="A6" s="10" t="s">
        <v>380</v>
      </c>
      <c r="B6" s="10" t="s">
        <v>381</v>
      </c>
      <c r="C6" s="10" t="s">
        <v>382</v>
      </c>
      <c r="D6" s="10" t="s">
        <v>383</v>
      </c>
      <c r="E6" s="14"/>
    </row>
    <row r="7" spans="1:5">
      <c r="A7" s="15" t="s">
        <v>384</v>
      </c>
      <c r="B7" s="15" t="s">
        <v>381</v>
      </c>
      <c r="C7" s="15" t="s">
        <v>382</v>
      </c>
      <c r="D7" s="15" t="s">
        <v>385</v>
      </c>
      <c r="E7" s="19"/>
    </row>
    <row r="8" spans="1:5">
      <c r="A8" s="15" t="s">
        <v>386</v>
      </c>
      <c r="B8" s="15" t="s">
        <v>381</v>
      </c>
      <c r="C8" s="15" t="s">
        <v>382</v>
      </c>
      <c r="D8" s="15" t="s">
        <v>387</v>
      </c>
      <c r="E8" s="19"/>
    </row>
    <row r="9" spans="1:5">
      <c r="A9" s="15" t="s">
        <v>388</v>
      </c>
      <c r="B9" s="15" t="s">
        <v>381</v>
      </c>
      <c r="C9" s="15" t="s">
        <v>382</v>
      </c>
      <c r="D9" s="15" t="s">
        <v>389</v>
      </c>
      <c r="E9" s="19"/>
    </row>
    <row r="10" spans="1:5">
      <c r="A10" s="15" t="s">
        <v>390</v>
      </c>
      <c r="B10" s="15" t="s">
        <v>391</v>
      </c>
      <c r="C10" s="15" t="s">
        <v>382</v>
      </c>
      <c r="D10" s="15" t="s">
        <v>383</v>
      </c>
      <c r="E10" s="19"/>
    </row>
    <row r="11" spans="1:5">
      <c r="A11" s="15" t="s">
        <v>392</v>
      </c>
      <c r="B11" s="15" t="s">
        <v>391</v>
      </c>
      <c r="C11" s="15" t="s">
        <v>382</v>
      </c>
      <c r="D11" s="15" t="s">
        <v>385</v>
      </c>
      <c r="E11" s="19"/>
    </row>
    <row r="12" spans="1:5">
      <c r="A12" s="15" t="s">
        <v>393</v>
      </c>
      <c r="B12" s="15" t="s">
        <v>391</v>
      </c>
      <c r="C12" s="15" t="s">
        <v>382</v>
      </c>
      <c r="D12" s="15" t="s">
        <v>387</v>
      </c>
      <c r="E12" s="19"/>
    </row>
    <row r="13" spans="1:5">
      <c r="A13" s="15" t="s">
        <v>394</v>
      </c>
      <c r="B13" s="15" t="s">
        <v>391</v>
      </c>
      <c r="C13" s="15" t="s">
        <v>382</v>
      </c>
      <c r="D13" s="15" t="s">
        <v>389</v>
      </c>
      <c r="E13" s="19"/>
    </row>
    <row r="14" spans="1:5">
      <c r="A14" s="15" t="s">
        <v>395</v>
      </c>
      <c r="B14" s="15" t="s">
        <v>396</v>
      </c>
      <c r="C14" s="15" t="s">
        <v>382</v>
      </c>
      <c r="D14" s="15" t="s">
        <v>383</v>
      </c>
      <c r="E14" s="19"/>
    </row>
    <row r="15" spans="1:5">
      <c r="A15" s="15" t="s">
        <v>397</v>
      </c>
      <c r="B15" s="15" t="s">
        <v>396</v>
      </c>
      <c r="C15" s="15" t="s">
        <v>382</v>
      </c>
      <c r="D15" s="15" t="s">
        <v>385</v>
      </c>
      <c r="E15" s="19"/>
    </row>
    <row r="16" spans="1:5">
      <c r="A16" s="15" t="s">
        <v>398</v>
      </c>
      <c r="B16" s="15" t="s">
        <v>396</v>
      </c>
      <c r="C16" s="15" t="s">
        <v>382</v>
      </c>
      <c r="D16" s="15" t="s">
        <v>387</v>
      </c>
      <c r="E16" s="19"/>
    </row>
    <row r="17" spans="1:5">
      <c r="A17" s="15" t="s">
        <v>399</v>
      </c>
      <c r="B17" s="15" t="s">
        <v>396</v>
      </c>
      <c r="C17" s="15" t="s">
        <v>382</v>
      </c>
      <c r="D17" s="15" t="s">
        <v>389</v>
      </c>
      <c r="E17" s="19"/>
    </row>
    <row r="18" spans="1:5">
      <c r="A18" s="15" t="s">
        <v>400</v>
      </c>
      <c r="B18" s="15" t="s">
        <v>401</v>
      </c>
      <c r="C18" s="15" t="s">
        <v>382</v>
      </c>
      <c r="D18" s="15" t="s">
        <v>383</v>
      </c>
      <c r="E18" s="19"/>
    </row>
    <row r="19" spans="1:5">
      <c r="A19" s="15" t="s">
        <v>402</v>
      </c>
      <c r="B19" s="15" t="s">
        <v>401</v>
      </c>
      <c r="C19" s="15" t="s">
        <v>382</v>
      </c>
      <c r="D19" s="15" t="s">
        <v>385</v>
      </c>
      <c r="E19" s="19"/>
    </row>
    <row r="20" spans="1:5">
      <c r="A20" s="15" t="s">
        <v>403</v>
      </c>
      <c r="B20" s="15" t="s">
        <v>401</v>
      </c>
      <c r="C20" s="15" t="s">
        <v>382</v>
      </c>
      <c r="D20" s="15" t="s">
        <v>387</v>
      </c>
      <c r="E20" s="19"/>
    </row>
    <row r="21" spans="1:5">
      <c r="A21" s="15" t="s">
        <v>404</v>
      </c>
      <c r="B21" s="15" t="s">
        <v>401</v>
      </c>
      <c r="C21" s="15" t="s">
        <v>382</v>
      </c>
      <c r="D21" s="15" t="s">
        <v>389</v>
      </c>
      <c r="E21" s="19"/>
    </row>
    <row r="22" spans="1:5">
      <c r="A22" s="15" t="s">
        <v>405</v>
      </c>
      <c r="B22" s="15" t="s">
        <v>406</v>
      </c>
      <c r="C22" s="15" t="s">
        <v>407</v>
      </c>
      <c r="D22" s="15" t="s">
        <v>408</v>
      </c>
      <c r="E22" s="19"/>
    </row>
    <row r="23" spans="1:5">
      <c r="A23" s="15" t="s">
        <v>409</v>
      </c>
      <c r="B23" s="15" t="s">
        <v>406</v>
      </c>
      <c r="C23" s="15" t="s">
        <v>407</v>
      </c>
      <c r="D23" s="15" t="s">
        <v>410</v>
      </c>
      <c r="E23" s="19"/>
    </row>
    <row r="24" spans="1:5">
      <c r="A24" s="15" t="s">
        <v>411</v>
      </c>
      <c r="B24" s="15" t="s">
        <v>406</v>
      </c>
      <c r="C24" s="15" t="s">
        <v>407</v>
      </c>
      <c r="D24" s="15" t="s">
        <v>412</v>
      </c>
      <c r="E24" s="19"/>
    </row>
    <row r="25" spans="1:5">
      <c r="A25" s="15" t="s">
        <v>413</v>
      </c>
      <c r="B25" s="15" t="s">
        <v>406</v>
      </c>
      <c r="C25" s="15" t="s">
        <v>407</v>
      </c>
      <c r="D25" s="15" t="s">
        <v>414</v>
      </c>
      <c r="E25" s="19"/>
    </row>
    <row r="26" spans="1:5">
      <c r="A26" s="15" t="s">
        <v>415</v>
      </c>
      <c r="B26" s="15" t="s">
        <v>416</v>
      </c>
      <c r="C26" s="15" t="s">
        <v>407</v>
      </c>
      <c r="D26" s="15" t="s">
        <v>408</v>
      </c>
      <c r="E26" s="19"/>
    </row>
    <row r="27" spans="1:5">
      <c r="A27" s="15" t="s">
        <v>417</v>
      </c>
      <c r="B27" s="15" t="s">
        <v>416</v>
      </c>
      <c r="C27" s="15" t="s">
        <v>407</v>
      </c>
      <c r="D27" s="15" t="s">
        <v>410</v>
      </c>
      <c r="E27" s="19"/>
    </row>
    <row r="28" spans="1:5">
      <c r="A28" s="15" t="s">
        <v>418</v>
      </c>
      <c r="B28" s="15" t="s">
        <v>416</v>
      </c>
      <c r="C28" s="15" t="s">
        <v>407</v>
      </c>
      <c r="D28" s="15" t="s">
        <v>412</v>
      </c>
      <c r="E28" s="19"/>
    </row>
    <row r="29" spans="1:5">
      <c r="A29" s="15" t="s">
        <v>419</v>
      </c>
      <c r="B29" s="15" t="s">
        <v>416</v>
      </c>
      <c r="C29" s="15" t="s">
        <v>407</v>
      </c>
      <c r="D29" s="15" t="s">
        <v>414</v>
      </c>
      <c r="E29" s="19"/>
    </row>
    <row r="30" spans="1:5">
      <c r="A30" s="15" t="s">
        <v>420</v>
      </c>
      <c r="B30" s="15" t="s">
        <v>421</v>
      </c>
      <c r="C30" s="15" t="s">
        <v>407</v>
      </c>
      <c r="D30" s="15" t="s">
        <v>408</v>
      </c>
      <c r="E30" s="19"/>
    </row>
    <row r="31" spans="1:5">
      <c r="A31" s="15" t="s">
        <v>422</v>
      </c>
      <c r="B31" s="15" t="s">
        <v>421</v>
      </c>
      <c r="C31" s="15" t="s">
        <v>407</v>
      </c>
      <c r="D31" s="15" t="s">
        <v>410</v>
      </c>
      <c r="E31" s="19"/>
    </row>
    <row r="32" spans="1:5">
      <c r="A32" s="15" t="s">
        <v>423</v>
      </c>
      <c r="B32" s="15" t="s">
        <v>421</v>
      </c>
      <c r="C32" s="15" t="s">
        <v>407</v>
      </c>
      <c r="D32" s="15" t="s">
        <v>412</v>
      </c>
      <c r="E32" s="19"/>
    </row>
    <row r="33" spans="1:5">
      <c r="A33" s="15" t="s">
        <v>424</v>
      </c>
      <c r="B33" s="15" t="s">
        <v>421</v>
      </c>
      <c r="C33" s="15" t="s">
        <v>407</v>
      </c>
      <c r="D33" s="15" t="s">
        <v>414</v>
      </c>
      <c r="E33" s="19"/>
    </row>
    <row r="34" spans="1:5">
      <c r="A34" s="15" t="s">
        <v>425</v>
      </c>
      <c r="B34" s="15" t="s">
        <v>426</v>
      </c>
      <c r="C34" s="15" t="s">
        <v>407</v>
      </c>
      <c r="D34" s="15" t="s">
        <v>169</v>
      </c>
      <c r="E34" s="19"/>
    </row>
    <row r="35" spans="1:5">
      <c r="A35" s="15" t="s">
        <v>427</v>
      </c>
      <c r="B35" s="15" t="s">
        <v>428</v>
      </c>
      <c r="C35" s="15" t="s">
        <v>429</v>
      </c>
      <c r="D35" s="15" t="s">
        <v>169</v>
      </c>
      <c r="E35" s="19"/>
    </row>
    <row r="36" spans="1:5">
      <c r="A36" s="15" t="s">
        <v>430</v>
      </c>
      <c r="B36" s="15" t="s">
        <v>431</v>
      </c>
      <c r="C36" s="15" t="s">
        <v>407</v>
      </c>
      <c r="D36" s="15" t="s">
        <v>432</v>
      </c>
      <c r="E36" s="19"/>
    </row>
    <row r="37" spans="1:5">
      <c r="A37" s="15" t="s">
        <v>433</v>
      </c>
      <c r="B37" s="15" t="s">
        <v>431</v>
      </c>
      <c r="C37" s="15" t="s">
        <v>407</v>
      </c>
      <c r="D37" s="15" t="s">
        <v>434</v>
      </c>
      <c r="E37" s="19"/>
    </row>
    <row r="38" spans="1:5">
      <c r="A38" s="15" t="s">
        <v>435</v>
      </c>
      <c r="B38" s="15" t="s">
        <v>431</v>
      </c>
      <c r="C38" s="15" t="s">
        <v>407</v>
      </c>
      <c r="D38" s="15" t="s">
        <v>436</v>
      </c>
      <c r="E38" s="19"/>
    </row>
    <row r="39" spans="1:5">
      <c r="A39" s="15" t="s">
        <v>437</v>
      </c>
      <c r="B39" s="15" t="s">
        <v>431</v>
      </c>
      <c r="C39" s="15" t="s">
        <v>407</v>
      </c>
      <c r="D39" s="15" t="s">
        <v>438</v>
      </c>
      <c r="E39" s="19"/>
    </row>
    <row r="40" spans="1:5">
      <c r="A40" s="15" t="s">
        <v>439</v>
      </c>
      <c r="B40" s="15" t="s">
        <v>440</v>
      </c>
      <c r="C40" s="15" t="s">
        <v>407</v>
      </c>
      <c r="D40" s="15" t="s">
        <v>432</v>
      </c>
      <c r="E40" s="19"/>
    </row>
    <row r="41" spans="1:5">
      <c r="A41" s="15" t="s">
        <v>441</v>
      </c>
      <c r="B41" s="15" t="s">
        <v>440</v>
      </c>
      <c r="C41" s="15" t="s">
        <v>407</v>
      </c>
      <c r="D41" s="15" t="s">
        <v>434</v>
      </c>
      <c r="E41" s="19"/>
    </row>
    <row r="42" spans="1:5">
      <c r="A42" s="15" t="s">
        <v>442</v>
      </c>
      <c r="B42" s="15" t="s">
        <v>440</v>
      </c>
      <c r="C42" s="15" t="s">
        <v>407</v>
      </c>
      <c r="D42" s="15" t="s">
        <v>436</v>
      </c>
      <c r="E42" s="19"/>
    </row>
    <row r="43" spans="1:5">
      <c r="A43" s="15" t="s">
        <v>443</v>
      </c>
      <c r="B43" s="15" t="s">
        <v>440</v>
      </c>
      <c r="C43" s="15" t="s">
        <v>407</v>
      </c>
      <c r="D43" s="15" t="s">
        <v>438</v>
      </c>
      <c r="E43" s="19"/>
    </row>
    <row r="44" spans="1:5">
      <c r="A44" s="15" t="s">
        <v>444</v>
      </c>
      <c r="B44" s="15" t="s">
        <v>445</v>
      </c>
      <c r="C44" s="15" t="s">
        <v>407</v>
      </c>
      <c r="D44" s="15" t="s">
        <v>432</v>
      </c>
      <c r="E44" s="19"/>
    </row>
    <row r="45" spans="1:5">
      <c r="A45" s="15" t="s">
        <v>446</v>
      </c>
      <c r="B45" s="15" t="s">
        <v>445</v>
      </c>
      <c r="C45" s="15" t="s">
        <v>407</v>
      </c>
      <c r="D45" s="15" t="s">
        <v>434</v>
      </c>
      <c r="E45" s="19"/>
    </row>
    <row r="46" spans="1:5">
      <c r="A46" s="15" t="s">
        <v>447</v>
      </c>
      <c r="B46" s="15" t="s">
        <v>445</v>
      </c>
      <c r="C46" s="15" t="s">
        <v>407</v>
      </c>
      <c r="D46" s="15" t="s">
        <v>436</v>
      </c>
      <c r="E46" s="19"/>
    </row>
    <row r="47" spans="1:5">
      <c r="A47" s="15" t="s">
        <v>448</v>
      </c>
      <c r="B47" s="15" t="s">
        <v>445</v>
      </c>
      <c r="C47" s="15" t="s">
        <v>407</v>
      </c>
      <c r="D47" s="15" t="s">
        <v>438</v>
      </c>
      <c r="E47" s="19"/>
    </row>
    <row r="48" spans="1:5">
      <c r="A48" s="15" t="s">
        <v>449</v>
      </c>
      <c r="B48" s="15" t="s">
        <v>450</v>
      </c>
      <c r="C48" s="15" t="s">
        <v>407</v>
      </c>
      <c r="D48" s="15" t="s">
        <v>432</v>
      </c>
      <c r="E48" s="19"/>
    </row>
    <row r="49" spans="1:5">
      <c r="A49" s="15" t="s">
        <v>451</v>
      </c>
      <c r="B49" s="15" t="s">
        <v>450</v>
      </c>
      <c r="C49" s="15" t="s">
        <v>407</v>
      </c>
      <c r="D49" s="15" t="s">
        <v>434</v>
      </c>
      <c r="E49" s="19"/>
    </row>
    <row r="50" spans="1:5">
      <c r="A50" s="15" t="s">
        <v>452</v>
      </c>
      <c r="B50" s="15" t="s">
        <v>450</v>
      </c>
      <c r="C50" s="15" t="s">
        <v>407</v>
      </c>
      <c r="D50" s="15" t="s">
        <v>436</v>
      </c>
      <c r="E50" s="19"/>
    </row>
    <row r="51" spans="1:5">
      <c r="A51" s="15" t="s">
        <v>453</v>
      </c>
      <c r="B51" s="15" t="s">
        <v>450</v>
      </c>
      <c r="C51" s="15" t="s">
        <v>407</v>
      </c>
      <c r="D51" s="15" t="s">
        <v>438</v>
      </c>
      <c r="E51" s="19"/>
    </row>
    <row r="52" spans="1:5">
      <c r="A52" s="15" t="s">
        <v>454</v>
      </c>
      <c r="B52" s="15" t="s">
        <v>455</v>
      </c>
      <c r="C52" s="15" t="s">
        <v>407</v>
      </c>
      <c r="D52" s="15" t="s">
        <v>432</v>
      </c>
      <c r="E52" s="19"/>
    </row>
    <row r="53" spans="1:5">
      <c r="A53" s="15" t="s">
        <v>456</v>
      </c>
      <c r="B53" s="15" t="s">
        <v>455</v>
      </c>
      <c r="C53" s="15" t="s">
        <v>407</v>
      </c>
      <c r="D53" s="15" t="s">
        <v>434</v>
      </c>
      <c r="E53" s="19"/>
    </row>
    <row r="54" spans="1:5">
      <c r="A54" s="15" t="s">
        <v>457</v>
      </c>
      <c r="B54" s="15" t="s">
        <v>455</v>
      </c>
      <c r="C54" s="15" t="s">
        <v>407</v>
      </c>
      <c r="D54" s="15" t="s">
        <v>436</v>
      </c>
      <c r="E54" s="19"/>
    </row>
    <row r="55" spans="1:5">
      <c r="A55" s="15" t="s">
        <v>458</v>
      </c>
      <c r="B55" s="15" t="s">
        <v>455</v>
      </c>
      <c r="C55" s="15" t="s">
        <v>407</v>
      </c>
      <c r="D55" s="15" t="s">
        <v>438</v>
      </c>
      <c r="E55" s="19"/>
    </row>
    <row r="56" spans="1:5">
      <c r="A56" s="15" t="s">
        <v>459</v>
      </c>
      <c r="B56" s="15" t="s">
        <v>460</v>
      </c>
      <c r="C56" s="15" t="s">
        <v>407</v>
      </c>
      <c r="D56" s="15" t="s">
        <v>432</v>
      </c>
      <c r="E56" s="19"/>
    </row>
    <row r="57" spans="1:5">
      <c r="A57" s="15" t="s">
        <v>461</v>
      </c>
      <c r="B57" s="15" t="s">
        <v>460</v>
      </c>
      <c r="C57" s="15" t="s">
        <v>407</v>
      </c>
      <c r="D57" s="15" t="s">
        <v>434</v>
      </c>
      <c r="E57" s="19"/>
    </row>
    <row r="58" spans="1:5">
      <c r="A58" s="15" t="s">
        <v>462</v>
      </c>
      <c r="B58" s="15" t="s">
        <v>460</v>
      </c>
      <c r="C58" s="15" t="s">
        <v>407</v>
      </c>
      <c r="D58" s="15" t="s">
        <v>436</v>
      </c>
      <c r="E58" s="19"/>
    </row>
    <row r="59" spans="1:5">
      <c r="A59" s="15" t="s">
        <v>463</v>
      </c>
      <c r="B59" s="15" t="s">
        <v>460</v>
      </c>
      <c r="C59" s="15" t="s">
        <v>407</v>
      </c>
      <c r="D59" s="15" t="s">
        <v>438</v>
      </c>
      <c r="E59" s="19"/>
    </row>
    <row r="60" spans="1:5">
      <c r="A60" s="15" t="s">
        <v>464</v>
      </c>
      <c r="B60" s="15" t="s">
        <v>465</v>
      </c>
      <c r="C60" s="15" t="s">
        <v>407</v>
      </c>
      <c r="D60" s="15" t="s">
        <v>432</v>
      </c>
      <c r="E60" s="19"/>
    </row>
    <row r="61" spans="1:5">
      <c r="A61" s="15" t="s">
        <v>466</v>
      </c>
      <c r="B61" s="15" t="s">
        <v>465</v>
      </c>
      <c r="C61" s="15" t="s">
        <v>407</v>
      </c>
      <c r="D61" s="15" t="s">
        <v>434</v>
      </c>
      <c r="E61" s="19"/>
    </row>
    <row r="62" spans="1:5">
      <c r="A62" s="15" t="s">
        <v>467</v>
      </c>
      <c r="B62" s="15" t="s">
        <v>465</v>
      </c>
      <c r="C62" s="15" t="s">
        <v>407</v>
      </c>
      <c r="D62" s="15" t="s">
        <v>436</v>
      </c>
      <c r="E62" s="19"/>
    </row>
    <row r="63" spans="1:5">
      <c r="A63" s="15" t="s">
        <v>468</v>
      </c>
      <c r="B63" s="15" t="s">
        <v>465</v>
      </c>
      <c r="C63" s="15" t="s">
        <v>407</v>
      </c>
      <c r="D63" s="15" t="s">
        <v>438</v>
      </c>
      <c r="E63" s="19"/>
    </row>
    <row r="64" spans="1:5">
      <c r="A64" s="15" t="s">
        <v>469</v>
      </c>
      <c r="B64" s="15" t="s">
        <v>470</v>
      </c>
      <c r="C64" s="15" t="s">
        <v>407</v>
      </c>
      <c r="D64" s="15" t="s">
        <v>432</v>
      </c>
      <c r="E64" s="19"/>
    </row>
    <row r="65" spans="1:5">
      <c r="A65" s="15" t="s">
        <v>471</v>
      </c>
      <c r="B65" s="15" t="s">
        <v>470</v>
      </c>
      <c r="C65" s="15" t="s">
        <v>407</v>
      </c>
      <c r="D65" s="15" t="s">
        <v>434</v>
      </c>
      <c r="E65" s="19"/>
    </row>
    <row r="66" spans="1:5">
      <c r="A66" s="15" t="s">
        <v>472</v>
      </c>
      <c r="B66" s="15" t="s">
        <v>470</v>
      </c>
      <c r="C66" s="15" t="s">
        <v>407</v>
      </c>
      <c r="D66" s="15" t="s">
        <v>436</v>
      </c>
      <c r="E66" s="19"/>
    </row>
    <row r="67" spans="1:5">
      <c r="A67" s="15" t="s">
        <v>473</v>
      </c>
      <c r="B67" s="15" t="s">
        <v>470</v>
      </c>
      <c r="C67" s="15" t="s">
        <v>407</v>
      </c>
      <c r="D67" s="15" t="s">
        <v>438</v>
      </c>
      <c r="E67" s="19"/>
    </row>
    <row r="68" spans="1:5">
      <c r="A68" s="15" t="s">
        <v>474</v>
      </c>
      <c r="B68" s="15" t="s">
        <v>475</v>
      </c>
      <c r="C68" s="15" t="s">
        <v>407</v>
      </c>
      <c r="D68" s="15" t="s">
        <v>432</v>
      </c>
      <c r="E68" s="19"/>
    </row>
    <row r="69" spans="1:5">
      <c r="A69" s="15" t="s">
        <v>476</v>
      </c>
      <c r="B69" s="15" t="s">
        <v>475</v>
      </c>
      <c r="C69" s="15" t="s">
        <v>407</v>
      </c>
      <c r="D69" s="15" t="s">
        <v>434</v>
      </c>
      <c r="E69" s="19"/>
    </row>
    <row r="70" spans="1:5">
      <c r="A70" s="15" t="s">
        <v>477</v>
      </c>
      <c r="B70" s="15" t="s">
        <v>475</v>
      </c>
      <c r="C70" s="15" t="s">
        <v>407</v>
      </c>
      <c r="D70" s="15" t="s">
        <v>436</v>
      </c>
      <c r="E70" s="19"/>
    </row>
    <row r="71" spans="1:5">
      <c r="A71" s="20" t="s">
        <v>478</v>
      </c>
      <c r="B71" s="20" t="s">
        <v>475</v>
      </c>
      <c r="C71" s="20" t="s">
        <v>407</v>
      </c>
      <c r="D71" s="20" t="s">
        <v>438</v>
      </c>
      <c r="E71" s="24"/>
    </row>
    <row r="72" spans="1:5">
      <c r="A72" s="38" t="s">
        <v>154</v>
      </c>
      <c r="B72" s="39"/>
      <c r="C72" s="39"/>
      <c r="D72" s="39"/>
      <c r="E72" s="41"/>
    </row>
    <row r="74" spans="1:5">
      <c r="A74" s="38" t="s">
        <v>479</v>
      </c>
      <c r="B74" s="39"/>
      <c r="C74" s="39"/>
      <c r="D74" s="39"/>
      <c r="E74" s="41"/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optimalisatie                      
CONCEPT PER 01-03-2021&amp;ROpmaakdatum: 09-02-2021
Intexso - De Start 5 - Leusden
+31 (33) 2778485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C5547E493C945A2F65B61B5E461F0" ma:contentTypeVersion="12" ma:contentTypeDescription="Een nieuw document maken." ma:contentTypeScope="" ma:versionID="33c93e813a6b1f69e8895e1f51e45250">
  <xsd:schema xmlns:xsd="http://www.w3.org/2001/XMLSchema" xmlns:xs="http://www.w3.org/2001/XMLSchema" xmlns:p="http://schemas.microsoft.com/office/2006/metadata/properties" xmlns:ns1="http://schemas.microsoft.com/sharepoint/v3" xmlns:ns2="6ed0541b-cb2b-4235-b290-540da7b5c814" xmlns:ns3="d53c3cd5-66ae-4a6a-a38f-0a937aa2f05e" targetNamespace="http://schemas.microsoft.com/office/2006/metadata/properties" ma:root="true" ma:fieldsID="138f668be3bfc6046a4bc3afdfccc0d0" ns1:_="" ns2:_="" ns3:_="">
    <xsd:import namespace="http://schemas.microsoft.com/sharepoint/v3"/>
    <xsd:import namespace="6ed0541b-cb2b-4235-b290-540da7b5c814"/>
    <xsd:import namespace="d53c3cd5-66ae-4a6a-a38f-0a937aa2f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541b-cb2b-4235-b290-540da7b5c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3cd5-66ae-4a6a-a38f-0a937aa2f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B3622B-D712-48D6-B872-F556B77F0803}"/>
</file>

<file path=customXml/itemProps2.xml><?xml version="1.0" encoding="utf-8"?>
<ds:datastoreItem xmlns:ds="http://schemas.openxmlformats.org/officeDocument/2006/customXml" ds:itemID="{F61A76A6-FDB9-4C77-941D-CEA3A9CABF56}"/>
</file>

<file path=customXml/itemProps3.xml><?xml version="1.0" encoding="utf-8"?>
<ds:datastoreItem xmlns:ds="http://schemas.openxmlformats.org/officeDocument/2006/customXml" ds:itemID="{C1902EC6-340E-4363-A389-42DC76571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Intexso Adviesbureau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</dc:creator>
  <cp:keywords/>
  <dc:description/>
  <cp:lastModifiedBy>Krijnen, Anna</cp:lastModifiedBy>
  <cp:revision/>
  <dcterms:created xsi:type="dcterms:W3CDTF">2021-02-09T09:49:48Z</dcterms:created>
  <dcterms:modified xsi:type="dcterms:W3CDTF">2021-02-09T15:34:10Z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0x01010004FC5547E493C945A2F65B61B5E461F0</vt:lpwstr>
  </property>
</Properties>
</file>