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DATA\EXTERN\OMO\Aanbesteding schoonmaak 2020_2021\Invultabellen\"/>
    </mc:Choice>
  </mc:AlternateContent>
  <xr:revisionPtr revIDLastSave="0" documentId="8_{5910C64B-7B21-42A1-8971-08F63D0AFC82}" xr6:coauthVersionLast="45" xr6:coauthVersionMax="45" xr10:uidLastSave="{00000000-0000-0000-0000-000000000000}"/>
  <bookViews>
    <workbookView xWindow="-108" yWindow="-108" windowWidth="19416" windowHeight="10608" activeTab="2" xr2:uid="{DBDD5169-936B-4B70-87D2-05A43FAFFC7B}"/>
  </bookViews>
  <sheets>
    <sheet name="Omreken" sheetId="1" r:id="rId1"/>
    <sheet name="Categorienormen" sheetId="2" r:id="rId2"/>
    <sheet name="Regulier werk" sheetId="3" r:id="rId3"/>
    <sheet name="Ruimten werkdag" sheetId="4" r:id="rId4"/>
    <sheet name="Objectinformatie" sheetId="5" r:id="rId5"/>
    <sheet name="Objecten" sheetId="6" r:id="rId6"/>
    <sheet name="Niet-meewerkende objectleiding" sheetId="7" r:id="rId7"/>
    <sheet name="Totaalblad Objecten" sheetId="8" r:id="rId8"/>
    <sheet name="Afroep incidenteel" sheetId="9" r:id="rId9"/>
    <sheet name="Regiewerk" sheetId="10" r:id="rId10"/>
    <sheet name="Totaal" sheetId="11" r:id="rId11"/>
  </sheets>
  <definedNames>
    <definedName name="_xlnm._FilterDatabase" localSheetId="3" hidden="1">'Ruimten werkdag'!$A$3:$V$378</definedName>
    <definedName name="_xlnm.Print_Titles" localSheetId="8">'Afroep incidenteel'!$1:$3</definedName>
    <definedName name="_xlnm.Print_Titles" localSheetId="1">Categorienormen!$1:$3</definedName>
    <definedName name="_xlnm.Print_Titles" localSheetId="6">'Niet-meewerkende objectleiding'!$1:$3</definedName>
    <definedName name="_xlnm.Print_Titles" localSheetId="5">Objecten!$1:$3</definedName>
    <definedName name="_xlnm.Print_Titles" localSheetId="4">Objectinformatie!$A:$D,Objectinformatie!$1:$4</definedName>
    <definedName name="_xlnm.Print_Titles" localSheetId="9">Regiewerk!$1:$3</definedName>
    <definedName name="_xlnm.Print_Titles" localSheetId="2">'Regulier werk'!$1:$3</definedName>
    <definedName name="_xlnm.Print_Titles" localSheetId="3">'Ruimten werkdag'!$1:$3</definedName>
    <definedName name="_xlnm.Print_Titles" localSheetId="10">Totaal!$1:$3</definedName>
    <definedName name="_xlnm.Print_Titles" localSheetId="7">'Totaalblad Objecten'!$A:$A,'Totaalblad Objecten'!$1:$3</definedName>
    <definedName name="catdw_1_BKHB_1">Categorienormen!$F$6</definedName>
    <definedName name="catdw_1_BKHV_41">Categorienormen!$F$8</definedName>
    <definedName name="catdw_1_BKHV_42">Categorienormen!$F$7</definedName>
    <definedName name="catdw_1_BKZB_1">Categorienormen!$F$9</definedName>
    <definedName name="catdw_1_BKZV_41">Categorienormen!$F$10</definedName>
    <definedName name="catdw_1_BKZV_42">Categorienormen!$F$11</definedName>
    <definedName name="catdw_1_GSHB_1">Categorienormen!$F$25</definedName>
    <definedName name="catdw_1_GSHV_41">Categorienormen!$F$26</definedName>
    <definedName name="catdw_1_GSHV_45">Categorienormen!$F$27</definedName>
    <definedName name="catdw_1_GTHB_1">Categorienormen!$F$28</definedName>
    <definedName name="catdw_1_GTHV_41">Categorienormen!$F$29</definedName>
    <definedName name="catdw_1_KAHB_1">Categorienormen!$F$55</definedName>
    <definedName name="catdw_1_KAHV_41">Categorienormen!$F$56</definedName>
    <definedName name="catdw_1_KAHV_42">Categorienormen!$F$57</definedName>
    <definedName name="catdw_1_KDHB_1">Categorienormen!$F$58</definedName>
    <definedName name="catdw_1_KDHV_41">Categorienormen!$F$59</definedName>
    <definedName name="catdw_1_KDZB_1">Categorienormen!$F$60</definedName>
    <definedName name="catdw_1_KDZV_41">Categorienormen!$F$61</definedName>
    <definedName name="catdw_1_KDZV_42">Categorienormen!$F$62</definedName>
    <definedName name="catdw_1_KKHB_1">Categorienormen!$F$63</definedName>
    <definedName name="catdw_1_KKHV_41">Categorienormen!$F$64</definedName>
    <definedName name="catdw_1_KPHB_1">Categorienormen!$F$65</definedName>
    <definedName name="catdw_1_KPHV_41">Categorienormen!$F$66</definedName>
    <definedName name="catdw_1_KPHV_42">Categorienormen!$F$67</definedName>
    <definedName name="catdw_1_LLHB_1">Categorienormen!$F$12</definedName>
    <definedName name="catdw_1_LLHV_41">Categorienormen!$F$13</definedName>
    <definedName name="catdw_1_LLZB_1">Categorienormen!$F$14</definedName>
    <definedName name="catdw_1_LLZV_41">Categorienormen!$F$15</definedName>
    <definedName name="catdw_1_LLZV_42">Categorienormen!$F$16</definedName>
    <definedName name="catdw_1_LOHB_1">Categorienormen!$F$17</definedName>
    <definedName name="catdw_1_LOHV_41">Categorienormen!$F$18</definedName>
    <definedName name="catdw_1_LOZB_1">Categorienormen!$F$19</definedName>
    <definedName name="catdw_1_LOZV_41">Categorienormen!$F$20</definedName>
    <definedName name="catdw_1_MAHB_1">Categorienormen!$F$21</definedName>
    <definedName name="catdw_1_MAHV_41">Categorienormen!$F$22</definedName>
    <definedName name="catdw_1_MAZB_1">Categorienormen!$F$23</definedName>
    <definedName name="catdw_1_MAZV_41">Categorienormen!$F$24</definedName>
    <definedName name="catdw_1_OAHB_1">Categorienormen!$F$68</definedName>
    <definedName name="catdw_1_OAHV_1">Categorienormen!$F$70</definedName>
    <definedName name="catdw_1_OAHV_41">Categorienormen!$F$69</definedName>
    <definedName name="catdw_1_PAHB_1">Categorienormen!$F$30</definedName>
    <definedName name="catdw_1_PAHV_41">Categorienormen!$F$31</definedName>
    <definedName name="catdw_1_PKHB_1">Categorienormen!$F$32</definedName>
    <definedName name="catdw_1_PKHV_41">Categorienormen!$F$33</definedName>
    <definedName name="catdw_1_PKZB_1">Categorienormen!$F$34</definedName>
    <definedName name="catdw_1_PKZV_41">Categorienormen!$F$35</definedName>
    <definedName name="catdw_1_PLHB_1">Categorienormen!$F$36</definedName>
    <definedName name="catdw_1_PLHV_41">Categorienormen!$F$37</definedName>
    <definedName name="catdw_1_PSHB_1">Categorienormen!$F$38</definedName>
    <definedName name="catdw_1_PSHV_41">Categorienormen!$F$39</definedName>
    <definedName name="catdw_1_PSZB_1">Categorienormen!$F$40</definedName>
    <definedName name="catdw_1_PSZV_41">Categorienormen!$F$41</definedName>
    <definedName name="catdw_1_PWHB_1">Categorienormen!$F$42</definedName>
    <definedName name="catdw_1_PWHV_1">Categorienormen!$F$43</definedName>
    <definedName name="catdw_1_SDHB_1">Categorienormen!$F$44</definedName>
    <definedName name="catdw_1_SDHV_45">Categorienormen!$F$45</definedName>
    <definedName name="catdw_1_SKHB_1">Categorienormen!$F$46</definedName>
    <definedName name="catdw_1_SKHV_41">Categorienormen!$F$47</definedName>
    <definedName name="catdw_1_SKHV_45">Categorienormen!$F$48</definedName>
    <definedName name="catdw_1_STHB_1">Categorienormen!$F$49</definedName>
    <definedName name="catdw_1_STHV_41">Categorienormen!$F$50</definedName>
    <definedName name="catdw_1_STHV_42">Categorienormen!$F$52</definedName>
    <definedName name="catdw_1_STHV_45">Categorienormen!$F$51</definedName>
    <definedName name="catdw_1_SWHB_1">Categorienormen!$F$53</definedName>
    <definedName name="catdw_1_SWHV_41">Categorienormen!$F$54</definedName>
    <definedName name="catdw_1_VAHB_1">Categorienormen!$F$71</definedName>
    <definedName name="catdw_1_VAHV_41">Categorienormen!$F$72</definedName>
    <definedName name="catdw_1_VAZB_1">Categorienormen!$F$73</definedName>
    <definedName name="catdw_1_VAZV_41">Categorienormen!$F$75</definedName>
    <definedName name="catdw_1_VAZV_45">Categorienormen!$F$74</definedName>
    <definedName name="catdw_1_VEHB_1">Categorienormen!$F$76</definedName>
    <definedName name="catdw_1_VEHV_41">Categorienormen!$F$77</definedName>
    <definedName name="catdw_1_VEZB_1">Categorienormen!$F$78</definedName>
    <definedName name="catdw_1_VEZV_41">Categorienormen!$F$79</definedName>
    <definedName name="catdw_1_VLHB_1">Categorienormen!$F$80</definedName>
    <definedName name="catdw_1_VLHV_41">Categorienormen!$F$81</definedName>
    <definedName name="catdw_1_VOHB_1">Categorienormen!$F$82</definedName>
    <definedName name="catdw_1_VOHV_41">Categorienormen!$F$83</definedName>
    <definedName name="catdw_1_VOZB_1">Categorienormen!$F$84</definedName>
    <definedName name="catdw_1_VOZV_41">Categorienormen!$F$85</definedName>
    <definedName name="catdw_1_VTHB_1">Categorienormen!$F$86</definedName>
    <definedName name="catdw_1_VTHV_41">Categorienormen!$F$87</definedName>
    <definedName name="catdw_1_XSGB_1">Categorienormen!$F$88</definedName>
    <definedName name="catfd_1_BKHB_1">Categorienormen!$C$6</definedName>
    <definedName name="catfd_1_BKHV_41">Categorienormen!$C$8</definedName>
    <definedName name="catfd_1_BKHV_42">Categorienormen!$C$7</definedName>
    <definedName name="catfd_1_BKZB_1">Categorienormen!$C$9</definedName>
    <definedName name="catfd_1_BKZV_41">Categorienormen!$C$10</definedName>
    <definedName name="catfd_1_BKZV_42">Categorienormen!$C$11</definedName>
    <definedName name="catfd_1_GSHB_1">Categorienormen!$C$25</definedName>
    <definedName name="catfd_1_GSHV_41">Categorienormen!$C$26</definedName>
    <definedName name="catfd_1_GSHV_45">Categorienormen!$C$27</definedName>
    <definedName name="catfd_1_GTHB_1">Categorienormen!$C$28</definedName>
    <definedName name="catfd_1_GTHV_41">Categorienormen!$C$29</definedName>
    <definedName name="catfd_1_KAHB_1">Categorienormen!$C$55</definedName>
    <definedName name="catfd_1_KAHV_41">Categorienormen!$C$56</definedName>
    <definedName name="catfd_1_KAHV_42">Categorienormen!$C$57</definedName>
    <definedName name="catfd_1_KDHB_1">Categorienormen!$C$58</definedName>
    <definedName name="catfd_1_KDHV_41">Categorienormen!$C$59</definedName>
    <definedName name="catfd_1_KDZB_1">Categorienormen!$C$60</definedName>
    <definedName name="catfd_1_KDZV_41">Categorienormen!$C$61</definedName>
    <definedName name="catfd_1_KDZV_42">Categorienormen!$C$62</definedName>
    <definedName name="catfd_1_KKHB_1">Categorienormen!$C$63</definedName>
    <definedName name="catfd_1_KKHV_41">Categorienormen!$C$64</definedName>
    <definedName name="catfd_1_KPHB_1">Categorienormen!$C$65</definedName>
    <definedName name="catfd_1_KPHV_41">Categorienormen!$C$66</definedName>
    <definedName name="catfd_1_KPHV_42">Categorienormen!$C$67</definedName>
    <definedName name="catfd_1_LLHB_1">Categorienormen!$C$12</definedName>
    <definedName name="catfd_1_LLHV_41">Categorienormen!$C$13</definedName>
    <definedName name="catfd_1_LLZB_1">Categorienormen!$C$14</definedName>
    <definedName name="catfd_1_LLZV_41">Categorienormen!$C$15</definedName>
    <definedName name="catfd_1_LLZV_42">Categorienormen!$C$16</definedName>
    <definedName name="catfd_1_LOHB_1">Categorienormen!$C$17</definedName>
    <definedName name="catfd_1_LOHV_41">Categorienormen!$C$18</definedName>
    <definedName name="catfd_1_LOZB_1">Categorienormen!$C$19</definedName>
    <definedName name="catfd_1_LOZV_41">Categorienormen!$C$20</definedName>
    <definedName name="catfd_1_MAHB_1">Categorienormen!$C$21</definedName>
    <definedName name="catfd_1_MAHV_41">Categorienormen!$C$22</definedName>
    <definedName name="catfd_1_MAZB_1">Categorienormen!$C$23</definedName>
    <definedName name="catfd_1_MAZV_41">Categorienormen!$C$24</definedName>
    <definedName name="catfd_1_OAHB_1">Categorienormen!$C$68</definedName>
    <definedName name="catfd_1_OAHV_1">Categorienormen!$C$70</definedName>
    <definedName name="catfd_1_OAHV_41">Categorienormen!$C$69</definedName>
    <definedName name="catfd_1_PAHB_1">Categorienormen!$C$30</definedName>
    <definedName name="catfd_1_PAHV_41">Categorienormen!$C$31</definedName>
    <definedName name="catfd_1_PKHB_1">Categorienormen!$C$32</definedName>
    <definedName name="catfd_1_PKHV_41">Categorienormen!$C$33</definedName>
    <definedName name="catfd_1_PKZB_1">Categorienormen!$C$34</definedName>
    <definedName name="catfd_1_PKZV_41">Categorienormen!$C$35</definedName>
    <definedName name="catfd_1_PLHB_1">Categorienormen!$C$36</definedName>
    <definedName name="catfd_1_PLHV_41">Categorienormen!$C$37</definedName>
    <definedName name="catfd_1_PSHB_1">Categorienormen!$C$38</definedName>
    <definedName name="catfd_1_PSHV_41">Categorienormen!$C$39</definedName>
    <definedName name="catfd_1_PSZB_1">Categorienormen!$C$40</definedName>
    <definedName name="catfd_1_PSZV_41">Categorienormen!$C$41</definedName>
    <definedName name="catfd_1_PWHB_1">Categorienormen!$C$42</definedName>
    <definedName name="catfd_1_PWHV_1">Categorienormen!$C$43</definedName>
    <definedName name="catfd_1_SDHB_1">Categorienormen!$C$44</definedName>
    <definedName name="catfd_1_SDHV_45">Categorienormen!$C$45</definedName>
    <definedName name="catfd_1_SKHB_1">Categorienormen!$C$46</definedName>
    <definedName name="catfd_1_SKHV_41">Categorienormen!$C$47</definedName>
    <definedName name="catfd_1_SKHV_45">Categorienormen!$C$48</definedName>
    <definedName name="catfd_1_STHB_1">Categorienormen!$C$49</definedName>
    <definedName name="catfd_1_STHV_41">Categorienormen!$C$50</definedName>
    <definedName name="catfd_1_STHV_42">Categorienormen!$C$52</definedName>
    <definedName name="catfd_1_STHV_45">Categorienormen!$C$51</definedName>
    <definedName name="catfd_1_SWHB_1">Categorienormen!$C$53</definedName>
    <definedName name="catfd_1_SWHV_41">Categorienormen!$C$54</definedName>
    <definedName name="catfd_1_VAHB_1">Categorienormen!$C$71</definedName>
    <definedName name="catfd_1_VAHV_41">Categorienormen!$C$72</definedName>
    <definedName name="catfd_1_VAZB_1">Categorienormen!$C$73</definedName>
    <definedName name="catfd_1_VAZV_41">Categorienormen!$C$75</definedName>
    <definedName name="catfd_1_VAZV_45">Categorienormen!$C$74</definedName>
    <definedName name="catfd_1_VEHB_1">Categorienormen!$C$76</definedName>
    <definedName name="catfd_1_VEHV_41">Categorienormen!$C$77</definedName>
    <definedName name="catfd_1_VEZB_1">Categorienormen!$C$78</definedName>
    <definedName name="catfd_1_VEZV_41">Categorienormen!$C$79</definedName>
    <definedName name="catfd_1_VLHB_1">Categorienormen!$C$80</definedName>
    <definedName name="catfd_1_VLHV_41">Categorienormen!$C$81</definedName>
    <definedName name="catfd_1_VOHB_1">Categorienormen!$C$82</definedName>
    <definedName name="catfd_1_VOHV_41">Categorienormen!$C$83</definedName>
    <definedName name="catfd_1_VOZB_1">Categorienormen!$C$84</definedName>
    <definedName name="catfd_1_VOZV_41">Categorienormen!$C$85</definedName>
    <definedName name="catfd_1_VTHB_1">Categorienormen!$C$86</definedName>
    <definedName name="catfd_1_VTHV_41">Categorienormen!$C$87</definedName>
    <definedName name="catfd_1_XSGB_1">Categorienormen!$C$88</definedName>
    <definedName name="catpn_1_BKHB_1">Categorienormen!$E$6</definedName>
    <definedName name="catpn_1_BKHV_41">Categorienormen!$E$8</definedName>
    <definedName name="catpn_1_BKHV_42">Categorienormen!$E$7</definedName>
    <definedName name="catpn_1_BKZB_1">Categorienormen!$E$9</definedName>
    <definedName name="catpn_1_BKZV_41">Categorienormen!$E$10</definedName>
    <definedName name="catpn_1_BKZV_42">Categorienormen!$E$11</definedName>
    <definedName name="catpn_1_GSHB_1">Categorienormen!$E$25</definedName>
    <definedName name="catpn_1_GSHV_41">Categorienormen!$E$26</definedName>
    <definedName name="catpn_1_GSHV_45">Categorienormen!$E$27</definedName>
    <definedName name="catpn_1_GTHB_1">Categorienormen!$E$28</definedName>
    <definedName name="catpn_1_GTHV_41">Categorienormen!$E$29</definedName>
    <definedName name="catpn_1_KAHB_1">Categorienormen!$E$55</definedName>
    <definedName name="catpn_1_KAHV_41">Categorienormen!$E$56</definedName>
    <definedName name="catpn_1_KAHV_42">Categorienormen!$E$57</definedName>
    <definedName name="catpn_1_KDHB_1">Categorienormen!$E$58</definedName>
    <definedName name="catpn_1_KDHV_41">Categorienormen!$E$59</definedName>
    <definedName name="catpn_1_KDZB_1">Categorienormen!$E$60</definedName>
    <definedName name="catpn_1_KDZV_41">Categorienormen!$E$61</definedName>
    <definedName name="catpn_1_KDZV_42">Categorienormen!$E$62</definedName>
    <definedName name="catpn_1_KKHB_1">Categorienormen!$E$63</definedName>
    <definedName name="catpn_1_KKHV_41">Categorienormen!$E$64</definedName>
    <definedName name="catpn_1_KPHB_1">Categorienormen!$E$65</definedName>
    <definedName name="catpn_1_KPHV_41">Categorienormen!$E$66</definedName>
    <definedName name="catpn_1_KPHV_42">Categorienormen!$E$67</definedName>
    <definedName name="catpn_1_LLHB_1">Categorienormen!$E$12</definedName>
    <definedName name="catpn_1_LLHV_41">Categorienormen!$E$13</definedName>
    <definedName name="catpn_1_LLZB_1">Categorienormen!$E$14</definedName>
    <definedName name="catpn_1_LLZV_41">Categorienormen!$E$15</definedName>
    <definedName name="catpn_1_LLZV_42">Categorienormen!$E$16</definedName>
    <definedName name="catpn_1_LOHB_1">Categorienormen!$E$17</definedName>
    <definedName name="catpn_1_LOHV_41">Categorienormen!$E$18</definedName>
    <definedName name="catpn_1_LOZB_1">Categorienormen!$E$19</definedName>
    <definedName name="catpn_1_LOZV_41">Categorienormen!$E$20</definedName>
    <definedName name="catpn_1_MAHB_1">Categorienormen!$E$21</definedName>
    <definedName name="catpn_1_MAHV_41">Categorienormen!$E$22</definedName>
    <definedName name="catpn_1_MAZB_1">Categorienormen!$E$23</definedName>
    <definedName name="catpn_1_MAZV_41">Categorienormen!$E$24</definedName>
    <definedName name="catpn_1_OAHB_1">Categorienormen!$E$68</definedName>
    <definedName name="catpn_1_OAHV_1">Categorienormen!$E$70</definedName>
    <definedName name="catpn_1_OAHV_41">Categorienormen!$E$69</definedName>
    <definedName name="catpn_1_PAHB_1">Categorienormen!$E$30</definedName>
    <definedName name="catpn_1_PAHV_41">Categorienormen!$E$31</definedName>
    <definedName name="catpn_1_PKHB_1">Categorienormen!$E$32</definedName>
    <definedName name="catpn_1_PKHV_41">Categorienormen!$E$33</definedName>
    <definedName name="catpn_1_PKZB_1">Categorienormen!$E$34</definedName>
    <definedName name="catpn_1_PKZV_41">Categorienormen!$E$35</definedName>
    <definedName name="catpn_1_PLHB_1">Categorienormen!$E$36</definedName>
    <definedName name="catpn_1_PLHV_41">Categorienormen!$E$37</definedName>
    <definedName name="catpn_1_PSHB_1">Categorienormen!$E$38</definedName>
    <definedName name="catpn_1_PSHV_41">Categorienormen!$E$39</definedName>
    <definedName name="catpn_1_PSZB_1">Categorienormen!$E$40</definedName>
    <definedName name="catpn_1_PSZV_41">Categorienormen!$E$41</definedName>
    <definedName name="catpn_1_PWHB_1">Categorienormen!$E$42</definedName>
    <definedName name="catpn_1_PWHV_1">Categorienormen!$E$43</definedName>
    <definedName name="catpn_1_SDHB_1">Categorienormen!$E$44</definedName>
    <definedName name="catpn_1_SDHV_45">Categorienormen!$E$45</definedName>
    <definedName name="catpn_1_SKHB_1">Categorienormen!$E$46</definedName>
    <definedName name="catpn_1_SKHV_41">Categorienormen!$E$47</definedName>
    <definedName name="catpn_1_SKHV_45">Categorienormen!$E$48</definedName>
    <definedName name="catpn_1_STHB_1">Categorienormen!$E$49</definedName>
    <definedName name="catpn_1_STHV_41">Categorienormen!$E$50</definedName>
    <definedName name="catpn_1_STHV_42">Categorienormen!$E$52</definedName>
    <definedName name="catpn_1_STHV_45">Categorienormen!$E$51</definedName>
    <definedName name="catpn_1_SWHB_1">Categorienormen!$E$53</definedName>
    <definedName name="catpn_1_SWHV_41">Categorienormen!$E$54</definedName>
    <definedName name="catpn_1_VAHB_1">Categorienormen!$E$71</definedName>
    <definedName name="catpn_1_VAHV_41">Categorienormen!$E$72</definedName>
    <definedName name="catpn_1_VAZB_1">Categorienormen!$E$73</definedName>
    <definedName name="catpn_1_VAZV_41">Categorienormen!$E$75</definedName>
    <definedName name="catpn_1_VAZV_45">Categorienormen!$E$74</definedName>
    <definedName name="catpn_1_VEHB_1">Categorienormen!$E$76</definedName>
    <definedName name="catpn_1_VEHV_41">Categorienormen!$E$77</definedName>
    <definedName name="catpn_1_VEZB_1">Categorienormen!$E$78</definedName>
    <definedName name="catpn_1_VEZV_41">Categorienormen!$E$79</definedName>
    <definedName name="catpn_1_VLHB_1">Categorienormen!$E$80</definedName>
    <definedName name="catpn_1_VLHV_41">Categorienormen!$E$81</definedName>
    <definedName name="catpn_1_VOHB_1">Categorienormen!$E$82</definedName>
    <definedName name="catpn_1_VOHV_41">Categorienormen!$E$83</definedName>
    <definedName name="catpn_1_VOZB_1">Categorienormen!$E$84</definedName>
    <definedName name="catpn_1_VOZV_41">Categorienormen!$E$85</definedName>
    <definedName name="catpn_1_VTHB_1">Categorienormen!$E$86</definedName>
    <definedName name="catpn_1_VTHV_41">Categorienormen!$E$87</definedName>
    <definedName name="catpn_1_XSGB_1">Categorienormen!$E$88</definedName>
    <definedName name="cattf_1_BKHB_1">Categorienormen!$H$6</definedName>
    <definedName name="cattf_1_BKHV_41">Categorienormen!$H$8</definedName>
    <definedName name="cattf_1_BKHV_42">Categorienormen!$H$7</definedName>
    <definedName name="cattf_1_BKZB_1">Categorienormen!$H$9</definedName>
    <definedName name="cattf_1_BKZV_41">Categorienormen!$H$10</definedName>
    <definedName name="cattf_1_BKZV_42">Categorienormen!$H$11</definedName>
    <definedName name="cattf_1_GSHB_1">Categorienormen!$H$25</definedName>
    <definedName name="cattf_1_GSHV_41">Categorienormen!$H$26</definedName>
    <definedName name="cattf_1_GSHV_45">Categorienormen!$H$27</definedName>
    <definedName name="cattf_1_GTHB_1">Categorienormen!$H$28</definedName>
    <definedName name="cattf_1_GTHV_41">Categorienormen!$H$29</definedName>
    <definedName name="cattf_1_KAHB_1">Categorienormen!$H$55</definedName>
    <definedName name="cattf_1_KAHV_41">Categorienormen!$H$56</definedName>
    <definedName name="cattf_1_KAHV_42">Categorienormen!$H$57</definedName>
    <definedName name="cattf_1_KDHB_1">Categorienormen!$H$58</definedName>
    <definedName name="cattf_1_KDHV_41">Categorienormen!$H$59</definedName>
    <definedName name="cattf_1_KDZB_1">Categorienormen!$H$60</definedName>
    <definedName name="cattf_1_KDZV_41">Categorienormen!$H$61</definedName>
    <definedName name="cattf_1_KDZV_42">Categorienormen!$H$62</definedName>
    <definedName name="cattf_1_KKHB_1">Categorienormen!$H$63</definedName>
    <definedName name="cattf_1_KKHV_41">Categorienormen!$H$64</definedName>
    <definedName name="cattf_1_KPHB_1">Categorienormen!$H$65</definedName>
    <definedName name="cattf_1_KPHV_41">Categorienormen!$H$66</definedName>
    <definedName name="cattf_1_KPHV_42">Categorienormen!$H$67</definedName>
    <definedName name="cattf_1_LLHB_1">Categorienormen!$H$12</definedName>
    <definedName name="cattf_1_LLHV_41">Categorienormen!$H$13</definedName>
    <definedName name="cattf_1_LLZB_1">Categorienormen!$H$14</definedName>
    <definedName name="cattf_1_LLZV_41">Categorienormen!$H$15</definedName>
    <definedName name="cattf_1_LLZV_42">Categorienormen!$H$16</definedName>
    <definedName name="cattf_1_LOHB_1">Categorienormen!$H$17</definedName>
    <definedName name="cattf_1_LOHV_41">Categorienormen!$H$18</definedName>
    <definedName name="cattf_1_LOZB_1">Categorienormen!$H$19</definedName>
    <definedName name="cattf_1_LOZV_41">Categorienormen!$H$20</definedName>
    <definedName name="cattf_1_MAHB_1">Categorienormen!$H$21</definedName>
    <definedName name="cattf_1_MAHV_41">Categorienormen!$H$22</definedName>
    <definedName name="cattf_1_MAZB_1">Categorienormen!$H$23</definedName>
    <definedName name="cattf_1_MAZV_41">Categorienormen!$H$24</definedName>
    <definedName name="cattf_1_OAHB_1">Categorienormen!$H$68</definedName>
    <definedName name="cattf_1_OAHV_1">Categorienormen!$H$70</definedName>
    <definedName name="cattf_1_OAHV_41">Categorienormen!$H$69</definedName>
    <definedName name="cattf_1_PAHB_1">Categorienormen!$H$30</definedName>
    <definedName name="cattf_1_PAHV_41">Categorienormen!$H$31</definedName>
    <definedName name="cattf_1_PKHB_1">Categorienormen!$H$32</definedName>
    <definedName name="cattf_1_PKHV_41">Categorienormen!$H$33</definedName>
    <definedName name="cattf_1_PKZB_1">Categorienormen!$H$34</definedName>
    <definedName name="cattf_1_PKZV_41">Categorienormen!$H$35</definedName>
    <definedName name="cattf_1_PLHB_1">Categorienormen!$H$36</definedName>
    <definedName name="cattf_1_PLHV_41">Categorienormen!$H$37</definedName>
    <definedName name="cattf_1_PSHB_1">Categorienormen!$H$38</definedName>
    <definedName name="cattf_1_PSHV_41">Categorienormen!$H$39</definedName>
    <definedName name="cattf_1_PSZB_1">Categorienormen!$H$40</definedName>
    <definedName name="cattf_1_PSZV_41">Categorienormen!$H$41</definedName>
    <definedName name="cattf_1_PWHB_1">Categorienormen!$H$42</definedName>
    <definedName name="cattf_1_PWHV_1">Categorienormen!$H$43</definedName>
    <definedName name="cattf_1_SDHB_1">Categorienormen!$H$44</definedName>
    <definedName name="cattf_1_SDHV_45">Categorienormen!$H$45</definedName>
    <definedName name="cattf_1_SKHB_1">Categorienormen!$H$46</definedName>
    <definedName name="cattf_1_SKHV_41">Categorienormen!$H$47</definedName>
    <definedName name="cattf_1_SKHV_45">Categorienormen!$H$48</definedName>
    <definedName name="cattf_1_STHB_1">Categorienormen!$H$49</definedName>
    <definedName name="cattf_1_STHV_41">Categorienormen!$H$50</definedName>
    <definedName name="cattf_1_STHV_42">Categorienormen!$H$52</definedName>
    <definedName name="cattf_1_STHV_45">Categorienormen!$H$51</definedName>
    <definedName name="cattf_1_SWHB_1">Categorienormen!$H$53</definedName>
    <definedName name="cattf_1_SWHV_41">Categorienormen!$H$54</definedName>
    <definedName name="cattf_1_VAHB_1">Categorienormen!$H$71</definedName>
    <definedName name="cattf_1_VAHV_41">Categorienormen!$H$72</definedName>
    <definedName name="cattf_1_VAZB_1">Categorienormen!$H$73</definedName>
    <definedName name="cattf_1_VAZV_41">Categorienormen!$H$75</definedName>
    <definedName name="cattf_1_VAZV_45">Categorienormen!$H$74</definedName>
    <definedName name="cattf_1_VEHB_1">Categorienormen!$H$76</definedName>
    <definedName name="cattf_1_VEHV_41">Categorienormen!$H$77</definedName>
    <definedName name="cattf_1_VEZB_1">Categorienormen!$H$78</definedName>
    <definedName name="cattf_1_VEZV_41">Categorienormen!$H$79</definedName>
    <definedName name="cattf_1_VLHB_1">Categorienormen!$H$80</definedName>
    <definedName name="cattf_1_VLHV_41">Categorienormen!$H$81</definedName>
    <definedName name="cattf_1_VOHB_1">Categorienormen!$H$82</definedName>
    <definedName name="cattf_1_VOHV_41">Categorienormen!$H$83</definedName>
    <definedName name="cattf_1_VOZB_1">Categorienormen!$H$84</definedName>
    <definedName name="cattf_1_VOZV_41">Categorienormen!$H$85</definedName>
    <definedName name="cattf_1_VTHB_1">Categorienormen!$H$86</definedName>
    <definedName name="cattf_1_VTHV_41">Categorienormen!$H$87</definedName>
    <definedName name="cattf_1_XSGB_1">Categorienormen!$H$88</definedName>
    <definedName name="dagenperjaar1">Omreken!$B$9</definedName>
    <definedName name="dagenperjaar2">Omreken!$E$9</definedName>
    <definedName name="dagenperjaar3">Omreken!$H$9</definedName>
    <definedName name="dagenperweek1">Omreken!$B$10</definedName>
    <definedName name="dagenperweek2">Omreken!$E$10</definedName>
    <definedName name="dagenperweek3">Omreken!$H$10</definedName>
    <definedName name="dagsoorttabel1">Omreken!$A$13:$B$30</definedName>
    <definedName name="dagsoorttabel2">Omreken!$D$13:$E$24</definedName>
    <definedName name="dagsoorttabel3">Omreken!$G$13:$H$14</definedName>
    <definedName name="dagwerk1">'Regulier werk'!$H$59</definedName>
    <definedName name="dagwerk10">'Regulier werk'!$H$13</definedName>
    <definedName name="dagwerk11">'Regulier werk'!$H$14</definedName>
    <definedName name="dagwerk12">'Regulier werk'!$H$15</definedName>
    <definedName name="dagwerk13">'Regulier werk'!$H$16</definedName>
    <definedName name="dagwerk14">'Regulier werk'!$H$17</definedName>
    <definedName name="dagwerk15">'Regulier werk'!$H$18</definedName>
    <definedName name="dagwerk16">'Regulier werk'!$H$19</definedName>
    <definedName name="dagwerk17">'Regulier werk'!$H$20</definedName>
    <definedName name="dagwerk18">'Regulier werk'!$H$21</definedName>
    <definedName name="dagwerk19">'Regulier werk'!$H$22</definedName>
    <definedName name="dagwerk2">'Regulier werk'!$H$60</definedName>
    <definedName name="dagwerk20">'Regulier werk'!$H$23</definedName>
    <definedName name="dagwerk21">'Regulier werk'!$H$24</definedName>
    <definedName name="dagwerk22">'Regulier werk'!$H$25</definedName>
    <definedName name="dagwerk23">'Regulier werk'!$H$26</definedName>
    <definedName name="dagwerk24">'Regulier werk'!$H$27</definedName>
    <definedName name="dagwerk25">'Regulier werk'!$H$28</definedName>
    <definedName name="dagwerk26">'Regulier werk'!$H$29</definedName>
    <definedName name="dagwerk27">'Regulier werk'!$H$30</definedName>
    <definedName name="dagwerk28">'Regulier werk'!$H$31</definedName>
    <definedName name="dagwerk29">'Regulier werk'!$H$32</definedName>
    <definedName name="dagwerk3">'Regulier werk'!$H$6</definedName>
    <definedName name="dagwerk30">'Regulier werk'!$H$33</definedName>
    <definedName name="dagwerk31">'Regulier werk'!$H$34</definedName>
    <definedName name="dagwerk32">'Regulier werk'!$H$35</definedName>
    <definedName name="dagwerk33">'Regulier werk'!$H$36</definedName>
    <definedName name="dagwerk34">'Regulier werk'!$H$37</definedName>
    <definedName name="dagwerk35">'Regulier werk'!$H$38</definedName>
    <definedName name="dagwerk36">'Regulier werk'!$H$39</definedName>
    <definedName name="dagwerk37">'Regulier werk'!$H$40</definedName>
    <definedName name="dagwerk38">'Regulier werk'!$H$41</definedName>
    <definedName name="dagwerk39">'Regulier werk'!$H$42</definedName>
    <definedName name="dagwerk4">'Regulier werk'!$H$7</definedName>
    <definedName name="dagwerk40">'Regulier werk'!$H$43</definedName>
    <definedName name="dagwerk41">'Regulier werk'!$H$44</definedName>
    <definedName name="dagwerk42">'Regulier werk'!$H$45</definedName>
    <definedName name="dagwerk43">'Regulier werk'!$H$46</definedName>
    <definedName name="dagwerk44">'Regulier werk'!$H$47</definedName>
    <definedName name="dagwerk45">'Regulier werk'!$H$48</definedName>
    <definedName name="dagwerk46">'Regulier werk'!$H$49</definedName>
    <definedName name="dagwerk47">'Regulier werk'!$H$50</definedName>
    <definedName name="dagwerk48">'Regulier werk'!$H$51</definedName>
    <definedName name="dagwerk49">'Regulier werk'!$H$52</definedName>
    <definedName name="dagwerk5">'Regulier werk'!$H$8</definedName>
    <definedName name="dagwerk50">'Regulier werk'!$H$53</definedName>
    <definedName name="dagwerk51">'Regulier werk'!$H$54</definedName>
    <definedName name="dagwerk52">'Regulier werk'!$H$55</definedName>
    <definedName name="dagwerk53">'Regulier werk'!$H$56</definedName>
    <definedName name="dagwerk54">'Regulier werk'!$H$57</definedName>
    <definedName name="dagwerk55">'Regulier werk'!$H$58</definedName>
    <definedName name="dagwerk6">'Regulier werk'!$H$9</definedName>
    <definedName name="dagwerk7">'Regulier werk'!$H$10</definedName>
    <definedName name="dagwerk8">'Regulier werk'!$H$11</definedName>
    <definedName name="dagwerk9">'Regulier werk'!$H$12</definedName>
    <definedName name="dagwerktabel1">Objectinformatie!$H$5:$H$59</definedName>
    <definedName name="gemuurtarief1">'Regulier werk'!$J$63</definedName>
    <definedName name="kengetaltabel1">Objectinformatie!$G$5:$G$59</definedName>
    <definedName name="object1_gemuurtarief1">'Ruimten werkdag'!$Q$118</definedName>
    <definedName name="object1_opptabel1">Objectinformatie!$J$5:$J$59</definedName>
    <definedName name="object1_prijsdag1">'Ruimten werkdag'!$T$118</definedName>
    <definedName name="object1_prijsjaar1">'Ruimten werkdag'!$V$118</definedName>
    <definedName name="object1_urendag1">'Ruimten werkdag'!$R$118</definedName>
    <definedName name="object1_urendaghf1">'Ruimten werkdag'!$S$118</definedName>
    <definedName name="object1_urenjaar1">'Ruimten werkdag'!$U$118</definedName>
    <definedName name="object2_gemuurtarief1">'Ruimten werkdag'!$Q$209</definedName>
    <definedName name="object2_opptabel1">Objectinformatie!$K$5:$K$59</definedName>
    <definedName name="object2_prijsdag1">'Ruimten werkdag'!$T$209</definedName>
    <definedName name="object2_prijsjaar1">'Ruimten werkdag'!$V$209</definedName>
    <definedName name="object2_urendag1">'Ruimten werkdag'!$R$209</definedName>
    <definedName name="object2_urendaghf1">'Ruimten werkdag'!$S$209</definedName>
    <definedName name="object2_urenjaar1">'Ruimten werkdag'!$U$209</definedName>
    <definedName name="object3_gemuurtarief1">'Ruimten werkdag'!$Q$378</definedName>
    <definedName name="object3_opptabel1">Objectinformatie!$L$5:$L$59</definedName>
    <definedName name="object3_prijsdag1">'Ruimten werkdag'!$T$378</definedName>
    <definedName name="object3_prijsjaar1">'Ruimten werkdag'!$V$378</definedName>
    <definedName name="object3_urendag1">'Ruimten werkdag'!$R$378</definedName>
    <definedName name="object3_urendaghf1">'Ruimten werkdag'!$S$378</definedName>
    <definedName name="object3_urenjaar1">'Ruimten werkdag'!$U$378</definedName>
    <definedName name="objectprijs1_1">Objecten!$L$6</definedName>
    <definedName name="objectprijs2_1">Objecten!$L$7</definedName>
    <definedName name="objectprijs3_1">Objecten!$L$8</definedName>
    <definedName name="objecturen1_1">Objecten!$K$6</definedName>
    <definedName name="objecturen2_1">Objecten!$K$7</definedName>
    <definedName name="objecturen3_1">Objecten!$K$8</definedName>
    <definedName name="objecturenhf1_1">Objecten!$J$6</definedName>
    <definedName name="objecturenhf2_1">Objecten!$J$7</definedName>
    <definedName name="objecturenhf3_1">Objecten!$J$8</definedName>
    <definedName name="prijsdag1">'Regulier werk'!$L$61</definedName>
    <definedName name="prijsjaar">'Regulier werk'!$N$66</definedName>
    <definedName name="prijsjaar1">'Regulier werk'!$N$61</definedName>
    <definedName name="prijsjaarnietmeewerkend">'Niet-meewerkende objectleiding'!$J$33</definedName>
    <definedName name="prijsjaarregie">Regiewerk!$K$11</definedName>
    <definedName name="prijsjaarregie1">Regiewerk!$K$9</definedName>
    <definedName name="prijsjaartotaal">Objecten!$L$12</definedName>
    <definedName name="prijsjaartotaal1">Objecten!$L$9</definedName>
    <definedName name="prijsjaartotaaloverzicht">'Totaalblad Objecten'!$B$13</definedName>
    <definedName name="prijsmaandtotaal1">Objecten!$M$9</definedName>
    <definedName name="prodnorm1">'Regulier werk'!$G$59</definedName>
    <definedName name="prodnorm10">'Regulier werk'!$G$13</definedName>
    <definedName name="prodnorm11">'Regulier werk'!$G$14</definedName>
    <definedName name="prodnorm12">'Regulier werk'!$G$15</definedName>
    <definedName name="prodnorm13">'Regulier werk'!$G$16</definedName>
    <definedName name="prodnorm14">'Regulier werk'!$G$17</definedName>
    <definedName name="prodnorm15">'Regulier werk'!$G$18</definedName>
    <definedName name="prodnorm16">'Regulier werk'!$G$19</definedName>
    <definedName name="prodnorm17">'Regulier werk'!$G$20</definedName>
    <definedName name="prodnorm18">'Regulier werk'!$G$21</definedName>
    <definedName name="prodnorm19">'Regulier werk'!$G$22</definedName>
    <definedName name="prodnorm2">'Regulier werk'!$G$60</definedName>
    <definedName name="prodnorm20">'Regulier werk'!$G$23</definedName>
    <definedName name="prodnorm21">'Regulier werk'!$G$24</definedName>
    <definedName name="prodnorm22">'Regulier werk'!$G$25</definedName>
    <definedName name="prodnorm23">'Regulier werk'!$G$26</definedName>
    <definedName name="prodnorm24">'Regulier werk'!$G$27</definedName>
    <definedName name="prodnorm25">'Regulier werk'!$G$28</definedName>
    <definedName name="prodnorm26">'Regulier werk'!$G$29</definedName>
    <definedName name="prodnorm27">'Regulier werk'!$G$30</definedName>
    <definedName name="prodnorm28">'Regulier werk'!$G$31</definedName>
    <definedName name="prodnorm29">'Regulier werk'!$G$32</definedName>
    <definedName name="prodnorm3">'Regulier werk'!$G$6</definedName>
    <definedName name="prodnorm30">'Regulier werk'!$G$33</definedName>
    <definedName name="prodnorm31">'Regulier werk'!$G$34</definedName>
    <definedName name="prodnorm32">'Regulier werk'!$G$35</definedName>
    <definedName name="prodnorm33">'Regulier werk'!$G$36</definedName>
    <definedName name="prodnorm34">'Regulier werk'!$G$37</definedName>
    <definedName name="prodnorm35">'Regulier werk'!$G$38</definedName>
    <definedName name="prodnorm36">'Regulier werk'!$G$39</definedName>
    <definedName name="prodnorm37">'Regulier werk'!$G$40</definedName>
    <definedName name="prodnorm38">'Regulier werk'!$G$41</definedName>
    <definedName name="prodnorm39">'Regulier werk'!$G$42</definedName>
    <definedName name="prodnorm4">'Regulier werk'!$G$7</definedName>
    <definedName name="prodnorm40">'Regulier werk'!$G$43</definedName>
    <definedName name="prodnorm41">'Regulier werk'!$G$44</definedName>
    <definedName name="prodnorm42">'Regulier werk'!$G$45</definedName>
    <definedName name="prodnorm43">'Regulier werk'!$G$46</definedName>
    <definedName name="prodnorm44">'Regulier werk'!$G$47</definedName>
    <definedName name="prodnorm45">'Regulier werk'!$G$48</definedName>
    <definedName name="prodnorm46">'Regulier werk'!$G$49</definedName>
    <definedName name="prodnorm47">'Regulier werk'!$G$50</definedName>
    <definedName name="prodnorm48">'Regulier werk'!$G$51</definedName>
    <definedName name="prodnorm49">'Regulier werk'!$G$52</definedName>
    <definedName name="prodnorm5">'Regulier werk'!$G$8</definedName>
    <definedName name="prodnorm50">'Regulier werk'!$G$53</definedName>
    <definedName name="prodnorm51">'Regulier werk'!$G$54</definedName>
    <definedName name="prodnorm52">'Regulier werk'!$G$55</definedName>
    <definedName name="prodnorm53">'Regulier werk'!$G$56</definedName>
    <definedName name="prodnorm54">'Regulier werk'!$G$57</definedName>
    <definedName name="prodnorm55">'Regulier werk'!$G$58</definedName>
    <definedName name="prodnorm6">'Regulier werk'!$G$9</definedName>
    <definedName name="prodnorm7">'Regulier werk'!$G$10</definedName>
    <definedName name="prodnorm8">'Regulier werk'!$G$11</definedName>
    <definedName name="prodnorm9">'Regulier werk'!$G$12</definedName>
    <definedName name="taakfreqtabel1">Objectinformatie!$E$5:$E$59</definedName>
    <definedName name="tabeltype">Omreken!$B$5:$B$5</definedName>
    <definedName name="tarieftabel1">Objectinformatie!$I$5:$I$59</definedName>
    <definedName name="tzpjt1">'Niet-meewerkende objectleiding'!$J$30</definedName>
    <definedName name="tzpjt1_1">'Niet-meewerkende objectleiding'!$J$12</definedName>
    <definedName name="tzpjt2_1">'Niet-meewerkende objectleiding'!$J$20</definedName>
    <definedName name="tzpjt3_1">'Niet-meewerkende objectleiding'!$J$28</definedName>
    <definedName name="tzpmt1">'Niet-meewerkende objectleiding'!$K$30</definedName>
    <definedName name="tzpmt1_1">'Niet-meewerkende objectleiding'!$K$12</definedName>
    <definedName name="tzpmt2_1">'Niet-meewerkende objectleiding'!$K$20</definedName>
    <definedName name="tzpmt3_1">'Niet-meewerkende objectleiding'!$K$28</definedName>
    <definedName name="tzujt1">'Niet-meewerkende objectleiding'!$H$30</definedName>
    <definedName name="tzujt1_1">'Niet-meewerkende objectleiding'!$H$12</definedName>
    <definedName name="tzujt2_1">'Niet-meewerkende objectleiding'!$H$20</definedName>
    <definedName name="tzujt3_1">'Niet-meewerkende objectleiding'!$H$28</definedName>
    <definedName name="urendag1">'Regulier werk'!$K$61</definedName>
    <definedName name="urenjaar">'Regulier werk'!$M$66</definedName>
    <definedName name="urenjaar1">'Regulier werk'!$M$61</definedName>
    <definedName name="urenjaarnietmeewerkend">'Niet-meewerkende objectleiding'!$H$33</definedName>
    <definedName name="urenjaartotaal">Objecten!$K$12</definedName>
    <definedName name="urenjaartotaal1">Objecten!$K$9</definedName>
    <definedName name="urenjaartotaalhf">Objecten!$J$12</definedName>
    <definedName name="urenjaartotaalhf1">Objecten!$J$9</definedName>
    <definedName name="urenjaartotaaloverzicht">'Totaalblad Objecten'!$B$11</definedName>
    <definedName name="urenjaartotaaloverzichthf">'Totaalblad Objecten'!$B$10</definedName>
    <definedName name="uurfactortabel1">Objectinformatie!$F$5:$F$59</definedName>
    <definedName name="uurtarief1">'Regulier werk'!$J$59</definedName>
    <definedName name="uurtarief10">'Regulier werk'!$J$13</definedName>
    <definedName name="uurtarief11">'Regulier werk'!$J$14</definedName>
    <definedName name="uurtarief12">'Regulier werk'!$J$15</definedName>
    <definedName name="uurtarief13">'Regulier werk'!$J$16</definedName>
    <definedName name="uurtarief14">'Regulier werk'!$J$17</definedName>
    <definedName name="uurtarief15">'Regulier werk'!$J$18</definedName>
    <definedName name="uurtarief16">'Regulier werk'!$J$19</definedName>
    <definedName name="uurtarief17">'Regulier werk'!$J$20</definedName>
    <definedName name="uurtarief18">'Regulier werk'!$J$21</definedName>
    <definedName name="uurtarief19">'Regulier werk'!$J$22</definedName>
    <definedName name="uurtarief2">'Regulier werk'!$J$60</definedName>
    <definedName name="uurtarief20">'Regulier werk'!$J$23</definedName>
    <definedName name="uurtarief21">'Regulier werk'!$J$24</definedName>
    <definedName name="uurtarief22">'Regulier werk'!$J$25</definedName>
    <definedName name="uurtarief23">'Regulier werk'!$J$26</definedName>
    <definedName name="uurtarief24">'Regulier werk'!$J$27</definedName>
    <definedName name="uurtarief25">'Regulier werk'!$J$28</definedName>
    <definedName name="uurtarief26">'Regulier werk'!$J$29</definedName>
    <definedName name="uurtarief27">'Regulier werk'!$J$30</definedName>
    <definedName name="uurtarief28">'Regulier werk'!$J$31</definedName>
    <definedName name="uurtarief29">'Regulier werk'!$J$32</definedName>
    <definedName name="uurtarief3">'Regulier werk'!$J$6</definedName>
    <definedName name="uurtarief30">'Regulier werk'!$J$33</definedName>
    <definedName name="uurtarief31">'Regulier werk'!$J$34</definedName>
    <definedName name="uurtarief32">'Regulier werk'!$J$35</definedName>
    <definedName name="uurtarief33">'Regulier werk'!$J$36</definedName>
    <definedName name="uurtarief34">'Regulier werk'!$J$37</definedName>
    <definedName name="uurtarief35">'Regulier werk'!$J$38</definedName>
    <definedName name="uurtarief36">'Regulier werk'!$J$39</definedName>
    <definedName name="uurtarief37">'Regulier werk'!$J$40</definedName>
    <definedName name="uurtarief38">'Regulier werk'!$J$41</definedName>
    <definedName name="uurtarief39">'Regulier werk'!$J$42</definedName>
    <definedName name="uurtarief4">'Regulier werk'!$J$7</definedName>
    <definedName name="uurtarief40">'Regulier werk'!$J$43</definedName>
    <definedName name="uurtarief41">'Regulier werk'!$J$44</definedName>
    <definedName name="uurtarief42">'Regulier werk'!$J$45</definedName>
    <definedName name="uurtarief43">'Regulier werk'!$J$46</definedName>
    <definedName name="uurtarief44">'Regulier werk'!$J$47</definedName>
    <definedName name="uurtarief45">'Regulier werk'!$J$48</definedName>
    <definedName name="uurtarief46">'Regulier werk'!$J$49</definedName>
    <definedName name="uurtarief47">'Regulier werk'!$J$50</definedName>
    <definedName name="uurtarief48">'Regulier werk'!$J$51</definedName>
    <definedName name="uurtarief49">'Regulier werk'!$J$52</definedName>
    <definedName name="uurtarief5">'Regulier werk'!$J$8</definedName>
    <definedName name="uurtarief50">'Regulier werk'!$J$53</definedName>
    <definedName name="uurtarief51">'Regulier werk'!$J$54</definedName>
    <definedName name="uurtarief52">'Regulier werk'!$J$55</definedName>
    <definedName name="uurtarief53">'Regulier werk'!$J$56</definedName>
    <definedName name="uurtarief54">'Regulier werk'!$J$57</definedName>
    <definedName name="uurtarief55">'Regulier werk'!$J$58</definedName>
    <definedName name="uurtarief6">'Regulier werk'!$J$9</definedName>
    <definedName name="uurtarief7">'Regulier werk'!$J$10</definedName>
    <definedName name="uurtarief8">'Regulier werk'!$J$11</definedName>
    <definedName name="uurtarief9">'Regulier werk'!$J$12</definedName>
    <definedName name="vp_leiding">Totaal!$F$5</definedName>
    <definedName name="vp_regie">Totaal!$F$6</definedName>
    <definedName name="vp_regulier">Totaal!$F$4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11" l="1"/>
  <c r="J8" i="10"/>
  <c r="J7" i="10"/>
  <c r="J6" i="10"/>
  <c r="A1" i="10"/>
  <c r="A1" i="9"/>
  <c r="B8" i="8"/>
  <c r="A1" i="8"/>
  <c r="H28" i="7"/>
  <c r="E14" i="8" s="1"/>
  <c r="J27" i="7"/>
  <c r="J28" i="7" s="1"/>
  <c r="E15" i="8" s="1"/>
  <c r="I27" i="7"/>
  <c r="H27" i="7"/>
  <c r="C27" i="7"/>
  <c r="J26" i="7"/>
  <c r="K26" i="7" s="1"/>
  <c r="I26" i="7"/>
  <c r="H26" i="7"/>
  <c r="C26" i="7"/>
  <c r="K25" i="7"/>
  <c r="J25" i="7"/>
  <c r="H25" i="7"/>
  <c r="C25" i="7"/>
  <c r="I25" i="7" s="1"/>
  <c r="J24" i="7"/>
  <c r="K24" i="7" s="1"/>
  <c r="H24" i="7"/>
  <c r="C24" i="7"/>
  <c r="I24" i="7" s="1"/>
  <c r="J19" i="7"/>
  <c r="K19" i="7" s="1"/>
  <c r="H19" i="7"/>
  <c r="C19" i="7"/>
  <c r="I19" i="7" s="1"/>
  <c r="J18" i="7"/>
  <c r="K18" i="7" s="1"/>
  <c r="H18" i="7"/>
  <c r="C18" i="7"/>
  <c r="I18" i="7" s="1"/>
  <c r="J17" i="7"/>
  <c r="K17" i="7" s="1"/>
  <c r="H17" i="7"/>
  <c r="H20" i="7" s="1"/>
  <c r="C17" i="7"/>
  <c r="I17" i="7" s="1"/>
  <c r="J16" i="7"/>
  <c r="J20" i="7" s="1"/>
  <c r="I16" i="7"/>
  <c r="H16" i="7"/>
  <c r="C16" i="7"/>
  <c r="J11" i="7"/>
  <c r="K11" i="7" s="1"/>
  <c r="H11" i="7"/>
  <c r="C11" i="7"/>
  <c r="I11" i="7" s="1"/>
  <c r="K10" i="7"/>
  <c r="J10" i="7"/>
  <c r="H10" i="7"/>
  <c r="I10" i="7" s="1"/>
  <c r="C10" i="7"/>
  <c r="K9" i="7"/>
  <c r="J9" i="7"/>
  <c r="H9" i="7"/>
  <c r="C9" i="7"/>
  <c r="I9" i="7" s="1"/>
  <c r="J8" i="7"/>
  <c r="J12" i="7" s="1"/>
  <c r="C15" i="8" s="1"/>
  <c r="H8" i="7"/>
  <c r="H12" i="7" s="1"/>
  <c r="C14" i="8" s="1"/>
  <c r="C8" i="7"/>
  <c r="I8" i="7" s="1"/>
  <c r="A1" i="7"/>
  <c r="A1" i="6"/>
  <c r="I59" i="5"/>
  <c r="H59" i="5"/>
  <c r="G59" i="5"/>
  <c r="Q329" i="4"/>
  <c r="N293" i="4"/>
  <c r="Q257" i="4"/>
  <c r="O257" i="4"/>
  <c r="N257" i="4"/>
  <c r="Q228" i="4"/>
  <c r="M204" i="4"/>
  <c r="Q200" i="4"/>
  <c r="O200" i="4"/>
  <c r="M183" i="4"/>
  <c r="Q182" i="4"/>
  <c r="O182" i="4"/>
  <c r="Q169" i="4"/>
  <c r="N168" i="4"/>
  <c r="Q157" i="4"/>
  <c r="Q149" i="4"/>
  <c r="O149" i="4"/>
  <c r="Q147" i="4"/>
  <c r="O147" i="4"/>
  <c r="N147" i="4"/>
  <c r="Q142" i="4"/>
  <c r="O142" i="4"/>
  <c r="N142" i="4"/>
  <c r="Q141" i="4"/>
  <c r="O134" i="4"/>
  <c r="M134" i="4"/>
  <c r="Q127" i="4"/>
  <c r="N127" i="4"/>
  <c r="O120" i="4"/>
  <c r="N120" i="4"/>
  <c r="M120" i="4"/>
  <c r="Q114" i="4"/>
  <c r="O114" i="4"/>
  <c r="N114" i="4"/>
  <c r="M114" i="4"/>
  <c r="Q108" i="4"/>
  <c r="Q104" i="4"/>
  <c r="O104" i="4"/>
  <c r="N104" i="4"/>
  <c r="M104" i="4"/>
  <c r="N100" i="4"/>
  <c r="Q95" i="4"/>
  <c r="Q90" i="4"/>
  <c r="O90" i="4"/>
  <c r="N90" i="4"/>
  <c r="Q86" i="4"/>
  <c r="N86" i="4"/>
  <c r="M86" i="4"/>
  <c r="M82" i="4"/>
  <c r="N77" i="4"/>
  <c r="Q76" i="4"/>
  <c r="Q72" i="4"/>
  <c r="O72" i="4"/>
  <c r="N72" i="4"/>
  <c r="M72" i="4"/>
  <c r="Q68" i="4"/>
  <c r="O68" i="4"/>
  <c r="N68" i="4"/>
  <c r="M68" i="4"/>
  <c r="R68" i="4" s="1"/>
  <c r="Q64" i="4"/>
  <c r="O64" i="4"/>
  <c r="Q63" i="4"/>
  <c r="O63" i="4"/>
  <c r="Q59" i="4"/>
  <c r="M59" i="4"/>
  <c r="Q55" i="4"/>
  <c r="N55" i="4"/>
  <c r="Q53" i="4"/>
  <c r="Q51" i="4"/>
  <c r="O51" i="4"/>
  <c r="N51" i="4"/>
  <c r="M51" i="4"/>
  <c r="Q46" i="4"/>
  <c r="Q42" i="4"/>
  <c r="M42" i="4"/>
  <c r="R42" i="4" s="1"/>
  <c r="Q39" i="4"/>
  <c r="M39" i="4"/>
  <c r="Q38" i="4"/>
  <c r="M38" i="4"/>
  <c r="N34" i="4"/>
  <c r="Q32" i="4"/>
  <c r="Q31" i="4"/>
  <c r="O31" i="4"/>
  <c r="Q30" i="4"/>
  <c r="O30" i="4"/>
  <c r="N30" i="4"/>
  <c r="M30" i="4"/>
  <c r="M26" i="4"/>
  <c r="Q24" i="4"/>
  <c r="M23" i="4"/>
  <c r="Q22" i="4"/>
  <c r="O22" i="4"/>
  <c r="N22" i="4"/>
  <c r="Q15" i="4"/>
  <c r="O15" i="4"/>
  <c r="N15" i="4"/>
  <c r="M15" i="4"/>
  <c r="Q12" i="4"/>
  <c r="O12" i="4"/>
  <c r="M12" i="4"/>
  <c r="Q8" i="4"/>
  <c r="O8" i="4"/>
  <c r="N8" i="4"/>
  <c r="M8" i="4"/>
  <c r="Q5" i="4"/>
  <c r="O5" i="4"/>
  <c r="N5" i="4"/>
  <c r="A1" i="4"/>
  <c r="K59" i="3"/>
  <c r="M59" i="3" s="1"/>
  <c r="N59" i="3" s="1"/>
  <c r="J59" i="3"/>
  <c r="H59" i="3"/>
  <c r="O39" i="4" s="1"/>
  <c r="G59" i="3"/>
  <c r="N39" i="4" s="1"/>
  <c r="F59" i="3"/>
  <c r="J58" i="3"/>
  <c r="H58" i="3"/>
  <c r="G58" i="3"/>
  <c r="J57" i="3"/>
  <c r="H57" i="3"/>
  <c r="G57" i="3"/>
  <c r="N131" i="4" s="1"/>
  <c r="F57" i="3"/>
  <c r="K56" i="3"/>
  <c r="M56" i="3" s="1"/>
  <c r="N56" i="3" s="1"/>
  <c r="J56" i="3"/>
  <c r="I55" i="5" s="1"/>
  <c r="H56" i="3"/>
  <c r="H55" i="5" s="1"/>
  <c r="G56" i="3"/>
  <c r="G55" i="5" s="1"/>
  <c r="J55" i="3"/>
  <c r="H55" i="3"/>
  <c r="G55" i="3"/>
  <c r="J54" i="3"/>
  <c r="I53" i="5" s="1"/>
  <c r="H54" i="3"/>
  <c r="H53" i="5" s="1"/>
  <c r="G54" i="3"/>
  <c r="G53" i="5" s="1"/>
  <c r="J53" i="3"/>
  <c r="H53" i="3"/>
  <c r="G53" i="3"/>
  <c r="K53" i="3" s="1"/>
  <c r="M53" i="3" s="1"/>
  <c r="N53" i="3" s="1"/>
  <c r="F53" i="3"/>
  <c r="K52" i="3"/>
  <c r="M52" i="3" s="1"/>
  <c r="N52" i="3" s="1"/>
  <c r="J52" i="3"/>
  <c r="H52" i="3"/>
  <c r="G52" i="3"/>
  <c r="J51" i="3"/>
  <c r="I50" i="5" s="1"/>
  <c r="H51" i="3"/>
  <c r="H50" i="5" s="1"/>
  <c r="G51" i="3"/>
  <c r="J50" i="3"/>
  <c r="H50" i="3"/>
  <c r="G50" i="3"/>
  <c r="J49" i="3"/>
  <c r="H49" i="3"/>
  <c r="G49" i="3"/>
  <c r="K49" i="3" s="1"/>
  <c r="M49" i="3" s="1"/>
  <c r="N49" i="3" s="1"/>
  <c r="F49" i="3"/>
  <c r="K48" i="3"/>
  <c r="M48" i="3" s="1"/>
  <c r="N48" i="3" s="1"/>
  <c r="J48" i="3"/>
  <c r="H48" i="3"/>
  <c r="G48" i="3"/>
  <c r="J47" i="3"/>
  <c r="Q123" i="4" s="1"/>
  <c r="H47" i="3"/>
  <c r="O24" i="4" s="1"/>
  <c r="G47" i="3"/>
  <c r="N24" i="4" s="1"/>
  <c r="J46" i="3"/>
  <c r="I45" i="5" s="1"/>
  <c r="H46" i="3"/>
  <c r="H45" i="5" s="1"/>
  <c r="G46" i="3"/>
  <c r="G45" i="5" s="1"/>
  <c r="J45" i="3"/>
  <c r="I44" i="5" s="1"/>
  <c r="H45" i="3"/>
  <c r="H44" i="5" s="1"/>
  <c r="G45" i="3"/>
  <c r="G44" i="5" s="1"/>
  <c r="F45" i="3"/>
  <c r="K44" i="3"/>
  <c r="M44" i="3" s="1"/>
  <c r="N44" i="3" s="1"/>
  <c r="J44" i="3"/>
  <c r="Q251" i="4" s="1"/>
  <c r="H44" i="3"/>
  <c r="O242" i="4" s="1"/>
  <c r="G44" i="3"/>
  <c r="N242" i="4" s="1"/>
  <c r="J43" i="3"/>
  <c r="I42" i="5" s="1"/>
  <c r="H43" i="3"/>
  <c r="H42" i="5" s="1"/>
  <c r="G43" i="3"/>
  <c r="G42" i="5" s="1"/>
  <c r="J42" i="3"/>
  <c r="Q183" i="4" s="1"/>
  <c r="H42" i="3"/>
  <c r="G42" i="3"/>
  <c r="N12" i="4" s="1"/>
  <c r="J41" i="3"/>
  <c r="H41" i="3"/>
  <c r="O219" i="4" s="1"/>
  <c r="G41" i="3"/>
  <c r="N237" i="4" s="1"/>
  <c r="F41" i="3"/>
  <c r="J40" i="3"/>
  <c r="I39" i="5" s="1"/>
  <c r="H40" i="3"/>
  <c r="G40" i="3"/>
  <c r="J39" i="3"/>
  <c r="H39" i="3"/>
  <c r="O247" i="4" s="1"/>
  <c r="G39" i="3"/>
  <c r="N247" i="4" s="1"/>
  <c r="J38" i="3"/>
  <c r="Q170" i="4" s="1"/>
  <c r="H38" i="3"/>
  <c r="O170" i="4" s="1"/>
  <c r="G38" i="3"/>
  <c r="N170" i="4" s="1"/>
  <c r="F38" i="3"/>
  <c r="J37" i="3"/>
  <c r="H37" i="3"/>
  <c r="O20" i="4" s="1"/>
  <c r="G37" i="3"/>
  <c r="K37" i="3" s="1"/>
  <c r="M37" i="3" s="1"/>
  <c r="N37" i="3" s="1"/>
  <c r="F37" i="3"/>
  <c r="J36" i="3"/>
  <c r="Q196" i="4" s="1"/>
  <c r="H36" i="3"/>
  <c r="G36" i="3"/>
  <c r="N303" i="4" s="1"/>
  <c r="J35" i="3"/>
  <c r="H35" i="3"/>
  <c r="O116" i="4" s="1"/>
  <c r="G35" i="3"/>
  <c r="N267" i="4" s="1"/>
  <c r="J34" i="3"/>
  <c r="H34" i="3"/>
  <c r="H33" i="5" s="1"/>
  <c r="G34" i="3"/>
  <c r="G33" i="5" s="1"/>
  <c r="F34" i="3"/>
  <c r="J33" i="3"/>
  <c r="H33" i="3"/>
  <c r="G33" i="3"/>
  <c r="G32" i="5" s="1"/>
  <c r="F33" i="3"/>
  <c r="J32" i="3"/>
  <c r="Q106" i="4" s="1"/>
  <c r="H32" i="3"/>
  <c r="G32" i="3"/>
  <c r="J31" i="3"/>
  <c r="H31" i="3"/>
  <c r="H30" i="5" s="1"/>
  <c r="G31" i="3"/>
  <c r="G30" i="5" s="1"/>
  <c r="J30" i="3"/>
  <c r="Q94" i="4" s="1"/>
  <c r="H30" i="3"/>
  <c r="H29" i="5" s="1"/>
  <c r="G30" i="3"/>
  <c r="F30" i="3"/>
  <c r="J29" i="3"/>
  <c r="I28" i="5" s="1"/>
  <c r="H29" i="3"/>
  <c r="H28" i="5" s="1"/>
  <c r="G29" i="3"/>
  <c r="G28" i="5" s="1"/>
  <c r="F29" i="3"/>
  <c r="J28" i="3"/>
  <c r="H28" i="3"/>
  <c r="G28" i="3"/>
  <c r="J27" i="3"/>
  <c r="H27" i="3"/>
  <c r="G27" i="3"/>
  <c r="K27" i="3" s="1"/>
  <c r="M27" i="3" s="1"/>
  <c r="N27" i="3" s="1"/>
  <c r="J26" i="3"/>
  <c r="Q105" i="4" s="1"/>
  <c r="H26" i="3"/>
  <c r="O105" i="4" s="1"/>
  <c r="G26" i="3"/>
  <c r="K26" i="3" s="1"/>
  <c r="M26" i="3" s="1"/>
  <c r="N26" i="3" s="1"/>
  <c r="F26" i="3"/>
  <c r="J25" i="3"/>
  <c r="I24" i="5" s="1"/>
  <c r="H25" i="3"/>
  <c r="H24" i="5" s="1"/>
  <c r="G25" i="3"/>
  <c r="G24" i="5" s="1"/>
  <c r="F25" i="3"/>
  <c r="J24" i="3"/>
  <c r="H24" i="3"/>
  <c r="G24" i="3"/>
  <c r="J23" i="3"/>
  <c r="I22" i="5" s="1"/>
  <c r="H23" i="3"/>
  <c r="H22" i="5" s="1"/>
  <c r="G23" i="3"/>
  <c r="G22" i="5" s="1"/>
  <c r="F23" i="3"/>
  <c r="J22" i="3"/>
  <c r="Q97" i="4" s="1"/>
  <c r="H22" i="3"/>
  <c r="O369" i="4" s="1"/>
  <c r="G22" i="3"/>
  <c r="K22" i="3" s="1"/>
  <c r="M22" i="3" s="1"/>
  <c r="N22" i="3" s="1"/>
  <c r="F22" i="3"/>
  <c r="J21" i="3"/>
  <c r="I20" i="5" s="1"/>
  <c r="H21" i="3"/>
  <c r="H20" i="5" s="1"/>
  <c r="G21" i="3"/>
  <c r="G20" i="5" s="1"/>
  <c r="F21" i="3"/>
  <c r="J20" i="3"/>
  <c r="H20" i="3"/>
  <c r="G20" i="3"/>
  <c r="N134" i="4" s="1"/>
  <c r="J19" i="3"/>
  <c r="H19" i="3"/>
  <c r="G19" i="3"/>
  <c r="K19" i="3" s="1"/>
  <c r="M19" i="3" s="1"/>
  <c r="N19" i="3" s="1"/>
  <c r="J18" i="3"/>
  <c r="I17" i="5" s="1"/>
  <c r="H18" i="3"/>
  <c r="H17" i="5" s="1"/>
  <c r="G18" i="3"/>
  <c r="G17" i="5" s="1"/>
  <c r="J17" i="3"/>
  <c r="H17" i="3"/>
  <c r="G17" i="3"/>
  <c r="F17" i="3"/>
  <c r="J16" i="3"/>
  <c r="H16" i="3"/>
  <c r="G16" i="3"/>
  <c r="J15" i="3"/>
  <c r="H15" i="3"/>
  <c r="O42" i="4" s="1"/>
  <c r="G15" i="3"/>
  <c r="N42" i="4" s="1"/>
  <c r="J14" i="3"/>
  <c r="Q6" i="4" s="1"/>
  <c r="H14" i="3"/>
  <c r="O6" i="4" s="1"/>
  <c r="G14" i="3"/>
  <c r="N16" i="4" s="1"/>
  <c r="F14" i="3"/>
  <c r="J13" i="3"/>
  <c r="I12" i="5" s="1"/>
  <c r="H13" i="3"/>
  <c r="H12" i="5" s="1"/>
  <c r="G13" i="3"/>
  <c r="G12" i="5" s="1"/>
  <c r="F13" i="3"/>
  <c r="J12" i="3"/>
  <c r="H12" i="3"/>
  <c r="G12" i="3"/>
  <c r="J11" i="3"/>
  <c r="H11" i="3"/>
  <c r="H10" i="5" s="1"/>
  <c r="G11" i="3"/>
  <c r="G10" i="5" s="1"/>
  <c r="J10" i="3"/>
  <c r="I9" i="5" s="1"/>
  <c r="H10" i="3"/>
  <c r="H9" i="5" s="1"/>
  <c r="G10" i="3"/>
  <c r="J9" i="3"/>
  <c r="Q27" i="4" s="1"/>
  <c r="H9" i="3"/>
  <c r="O47" i="4" s="1"/>
  <c r="G9" i="3"/>
  <c r="G8" i="5" s="1"/>
  <c r="F9" i="3"/>
  <c r="J8" i="3"/>
  <c r="Q57" i="4" s="1"/>
  <c r="H8" i="3"/>
  <c r="O53" i="4" s="1"/>
  <c r="G8" i="3"/>
  <c r="N58" i="4" s="1"/>
  <c r="J7" i="3"/>
  <c r="Q44" i="4" s="1"/>
  <c r="H7" i="3"/>
  <c r="O25" i="4" s="1"/>
  <c r="G7" i="3"/>
  <c r="G6" i="5" s="1"/>
  <c r="J6" i="3"/>
  <c r="Q101" i="4" s="1"/>
  <c r="H6" i="3"/>
  <c r="O36" i="4" s="1"/>
  <c r="G6" i="3"/>
  <c r="N37" i="4" s="1"/>
  <c r="F6" i="3"/>
  <c r="A1" i="3"/>
  <c r="A1" i="2"/>
  <c r="H14" i="1"/>
  <c r="H13" i="1"/>
  <c r="E24" i="1"/>
  <c r="E23" i="1"/>
  <c r="E22" i="1"/>
  <c r="E21" i="1"/>
  <c r="E20" i="1"/>
  <c r="E19" i="1"/>
  <c r="E18" i="1"/>
  <c r="E17" i="1"/>
  <c r="E16" i="1"/>
  <c r="E15" i="1"/>
  <c r="E14" i="1"/>
  <c r="E13" i="1"/>
  <c r="B30" i="1"/>
  <c r="M178" i="4" s="1"/>
  <c r="B29" i="1"/>
  <c r="F60" i="3" s="1"/>
  <c r="K60" i="3" s="1"/>
  <c r="B28" i="1"/>
  <c r="M32" i="4" s="1"/>
  <c r="B27" i="1"/>
  <c r="B26" i="1"/>
  <c r="B25" i="1"/>
  <c r="B24" i="1"/>
  <c r="B23" i="1"/>
  <c r="E30" i="5" s="1"/>
  <c r="B22" i="1"/>
  <c r="B21" i="1"/>
  <c r="B20" i="1"/>
  <c r="B19" i="1"/>
  <c r="B18" i="1"/>
  <c r="B17" i="1"/>
  <c r="B16" i="1"/>
  <c r="M346" i="4" s="1"/>
  <c r="B15" i="1"/>
  <c r="M25" i="4" s="1"/>
  <c r="B14" i="1"/>
  <c r="M252" i="4" s="1"/>
  <c r="B13" i="1"/>
  <c r="R104" i="4" l="1"/>
  <c r="U104" i="4" s="1"/>
  <c r="V104" i="4" s="1"/>
  <c r="R30" i="4"/>
  <c r="R8" i="4"/>
  <c r="U8" i="4" s="1"/>
  <c r="V8" i="4" s="1"/>
  <c r="R114" i="4"/>
  <c r="U114" i="4" s="1"/>
  <c r="V114" i="4" s="1"/>
  <c r="R120" i="4"/>
  <c r="T114" i="4"/>
  <c r="T104" i="4"/>
  <c r="T8" i="4"/>
  <c r="T68" i="4"/>
  <c r="R134" i="4"/>
  <c r="U134" i="4" s="1"/>
  <c r="S72" i="4"/>
  <c r="R209" i="4"/>
  <c r="U120" i="4"/>
  <c r="S30" i="4"/>
  <c r="U30" i="4"/>
  <c r="V30" i="4" s="1"/>
  <c r="R39" i="4"/>
  <c r="R12" i="4"/>
  <c r="U12" i="4" s="1"/>
  <c r="V12" i="4" s="1"/>
  <c r="M60" i="3"/>
  <c r="N60" i="3" s="1"/>
  <c r="L60" i="3"/>
  <c r="U42" i="4"/>
  <c r="V42" i="4" s="1"/>
  <c r="S42" i="4"/>
  <c r="T42" i="4"/>
  <c r="U68" i="4"/>
  <c r="V68" i="4" s="1"/>
  <c r="S68" i="4"/>
  <c r="T30" i="4"/>
  <c r="G16" i="5"/>
  <c r="N284" i="4"/>
  <c r="N140" i="4"/>
  <c r="N132" i="4"/>
  <c r="I16" i="5"/>
  <c r="Q284" i="4"/>
  <c r="Q140" i="4"/>
  <c r="Q132" i="4"/>
  <c r="I32" i="5"/>
  <c r="Q148" i="4"/>
  <c r="Q312" i="4"/>
  <c r="I36" i="5"/>
  <c r="Q314" i="4"/>
  <c r="Q246" i="4"/>
  <c r="I40" i="5"/>
  <c r="Q222" i="4"/>
  <c r="Q240" i="4"/>
  <c r="Q243" i="4"/>
  <c r="I48" i="5"/>
  <c r="Q213" i="4"/>
  <c r="Q88" i="4"/>
  <c r="I52" i="5"/>
  <c r="Q289" i="4"/>
  <c r="Q310" i="4"/>
  <c r="Q260" i="4"/>
  <c r="Q159" i="4"/>
  <c r="Q377" i="4"/>
  <c r="Q320" i="4"/>
  <c r="Q309" i="4"/>
  <c r="I56" i="5"/>
  <c r="Q319" i="4"/>
  <c r="Q261" i="4"/>
  <c r="Q273" i="4"/>
  <c r="Q272" i="4"/>
  <c r="R15" i="4"/>
  <c r="U15" i="4" s="1"/>
  <c r="V15" i="4" s="1"/>
  <c r="M19" i="4"/>
  <c r="Q26" i="4"/>
  <c r="M34" i="4"/>
  <c r="R34" i="4" s="1"/>
  <c r="U34" i="4" s="1"/>
  <c r="V34" i="4" s="1"/>
  <c r="M55" i="4"/>
  <c r="R55" i="4" s="1"/>
  <c r="N59" i="4"/>
  <c r="R72" i="4"/>
  <c r="U72" i="4" s="1"/>
  <c r="V72" i="4" s="1"/>
  <c r="O86" i="4"/>
  <c r="M100" i="4"/>
  <c r="R100" i="4" s="1"/>
  <c r="N109" i="4"/>
  <c r="N121" i="4"/>
  <c r="M142" i="4"/>
  <c r="Q204" i="4"/>
  <c r="M293" i="4"/>
  <c r="O329" i="4"/>
  <c r="H32" i="5"/>
  <c r="O148" i="4"/>
  <c r="L9" i="3"/>
  <c r="L29" i="3"/>
  <c r="L37" i="3"/>
  <c r="L41" i="3"/>
  <c r="L45" i="3"/>
  <c r="L49" i="3"/>
  <c r="L53" i="3"/>
  <c r="M5" i="4"/>
  <c r="R5" i="4" s="1"/>
  <c r="T5" i="4" s="1"/>
  <c r="T118" i="4" s="1"/>
  <c r="S8" i="4"/>
  <c r="O19" i="4"/>
  <c r="O34" i="4"/>
  <c r="M47" i="4"/>
  <c r="O55" i="4"/>
  <c r="M64" i="4"/>
  <c r="N82" i="4"/>
  <c r="R86" i="4"/>
  <c r="U86" i="4" s="1"/>
  <c r="V86" i="4" s="1"/>
  <c r="O100" i="4"/>
  <c r="S104" i="4"/>
  <c r="O158" i="4"/>
  <c r="Q297" i="4"/>
  <c r="M364" i="4"/>
  <c r="K41" i="3"/>
  <c r="M41" i="3" s="1"/>
  <c r="N41" i="3" s="1"/>
  <c r="Q19" i="4"/>
  <c r="Q34" i="4"/>
  <c r="M43" i="4"/>
  <c r="N47" i="4"/>
  <c r="N64" i="4"/>
  <c r="O82" i="4"/>
  <c r="M91" i="4"/>
  <c r="M96" i="4"/>
  <c r="Q100" i="4"/>
  <c r="M110" i="4"/>
  <c r="M122" i="4"/>
  <c r="M150" i="4"/>
  <c r="Q158" i="4"/>
  <c r="M233" i="4"/>
  <c r="K29" i="3"/>
  <c r="M29" i="3" s="1"/>
  <c r="N29" i="3" s="1"/>
  <c r="N43" i="4"/>
  <c r="N60" i="4"/>
  <c r="M78" i="4"/>
  <c r="Q82" i="4"/>
  <c r="N91" i="4"/>
  <c r="N96" i="4"/>
  <c r="N110" i="4"/>
  <c r="N122" i="4"/>
  <c r="M135" i="4"/>
  <c r="N150" i="4"/>
  <c r="M205" i="4"/>
  <c r="N233" i="4"/>
  <c r="O266" i="4"/>
  <c r="F42" i="3"/>
  <c r="F46" i="3"/>
  <c r="F50" i="3"/>
  <c r="F54" i="3"/>
  <c r="F58" i="3"/>
  <c r="M16" i="4"/>
  <c r="R16" i="4" s="1"/>
  <c r="N23" i="4"/>
  <c r="O43" i="4"/>
  <c r="Q47" i="4"/>
  <c r="R51" i="4"/>
  <c r="U51" i="4" s="1"/>
  <c r="V51" i="4" s="1"/>
  <c r="O60" i="4"/>
  <c r="M73" i="4"/>
  <c r="N78" i="4"/>
  <c r="Q91" i="4"/>
  <c r="O96" i="4"/>
  <c r="O110" i="4"/>
  <c r="O122" i="4"/>
  <c r="N135" i="4"/>
  <c r="M160" i="4"/>
  <c r="N187" i="4"/>
  <c r="O233" i="4"/>
  <c r="N335" i="4"/>
  <c r="H8" i="5"/>
  <c r="O49" i="4"/>
  <c r="K57" i="3"/>
  <c r="M57" i="3" s="1"/>
  <c r="N57" i="3" s="1"/>
  <c r="G9" i="5"/>
  <c r="N35" i="4"/>
  <c r="N99" i="4"/>
  <c r="G29" i="5"/>
  <c r="N177" i="4"/>
  <c r="N176" i="4"/>
  <c r="N165" i="4"/>
  <c r="N172" i="4"/>
  <c r="N181" i="4"/>
  <c r="N163" i="4"/>
  <c r="N167" i="4"/>
  <c r="N180" i="4"/>
  <c r="G37" i="5"/>
  <c r="N179" i="4"/>
  <c r="N349" i="4"/>
  <c r="N253" i="4"/>
  <c r="N338" i="4"/>
  <c r="G41" i="5"/>
  <c r="N162" i="4"/>
  <c r="N348" i="4"/>
  <c r="N344" i="4"/>
  <c r="N282" i="4"/>
  <c r="N133" i="4"/>
  <c r="N345" i="4"/>
  <c r="N281" i="4"/>
  <c r="N199" i="4"/>
  <c r="N339" i="4"/>
  <c r="N301" i="4"/>
  <c r="N128" i="4"/>
  <c r="N198" i="4"/>
  <c r="N300" i="4"/>
  <c r="N139" i="4"/>
  <c r="N321" i="4"/>
  <c r="N358" i="4"/>
  <c r="N288" i="4"/>
  <c r="N183" i="4"/>
  <c r="G49" i="5"/>
  <c r="N226" i="4"/>
  <c r="G57" i="5"/>
  <c r="N236" i="4"/>
  <c r="N235" i="4"/>
  <c r="N225" i="4"/>
  <c r="M9" i="4"/>
  <c r="O23" i="4"/>
  <c r="M27" i="4"/>
  <c r="Q43" i="4"/>
  <c r="Q60" i="4"/>
  <c r="O73" i="4"/>
  <c r="O78" i="4"/>
  <c r="Q96" i="4"/>
  <c r="Q110" i="4"/>
  <c r="M115" i="4"/>
  <c r="Q122" i="4"/>
  <c r="N129" i="4"/>
  <c r="Q135" i="4"/>
  <c r="O187" i="4"/>
  <c r="Q335" i="4"/>
  <c r="N26" i="4"/>
  <c r="O26" i="4"/>
  <c r="O367" i="4"/>
  <c r="O335" i="4"/>
  <c r="O356" i="4"/>
  <c r="O184" i="4"/>
  <c r="O363" i="4"/>
  <c r="O359" i="4"/>
  <c r="O327" i="4"/>
  <c r="O366" i="4"/>
  <c r="O341" i="4"/>
  <c r="O201" i="4"/>
  <c r="O355" i="4"/>
  <c r="O204" i="4"/>
  <c r="O113" i="4"/>
  <c r="O81" i="4"/>
  <c r="O368" i="4"/>
  <c r="O195" i="4"/>
  <c r="O95" i="4"/>
  <c r="O307" i="4"/>
  <c r="O102" i="4"/>
  <c r="O77" i="4"/>
  <c r="O333" i="4"/>
  <c r="O203" i="4"/>
  <c r="O361" i="4"/>
  <c r="O91" i="4"/>
  <c r="O328" i="4"/>
  <c r="O112" i="4"/>
  <c r="O80" i="4"/>
  <c r="O354" i="4"/>
  <c r="O337" i="4"/>
  <c r="O274" i="4"/>
  <c r="O202" i="4"/>
  <c r="H21" i="5"/>
  <c r="O360" i="4"/>
  <c r="O206" i="4"/>
  <c r="O154" i="4"/>
  <c r="O342" i="4"/>
  <c r="O336" i="4"/>
  <c r="O330" i="4"/>
  <c r="H25" i="5"/>
  <c r="O156" i="4"/>
  <c r="O59" i="4"/>
  <c r="O275" i="4"/>
  <c r="O172" i="4"/>
  <c r="O179" i="4"/>
  <c r="O168" i="4"/>
  <c r="O177" i="4"/>
  <c r="O181" i="4"/>
  <c r="O176" i="4"/>
  <c r="O163" i="4"/>
  <c r="O167" i="4"/>
  <c r="O180" i="4"/>
  <c r="H37" i="5"/>
  <c r="O175" i="4"/>
  <c r="O166" i="4"/>
  <c r="O349" i="4"/>
  <c r="O253" i="4"/>
  <c r="O345" i="4"/>
  <c r="O281" i="4"/>
  <c r="H41" i="5"/>
  <c r="O137" i="4"/>
  <c r="O183" i="4"/>
  <c r="O344" i="4"/>
  <c r="O287" i="4"/>
  <c r="O358" i="4"/>
  <c r="O129" i="4"/>
  <c r="O199" i="4"/>
  <c r="O339" i="4"/>
  <c r="O301" i="4"/>
  <c r="O128" i="4"/>
  <c r="O338" i="4"/>
  <c r="O198" i="4"/>
  <c r="O348" i="4"/>
  <c r="O300" i="4"/>
  <c r="O139" i="4"/>
  <c r="O321" i="4"/>
  <c r="O162" i="4"/>
  <c r="O288" i="4"/>
  <c r="H49" i="5"/>
  <c r="O226" i="4"/>
  <c r="O235" i="4"/>
  <c r="H57" i="5"/>
  <c r="O236" i="4"/>
  <c r="O225" i="4"/>
  <c r="N9" i="4"/>
  <c r="O16" i="4"/>
  <c r="Q23" i="4"/>
  <c r="N27" i="4"/>
  <c r="O35" i="4"/>
  <c r="N56" i="4"/>
  <c r="Q73" i="4"/>
  <c r="Q78" i="4"/>
  <c r="M87" i="4"/>
  <c r="N92" i="4"/>
  <c r="N115" i="4"/>
  <c r="N144" i="4"/>
  <c r="Q187" i="4"/>
  <c r="O237" i="4"/>
  <c r="Q369" i="4"/>
  <c r="N246" i="4"/>
  <c r="G40" i="5"/>
  <c r="N222" i="4"/>
  <c r="N240" i="4"/>
  <c r="N243" i="4"/>
  <c r="N374" i="4"/>
  <c r="N373" i="4"/>
  <c r="G13" i="5"/>
  <c r="I25" i="5"/>
  <c r="Q156" i="4"/>
  <c r="Q275" i="4"/>
  <c r="I33" i="5"/>
  <c r="Q146" i="4"/>
  <c r="Q166" i="4"/>
  <c r="Q176" i="4"/>
  <c r="Q179" i="4"/>
  <c r="Q168" i="4"/>
  <c r="Q177" i="4"/>
  <c r="Q181" i="4"/>
  <c r="Q172" i="4"/>
  <c r="Q163" i="4"/>
  <c r="Q167" i="4"/>
  <c r="Q180" i="4"/>
  <c r="I37" i="5"/>
  <c r="Q175" i="4"/>
  <c r="Q338" i="4"/>
  <c r="Q198" i="4"/>
  <c r="I41" i="5"/>
  <c r="Q288" i="4"/>
  <c r="Q348" i="4"/>
  <c r="Q287" i="4"/>
  <c r="Q358" i="4"/>
  <c r="Q129" i="4"/>
  <c r="Q345" i="4"/>
  <c r="Q281" i="4"/>
  <c r="Q199" i="4"/>
  <c r="Q344" i="4"/>
  <c r="Q339" i="4"/>
  <c r="Q301" i="4"/>
  <c r="Q66" i="4"/>
  <c r="Q128" i="4"/>
  <c r="Q349" i="4"/>
  <c r="Q300" i="4"/>
  <c r="Q321" i="4"/>
  <c r="Q253" i="4"/>
  <c r="I49" i="5"/>
  <c r="Q226" i="4"/>
  <c r="Q235" i="4"/>
  <c r="I57" i="5"/>
  <c r="Q236" i="4"/>
  <c r="Q225" i="4"/>
  <c r="O9" i="4"/>
  <c r="Q16" i="4"/>
  <c r="O27" i="4"/>
  <c r="Q35" i="4"/>
  <c r="O56" i="4"/>
  <c r="M69" i="4"/>
  <c r="N87" i="4"/>
  <c r="O92" i="4"/>
  <c r="O115" i="4"/>
  <c r="Q136" i="4"/>
  <c r="M152" i="4"/>
  <c r="M161" i="4"/>
  <c r="Q237" i="4"/>
  <c r="K6" i="3"/>
  <c r="K10" i="3"/>
  <c r="M10" i="3" s="1"/>
  <c r="N10" i="3" s="1"/>
  <c r="K14" i="3"/>
  <c r="M14" i="3" s="1"/>
  <c r="N14" i="3" s="1"/>
  <c r="K18" i="3"/>
  <c r="M18" i="3" s="1"/>
  <c r="N18" i="3" s="1"/>
  <c r="K30" i="3"/>
  <c r="M30" i="3" s="1"/>
  <c r="N30" i="3" s="1"/>
  <c r="K34" i="3"/>
  <c r="M34" i="3" s="1"/>
  <c r="N34" i="3" s="1"/>
  <c r="K38" i="3"/>
  <c r="M38" i="3" s="1"/>
  <c r="N38" i="3" s="1"/>
  <c r="K42" i="3"/>
  <c r="M42" i="3" s="1"/>
  <c r="N42" i="3" s="1"/>
  <c r="K46" i="3"/>
  <c r="M46" i="3" s="1"/>
  <c r="N46" i="3" s="1"/>
  <c r="K50" i="3"/>
  <c r="M50" i="3" s="1"/>
  <c r="N50" i="3" s="1"/>
  <c r="K54" i="3"/>
  <c r="M54" i="3" s="1"/>
  <c r="N54" i="3" s="1"/>
  <c r="K58" i="3"/>
  <c r="M58" i="3" s="1"/>
  <c r="N58" i="3" s="1"/>
  <c r="Q9" i="4"/>
  <c r="M20" i="4"/>
  <c r="N69" i="4"/>
  <c r="M74" i="4"/>
  <c r="O87" i="4"/>
  <c r="Q92" i="4"/>
  <c r="M101" i="4"/>
  <c r="M106" i="4"/>
  <c r="Q115" i="4"/>
  <c r="O145" i="4"/>
  <c r="N161" i="4"/>
  <c r="Q303" i="4"/>
  <c r="N145" i="4"/>
  <c r="G25" i="5"/>
  <c r="N67" i="4"/>
  <c r="N105" i="4"/>
  <c r="N275" i="4"/>
  <c r="L18" i="3"/>
  <c r="L22" i="3"/>
  <c r="L26" i="3"/>
  <c r="L30" i="3"/>
  <c r="L34" i="3"/>
  <c r="L42" i="3"/>
  <c r="L46" i="3"/>
  <c r="L54" i="3"/>
  <c r="L58" i="3"/>
  <c r="M13" i="4"/>
  <c r="N20" i="4"/>
  <c r="M52" i="4"/>
  <c r="O69" i="4"/>
  <c r="Q74" i="4"/>
  <c r="M83" i="4"/>
  <c r="N101" i="4"/>
  <c r="N137" i="4"/>
  <c r="Q145" i="4"/>
  <c r="M153" i="4"/>
  <c r="O161" i="4"/>
  <c r="N191" i="4"/>
  <c r="M340" i="4"/>
  <c r="N88" i="4"/>
  <c r="N136" i="4"/>
  <c r="G52" i="5"/>
  <c r="N289" i="4"/>
  <c r="O136" i="4"/>
  <c r="H52" i="5"/>
  <c r="O289" i="4"/>
  <c r="K45" i="3"/>
  <c r="M45" i="3" s="1"/>
  <c r="N45" i="3" s="1"/>
  <c r="N360" i="4"/>
  <c r="N328" i="4"/>
  <c r="N342" i="4"/>
  <c r="N356" i="4"/>
  <c r="N184" i="4"/>
  <c r="N363" i="4"/>
  <c r="N274" i="4"/>
  <c r="N359" i="4"/>
  <c r="N327" i="4"/>
  <c r="N366" i="4"/>
  <c r="N369" i="4"/>
  <c r="N337" i="4"/>
  <c r="N204" i="4"/>
  <c r="N329" i="4"/>
  <c r="N368" i="4"/>
  <c r="N195" i="4"/>
  <c r="N95" i="4"/>
  <c r="N307" i="4"/>
  <c r="N102" i="4"/>
  <c r="N355" i="4"/>
  <c r="N333" i="4"/>
  <c r="N203" i="4"/>
  <c r="N84" i="4"/>
  <c r="N361" i="4"/>
  <c r="N367" i="4"/>
  <c r="N112" i="4"/>
  <c r="N354" i="4"/>
  <c r="N202" i="4"/>
  <c r="G21" i="5"/>
  <c r="N206" i="4"/>
  <c r="N154" i="4"/>
  <c r="N201" i="4"/>
  <c r="N336" i="4"/>
  <c r="N341" i="4"/>
  <c r="N330" i="4"/>
  <c r="M6" i="4"/>
  <c r="N13" i="4"/>
  <c r="M48" i="4"/>
  <c r="O52" i="4"/>
  <c r="M65" i="4"/>
  <c r="Q69" i="4"/>
  <c r="N83" i="4"/>
  <c r="O101" i="4"/>
  <c r="Q137" i="4"/>
  <c r="N153" i="4"/>
  <c r="Q161" i="4"/>
  <c r="M174" i="4"/>
  <c r="M242" i="4"/>
  <c r="R242" i="4" s="1"/>
  <c r="M272" i="4"/>
  <c r="N340" i="4"/>
  <c r="E11" i="5"/>
  <c r="M228" i="4"/>
  <c r="M232" i="4"/>
  <c r="M230" i="4"/>
  <c r="N6" i="4"/>
  <c r="O13" i="4"/>
  <c r="Q20" i="4"/>
  <c r="M44" i="4"/>
  <c r="N48" i="4"/>
  <c r="M61" i="4"/>
  <c r="N65" i="4"/>
  <c r="O83" i="4"/>
  <c r="M97" i="4"/>
  <c r="N111" i="4"/>
  <c r="M116" i="4"/>
  <c r="M130" i="4"/>
  <c r="O153" i="4"/>
  <c r="N174" i="4"/>
  <c r="N272" i="4"/>
  <c r="O340" i="4"/>
  <c r="O260" i="4"/>
  <c r="O159" i="4"/>
  <c r="O377" i="4"/>
  <c r="O309" i="4"/>
  <c r="H56" i="5"/>
  <c r="O319" i="4"/>
  <c r="O261" i="4"/>
  <c r="O310" i="4"/>
  <c r="O273" i="4"/>
  <c r="O320" i="4"/>
  <c r="K17" i="3"/>
  <c r="M17" i="3" s="1"/>
  <c r="N17" i="3" s="1"/>
  <c r="F11" i="3"/>
  <c r="F35" i="3"/>
  <c r="F39" i="3"/>
  <c r="F43" i="3"/>
  <c r="F47" i="3"/>
  <c r="F51" i="3"/>
  <c r="F55" i="3"/>
  <c r="Q13" i="4"/>
  <c r="M40" i="4"/>
  <c r="N44" i="4"/>
  <c r="O48" i="4"/>
  <c r="M57" i="4"/>
  <c r="N61" i="4"/>
  <c r="O65" i="4"/>
  <c r="M79" i="4"/>
  <c r="Q83" i="4"/>
  <c r="O88" i="4"/>
  <c r="N97" i="4"/>
  <c r="O111" i="4"/>
  <c r="O130" i="4"/>
  <c r="Q153" i="4"/>
  <c r="O174" i="4"/>
  <c r="O272" i="4"/>
  <c r="Q340" i="4"/>
  <c r="I13" i="5"/>
  <c r="I8" i="5"/>
  <c r="Q49" i="4"/>
  <c r="N278" i="4"/>
  <c r="G34" i="5"/>
  <c r="N270" i="4"/>
  <c r="N280" i="4"/>
  <c r="N116" i="4"/>
  <c r="N268" i="4"/>
  <c r="N264" i="4"/>
  <c r="N324" i="4"/>
  <c r="N352" i="4"/>
  <c r="N263" i="4"/>
  <c r="N194" i="4"/>
  <c r="N376" i="4"/>
  <c r="N351" i="4"/>
  <c r="N375" i="4"/>
  <c r="N323" i="4"/>
  <c r="N318" i="4"/>
  <c r="N214" i="4"/>
  <c r="N271" i="4"/>
  <c r="N125" i="4"/>
  <c r="N63" i="4"/>
  <c r="N291" i="4"/>
  <c r="N160" i="4"/>
  <c r="N265" i="4"/>
  <c r="N218" i="4"/>
  <c r="N322" i="4"/>
  <c r="N290" i="4"/>
  <c r="N259" i="4"/>
  <c r="N155" i="4"/>
  <c r="N124" i="4"/>
  <c r="N372" i="4"/>
  <c r="N212" i="4"/>
  <c r="N193" i="4"/>
  <c r="N332" i="4"/>
  <c r="N365" i="4"/>
  <c r="N258" i="4"/>
  <c r="N158" i="4"/>
  <c r="N331" i="4"/>
  <c r="N123" i="4"/>
  <c r="N353" i="4"/>
  <c r="N371" i="4"/>
  <c r="N325" i="4"/>
  <c r="N262" i="4"/>
  <c r="N364" i="4"/>
  <c r="G50" i="5"/>
  <c r="N182" i="4"/>
  <c r="N216" i="4"/>
  <c r="N186" i="4"/>
  <c r="N286" i="4"/>
  <c r="G54" i="5"/>
  <c r="G58" i="5"/>
  <c r="N227" i="4"/>
  <c r="N231" i="4"/>
  <c r="N229" i="4"/>
  <c r="M17" i="4"/>
  <c r="N28" i="4"/>
  <c r="M36" i="4"/>
  <c r="N40" i="4"/>
  <c r="O44" i="4"/>
  <c r="Q48" i="4"/>
  <c r="M53" i="4"/>
  <c r="N57" i="4"/>
  <c r="O61" i="4"/>
  <c r="Q65" i="4"/>
  <c r="N79" i="4"/>
  <c r="O97" i="4"/>
  <c r="Q111" i="4"/>
  <c r="Q130" i="4"/>
  <c r="Q174" i="4"/>
  <c r="M215" i="4"/>
  <c r="M308" i="4"/>
  <c r="E14" i="5"/>
  <c r="H18" i="5"/>
  <c r="O283" i="4"/>
  <c r="O271" i="4"/>
  <c r="O324" i="4"/>
  <c r="O331" i="4"/>
  <c r="O191" i="4"/>
  <c r="O127" i="4"/>
  <c r="O323" i="4"/>
  <c r="O291" i="4"/>
  <c r="O259" i="4"/>
  <c r="O376" i="4"/>
  <c r="O351" i="4"/>
  <c r="O375" i="4"/>
  <c r="O318" i="4"/>
  <c r="O214" i="4"/>
  <c r="O125" i="4"/>
  <c r="O160" i="4"/>
  <c r="O109" i="4"/>
  <c r="O265" i="4"/>
  <c r="O218" i="4"/>
  <c r="O322" i="4"/>
  <c r="O194" i="4"/>
  <c r="O290" i="4"/>
  <c r="O155" i="4"/>
  <c r="O372" i="4"/>
  <c r="O212" i="4"/>
  <c r="O193" i="4"/>
  <c r="O332" i="4"/>
  <c r="O264" i="4"/>
  <c r="O365" i="4"/>
  <c r="O258" i="4"/>
  <c r="O263" i="4"/>
  <c r="O123" i="4"/>
  <c r="O353" i="4"/>
  <c r="O371" i="4"/>
  <c r="O192" i="4"/>
  <c r="O325" i="4"/>
  <c r="O262" i="4"/>
  <c r="O364" i="4"/>
  <c r="O352" i="4"/>
  <c r="O216" i="4"/>
  <c r="O186" i="4"/>
  <c r="O286" i="4"/>
  <c r="H54" i="5"/>
  <c r="H58" i="5"/>
  <c r="O227" i="4"/>
  <c r="O231" i="4"/>
  <c r="O229" i="4"/>
  <c r="M10" i="4"/>
  <c r="N17" i="4"/>
  <c r="O28" i="4"/>
  <c r="N32" i="4"/>
  <c r="N36" i="4"/>
  <c r="O40" i="4"/>
  <c r="N53" i="4"/>
  <c r="O57" i="4"/>
  <c r="Q61" i="4"/>
  <c r="M70" i="4"/>
  <c r="O79" i="4"/>
  <c r="M93" i="4"/>
  <c r="M117" i="4"/>
  <c r="N215" i="4"/>
  <c r="N308" i="4"/>
  <c r="G14" i="5"/>
  <c r="S120" i="4"/>
  <c r="S209" i="4" s="1"/>
  <c r="K9" i="3"/>
  <c r="M9" i="3" s="1"/>
  <c r="N9" i="3" s="1"/>
  <c r="M353" i="4"/>
  <c r="M321" i="4"/>
  <c r="M289" i="4"/>
  <c r="M257" i="4"/>
  <c r="R257" i="4" s="1"/>
  <c r="E51" i="5"/>
  <c r="E35" i="5"/>
  <c r="E27" i="5"/>
  <c r="E19" i="5"/>
  <c r="M367" i="4"/>
  <c r="M335" i="4"/>
  <c r="M303" i="4"/>
  <c r="R303" i="4" s="1"/>
  <c r="M271" i="4"/>
  <c r="M374" i="4"/>
  <c r="M342" i="4"/>
  <c r="M310" i="4"/>
  <c r="M278" i="4"/>
  <c r="M214" i="4"/>
  <c r="M202" i="4"/>
  <c r="M138" i="4"/>
  <c r="M349" i="4"/>
  <c r="M317" i="4"/>
  <c r="M285" i="4"/>
  <c r="M253" i="4"/>
  <c r="M145" i="4"/>
  <c r="E50" i="5"/>
  <c r="E34" i="5"/>
  <c r="E26" i="5"/>
  <c r="E18" i="5"/>
  <c r="M356" i="4"/>
  <c r="M363" i="4"/>
  <c r="M331" i="4"/>
  <c r="M299" i="4"/>
  <c r="M267" i="4"/>
  <c r="R267" i="4" s="1"/>
  <c r="M370" i="4"/>
  <c r="M377" i="4"/>
  <c r="M345" i="4"/>
  <c r="M313" i="4"/>
  <c r="E41" i="5"/>
  <c r="E33" i="5"/>
  <c r="E25" i="5"/>
  <c r="E9" i="5"/>
  <c r="M352" i="4"/>
  <c r="M320" i="4"/>
  <c r="M288" i="4"/>
  <c r="M256" i="4"/>
  <c r="M359" i="4"/>
  <c r="M327" i="4"/>
  <c r="M295" i="4"/>
  <c r="M263" i="4"/>
  <c r="M187" i="4"/>
  <c r="M155" i="4"/>
  <c r="M123" i="4"/>
  <c r="M373" i="4"/>
  <c r="M341" i="4"/>
  <c r="M309" i="4"/>
  <c r="M277" i="4"/>
  <c r="M213" i="4"/>
  <c r="M201" i="4"/>
  <c r="M169" i="4"/>
  <c r="M362" i="4"/>
  <c r="M330" i="4"/>
  <c r="M298" i="4"/>
  <c r="M266" i="4"/>
  <c r="M190" i="4"/>
  <c r="M369" i="4"/>
  <c r="M337" i="4"/>
  <c r="M305" i="4"/>
  <c r="M273" i="4"/>
  <c r="M197" i="4"/>
  <c r="E55" i="5"/>
  <c r="E39" i="5"/>
  <c r="E31" i="5"/>
  <c r="E23" i="5"/>
  <c r="E15" i="5"/>
  <c r="E7" i="5"/>
  <c r="M376" i="4"/>
  <c r="M357" i="4"/>
  <c r="M191" i="4"/>
  <c r="M149" i="4"/>
  <c r="M141" i="4"/>
  <c r="M137" i="4"/>
  <c r="M92" i="4"/>
  <c r="M60" i="4"/>
  <c r="M329" i="4"/>
  <c r="M292" i="4"/>
  <c r="M282" i="4"/>
  <c r="M182" i="4"/>
  <c r="M133" i="4"/>
  <c r="M67" i="4"/>
  <c r="M35" i="4"/>
  <c r="E45" i="5"/>
  <c r="E13" i="5"/>
  <c r="M334" i="4"/>
  <c r="M302" i="4"/>
  <c r="M297" i="4"/>
  <c r="M375" i="4"/>
  <c r="M323" i="4"/>
  <c r="M318" i="4"/>
  <c r="M312" i="4"/>
  <c r="M276" i="4"/>
  <c r="M261" i="4"/>
  <c r="M208" i="4"/>
  <c r="M186" i="4"/>
  <c r="M129" i="4"/>
  <c r="M113" i="4"/>
  <c r="M81" i="4"/>
  <c r="M368" i="4"/>
  <c r="M195" i="4"/>
  <c r="M173" i="4"/>
  <c r="M88" i="4"/>
  <c r="M56" i="4"/>
  <c r="M24" i="4"/>
  <c r="R24" i="4" s="1"/>
  <c r="M281" i="4"/>
  <c r="M125" i="4"/>
  <c r="M95" i="4"/>
  <c r="M63" i="4"/>
  <c r="M31" i="4"/>
  <c r="E28" i="5"/>
  <c r="E12" i="5"/>
  <c r="M350" i="4"/>
  <c r="M344" i="4"/>
  <c r="M307" i="4"/>
  <c r="M291" i="4"/>
  <c r="M199" i="4"/>
  <c r="M286" i="4"/>
  <c r="M255" i="4"/>
  <c r="M156" i="4"/>
  <c r="M148" i="4"/>
  <c r="M144" i="4"/>
  <c r="M121" i="4"/>
  <c r="M109" i="4"/>
  <c r="M77" i="4"/>
  <c r="R77" i="4" s="1"/>
  <c r="U77" i="4" s="1"/>
  <c r="V77" i="4" s="1"/>
  <c r="M355" i="4"/>
  <c r="M339" i="4"/>
  <c r="M333" i="4"/>
  <c r="M301" i="4"/>
  <c r="M270" i="4"/>
  <c r="M265" i="4"/>
  <c r="M260" i="4"/>
  <c r="M218" i="4"/>
  <c r="M203" i="4"/>
  <c r="M140" i="4"/>
  <c r="E56" i="5"/>
  <c r="M361" i="4"/>
  <c r="M328" i="4"/>
  <c r="M280" i="4"/>
  <c r="M136" i="4"/>
  <c r="M322" i="4"/>
  <c r="M306" i="4"/>
  <c r="M296" i="4"/>
  <c r="M194" i="4"/>
  <c r="M132" i="4"/>
  <c r="M98" i="4"/>
  <c r="M66" i="4"/>
  <c r="M105" i="4"/>
  <c r="M338" i="4"/>
  <c r="M316" i="4"/>
  <c r="M311" i="4"/>
  <c r="M275" i="4"/>
  <c r="M128" i="4"/>
  <c r="M366" i="4"/>
  <c r="M290" i="4"/>
  <c r="M198" i="4"/>
  <c r="M159" i="4"/>
  <c r="E54" i="5"/>
  <c r="M354" i="4"/>
  <c r="M259" i="4"/>
  <c r="M151" i="4"/>
  <c r="M372" i="4"/>
  <c r="M348" i="4"/>
  <c r="M343" i="4"/>
  <c r="M274" i="4"/>
  <c r="M264" i="4"/>
  <c r="M254" i="4"/>
  <c r="M249" i="4"/>
  <c r="M212" i="4"/>
  <c r="M193" i="4"/>
  <c r="M143" i="4"/>
  <c r="M360" i="4"/>
  <c r="M332" i="4"/>
  <c r="M326" i="4"/>
  <c r="M300" i="4"/>
  <c r="M284" i="4"/>
  <c r="E21" i="5"/>
  <c r="E5" i="5"/>
  <c r="M365" i="4"/>
  <c r="M171" i="4"/>
  <c r="M315" i="4"/>
  <c r="M294" i="4"/>
  <c r="M216" i="4"/>
  <c r="M206" i="4"/>
  <c r="M184" i="4"/>
  <c r="M127" i="4"/>
  <c r="R127" i="4" s="1"/>
  <c r="M258" i="4"/>
  <c r="M162" i="4"/>
  <c r="M158" i="4"/>
  <c r="M111" i="4"/>
  <c r="E52" i="5"/>
  <c r="E36" i="5"/>
  <c r="M347" i="4"/>
  <c r="M358" i="4"/>
  <c r="M304" i="4"/>
  <c r="M268" i="4"/>
  <c r="M188" i="4"/>
  <c r="M371" i="4"/>
  <c r="M336" i="4"/>
  <c r="M283" i="4"/>
  <c r="E48" i="5"/>
  <c r="E32" i="5"/>
  <c r="E16" i="5"/>
  <c r="M211" i="4"/>
  <c r="M192" i="4"/>
  <c r="M325" i="4"/>
  <c r="M319" i="4"/>
  <c r="M262" i="4"/>
  <c r="Q342" i="4"/>
  <c r="Q356" i="4"/>
  <c r="Q363" i="4"/>
  <c r="Q274" i="4"/>
  <c r="Q366" i="4"/>
  <c r="Q341" i="4"/>
  <c r="Q330" i="4"/>
  <c r="Q113" i="4"/>
  <c r="Q81" i="4"/>
  <c r="Q368" i="4"/>
  <c r="Q195" i="4"/>
  <c r="Q307" i="4"/>
  <c r="Q102" i="4"/>
  <c r="Q77" i="4"/>
  <c r="Q333" i="4"/>
  <c r="Q203" i="4"/>
  <c r="Q84" i="4"/>
  <c r="Q361" i="4"/>
  <c r="Q355" i="4"/>
  <c r="Q328" i="4"/>
  <c r="Q98" i="4"/>
  <c r="Q367" i="4"/>
  <c r="Q87" i="4"/>
  <c r="Q354" i="4"/>
  <c r="Q327" i="4"/>
  <c r="Q337" i="4"/>
  <c r="Q202" i="4"/>
  <c r="I21" i="5"/>
  <c r="Q360" i="4"/>
  <c r="Q206" i="4"/>
  <c r="Q359" i="4"/>
  <c r="Q184" i="4"/>
  <c r="Q336" i="4"/>
  <c r="Q201" i="4"/>
  <c r="H34" i="5"/>
  <c r="O267" i="4"/>
  <c r="O270" i="4"/>
  <c r="O277" i="4"/>
  <c r="O280" i="4"/>
  <c r="O268" i="4"/>
  <c r="O278" i="4"/>
  <c r="Q45" i="4"/>
  <c r="I6" i="5"/>
  <c r="I10" i="5"/>
  <c r="Q233" i="4"/>
  <c r="I18" i="5"/>
  <c r="Q283" i="4"/>
  <c r="I26" i="5"/>
  <c r="Q362" i="4"/>
  <c r="Q207" i="4"/>
  <c r="Q185" i="4"/>
  <c r="Q269" i="4"/>
  <c r="Q217" i="4"/>
  <c r="Q189" i="4"/>
  <c r="Q279" i="4"/>
  <c r="Q150" i="4"/>
  <c r="Q205" i="4"/>
  <c r="Q293" i="4"/>
  <c r="Q278" i="4"/>
  <c r="I34" i="5"/>
  <c r="Q267" i="4"/>
  <c r="Q277" i="4"/>
  <c r="Q116" i="4"/>
  <c r="Q270" i="4"/>
  <c r="Q280" i="4"/>
  <c r="Q268" i="4"/>
  <c r="Q220" i="4"/>
  <c r="Q223" i="4"/>
  <c r="Q241" i="4"/>
  <c r="I38" i="5"/>
  <c r="Q244" i="4"/>
  <c r="Q238" i="4"/>
  <c r="Q214" i="4"/>
  <c r="Q324" i="4"/>
  <c r="Q331" i="4"/>
  <c r="Q191" i="4"/>
  <c r="Q352" i="4"/>
  <c r="Q351" i="4"/>
  <c r="Q262" i="4"/>
  <c r="Q365" i="4"/>
  <c r="Q375" i="4"/>
  <c r="Q318" i="4"/>
  <c r="Q323" i="4"/>
  <c r="Q271" i="4"/>
  <c r="Q160" i="4"/>
  <c r="Q291" i="4"/>
  <c r="Q109" i="4"/>
  <c r="Q265" i="4"/>
  <c r="Q218" i="4"/>
  <c r="Q322" i="4"/>
  <c r="Q194" i="4"/>
  <c r="Q290" i="4"/>
  <c r="Q155" i="4"/>
  <c r="Q124" i="4"/>
  <c r="Q372" i="4"/>
  <c r="Q259" i="4"/>
  <c r="Q212" i="4"/>
  <c r="Q193" i="4"/>
  <c r="Q332" i="4"/>
  <c r="Q264" i="4"/>
  <c r="Q258" i="4"/>
  <c r="Q263" i="4"/>
  <c r="Q353" i="4"/>
  <c r="Q371" i="4"/>
  <c r="Q192" i="4"/>
  <c r="Q325" i="4"/>
  <c r="Q364" i="4"/>
  <c r="Q215" i="4"/>
  <c r="Q376" i="4"/>
  <c r="Q308" i="4"/>
  <c r="Q186" i="4"/>
  <c r="Q286" i="4"/>
  <c r="I54" i="5"/>
  <c r="Q120" i="4"/>
  <c r="T120" i="4" s="1"/>
  <c r="T209" i="4" s="1"/>
  <c r="Q216" i="4"/>
  <c r="I58" i="5"/>
  <c r="Q227" i="4"/>
  <c r="Q231" i="4"/>
  <c r="Q229" i="4"/>
  <c r="N10" i="4"/>
  <c r="O17" i="4"/>
  <c r="Q28" i="4"/>
  <c r="O32" i="4"/>
  <c r="Q40" i="4"/>
  <c r="M75" i="4"/>
  <c r="Q79" i="4"/>
  <c r="N93" i="4"/>
  <c r="M102" i="4"/>
  <c r="M107" i="4"/>
  <c r="N117" i="4"/>
  <c r="N138" i="4"/>
  <c r="M146" i="4"/>
  <c r="Q162" i="4"/>
  <c r="N192" i="4"/>
  <c r="O215" i="4"/>
  <c r="O308" i="4"/>
  <c r="N346" i="4"/>
  <c r="H14" i="5"/>
  <c r="N312" i="4"/>
  <c r="G36" i="5"/>
  <c r="R142" i="4"/>
  <c r="Q374" i="4"/>
  <c r="Q373" i="4"/>
  <c r="K7" i="3"/>
  <c r="M7" i="3" s="1"/>
  <c r="N7" i="3" s="1"/>
  <c r="K43" i="3"/>
  <c r="M43" i="3" s="1"/>
  <c r="N43" i="3" s="1"/>
  <c r="Q17" i="4"/>
  <c r="M49" i="4"/>
  <c r="N75" i="4"/>
  <c r="O93" i="4"/>
  <c r="N107" i="4"/>
  <c r="O117" i="4"/>
  <c r="M124" i="4"/>
  <c r="M131" i="4"/>
  <c r="R131" i="4" s="1"/>
  <c r="O138" i="4"/>
  <c r="N146" i="4"/>
  <c r="M219" i="4"/>
  <c r="M247" i="4"/>
  <c r="R247" i="4" s="1"/>
  <c r="N277" i="4"/>
  <c r="N313" i="4"/>
  <c r="O346" i="4"/>
  <c r="I14" i="5"/>
  <c r="K27" i="7"/>
  <c r="K28" i="7" s="1"/>
  <c r="K33" i="3"/>
  <c r="M33" i="3" s="1"/>
  <c r="N33" i="3" s="1"/>
  <c r="O169" i="4"/>
  <c r="O255" i="4"/>
  <c r="O74" i="4"/>
  <c r="O173" i="4"/>
  <c r="O164" i="4"/>
  <c r="O121" i="4"/>
  <c r="O151" i="4"/>
  <c r="O254" i="4"/>
  <c r="O249" i="4"/>
  <c r="H5" i="5"/>
  <c r="O171" i="4"/>
  <c r="Q255" i="4"/>
  <c r="Q173" i="4"/>
  <c r="Q164" i="4"/>
  <c r="Q121" i="4"/>
  <c r="Q151" i="4"/>
  <c r="Q254" i="4"/>
  <c r="Q249" i="4"/>
  <c r="I5" i="5"/>
  <c r="Q171" i="4"/>
  <c r="K31" i="3"/>
  <c r="M31" i="3" s="1"/>
  <c r="N31" i="3" s="1"/>
  <c r="E58" i="5"/>
  <c r="M231" i="4"/>
  <c r="M227" i="4"/>
  <c r="M229" i="4"/>
  <c r="L7" i="3"/>
  <c r="L11" i="3"/>
  <c r="L19" i="3"/>
  <c r="L23" i="3"/>
  <c r="L27" i="3"/>
  <c r="L31" i="3"/>
  <c r="L35" i="3"/>
  <c r="L39" i="3"/>
  <c r="L43" i="3"/>
  <c r="L47" i="3"/>
  <c r="L59" i="3"/>
  <c r="Q10" i="4"/>
  <c r="M21" i="4"/>
  <c r="N49" i="4"/>
  <c r="O75" i="4"/>
  <c r="M84" i="4"/>
  <c r="M89" i="4"/>
  <c r="Q93" i="4"/>
  <c r="O107" i="4"/>
  <c r="Q117" i="4"/>
  <c r="O124" i="4"/>
  <c r="Q138" i="4"/>
  <c r="O146" i="4"/>
  <c r="M164" i="4"/>
  <c r="N175" i="4"/>
  <c r="N219" i="4"/>
  <c r="Q313" i="4"/>
  <c r="Q346" i="4"/>
  <c r="I29" i="5"/>
  <c r="O313" i="4"/>
  <c r="O312" i="4"/>
  <c r="H36" i="5"/>
  <c r="O314" i="4"/>
  <c r="K35" i="3"/>
  <c r="M35" i="3" s="1"/>
  <c r="N35" i="3" s="1"/>
  <c r="N21" i="4"/>
  <c r="M71" i="4"/>
  <c r="Q75" i="4"/>
  <c r="O84" i="4"/>
  <c r="N89" i="4"/>
  <c r="Q107" i="4"/>
  <c r="O131" i="4"/>
  <c r="M154" i="4"/>
  <c r="O282" i="4"/>
  <c r="G48" i="5"/>
  <c r="N213" i="4"/>
  <c r="O213" i="4"/>
  <c r="H48" i="5"/>
  <c r="M225" i="4"/>
  <c r="E10" i="5"/>
  <c r="E57" i="5"/>
  <c r="M234" i="4"/>
  <c r="E47" i="5"/>
  <c r="E44" i="5"/>
  <c r="M236" i="4"/>
  <c r="M207" i="4"/>
  <c r="M185" i="4"/>
  <c r="E22" i="5"/>
  <c r="M269" i="4"/>
  <c r="M217" i="4"/>
  <c r="M189" i="4"/>
  <c r="M235" i="4"/>
  <c r="E53" i="5"/>
  <c r="M279" i="4"/>
  <c r="O223" i="4"/>
  <c r="O241" i="4"/>
  <c r="H38" i="5"/>
  <c r="O244" i="4"/>
  <c r="O220" i="4"/>
  <c r="O238" i="4"/>
  <c r="M14" i="4"/>
  <c r="C6" i="10"/>
  <c r="K6" i="10" s="1"/>
  <c r="M170" i="4"/>
  <c r="R170" i="4" s="1"/>
  <c r="M177" i="4"/>
  <c r="M165" i="4"/>
  <c r="C8" i="10"/>
  <c r="K8" i="10" s="1"/>
  <c r="L8" i="10" s="1"/>
  <c r="C7" i="10"/>
  <c r="K7" i="10" s="1"/>
  <c r="L7" i="10" s="1"/>
  <c r="M99" i="4"/>
  <c r="E29" i="5"/>
  <c r="M168" i="4"/>
  <c r="R168" i="4" s="1"/>
  <c r="U168" i="4" s="1"/>
  <c r="V168" i="4" s="1"/>
  <c r="M172" i="4"/>
  <c r="M181" i="4"/>
  <c r="M176" i="4"/>
  <c r="M163" i="4"/>
  <c r="M167" i="4"/>
  <c r="M180" i="4"/>
  <c r="E37" i="5"/>
  <c r="M175" i="4"/>
  <c r="M179" i="4"/>
  <c r="M166" i="4"/>
  <c r="M7" i="4"/>
  <c r="N14" i="4"/>
  <c r="O21" i="4"/>
  <c r="N66" i="4"/>
  <c r="N71" i="4"/>
  <c r="O89" i="4"/>
  <c r="M103" i="4"/>
  <c r="M112" i="4"/>
  <c r="Q125" i="4"/>
  <c r="Q131" i="4"/>
  <c r="Q154" i="4"/>
  <c r="N178" i="4"/>
  <c r="Q219" i="4"/>
  <c r="Q247" i="4"/>
  <c r="Q282" i="4"/>
  <c r="M314" i="4"/>
  <c r="H16" i="5"/>
  <c r="O132" i="4"/>
  <c r="O284" i="4"/>
  <c r="O135" i="4"/>
  <c r="H26" i="5"/>
  <c r="O362" i="4"/>
  <c r="O10" i="4"/>
  <c r="F20" i="3"/>
  <c r="F36" i="3"/>
  <c r="F40" i="3"/>
  <c r="F44" i="3"/>
  <c r="F48" i="3"/>
  <c r="F52" i="3"/>
  <c r="F56" i="3"/>
  <c r="N7" i="4"/>
  <c r="O14" i="4"/>
  <c r="Q21" i="4"/>
  <c r="N25" i="4"/>
  <c r="N45" i="4"/>
  <c r="M62" i="4"/>
  <c r="O66" i="4"/>
  <c r="O71" i="4"/>
  <c r="M85" i="4"/>
  <c r="Q89" i="4"/>
  <c r="N98" i="4"/>
  <c r="N103" i="4"/>
  <c r="Q112" i="4"/>
  <c r="O165" i="4"/>
  <c r="O178" i="4"/>
  <c r="M196" i="4"/>
  <c r="N314" i="4"/>
  <c r="N310" i="4"/>
  <c r="N260" i="4"/>
  <c r="N377" i="4"/>
  <c r="N320" i="4"/>
  <c r="N130" i="4"/>
  <c r="G56" i="5"/>
  <c r="N273" i="4"/>
  <c r="N261" i="4"/>
  <c r="N159" i="4"/>
  <c r="N309" i="4"/>
  <c r="N319" i="4"/>
  <c r="H40" i="5"/>
  <c r="O246" i="4"/>
  <c r="O222" i="4"/>
  <c r="O240" i="4"/>
  <c r="O243" i="4"/>
  <c r="K21" i="3"/>
  <c r="M21" i="3" s="1"/>
  <c r="N21" i="3" s="1"/>
  <c r="R293" i="4"/>
  <c r="U293" i="4" s="1"/>
  <c r="V293" i="4" s="1"/>
  <c r="E42" i="5"/>
  <c r="E17" i="5"/>
  <c r="M28" i="4"/>
  <c r="M45" i="4"/>
  <c r="E24" i="5"/>
  <c r="E8" i="5"/>
  <c r="E6" i="5"/>
  <c r="E20" i="5"/>
  <c r="O373" i="4"/>
  <c r="H13" i="5"/>
  <c r="O374" i="4"/>
  <c r="N238" i="4"/>
  <c r="N220" i="4"/>
  <c r="N241" i="4"/>
  <c r="N223" i="4"/>
  <c r="G38" i="5"/>
  <c r="N244" i="4"/>
  <c r="K11" i="3"/>
  <c r="M11" i="3" s="1"/>
  <c r="N11" i="3" s="1"/>
  <c r="K51" i="3"/>
  <c r="M51" i="3" s="1"/>
  <c r="N51" i="3" s="1"/>
  <c r="G11" i="5"/>
  <c r="N232" i="4"/>
  <c r="N228" i="4"/>
  <c r="N230" i="4"/>
  <c r="G15" i="5"/>
  <c r="N350" i="4"/>
  <c r="G19" i="5"/>
  <c r="N188" i="4"/>
  <c r="N334" i="4"/>
  <c r="G23" i="5"/>
  <c r="G27" i="5"/>
  <c r="N343" i="4"/>
  <c r="G31" i="5"/>
  <c r="N106" i="4"/>
  <c r="N315" i="4"/>
  <c r="G35" i="5"/>
  <c r="N152" i="4"/>
  <c r="N306" i="4"/>
  <c r="N302" i="4"/>
  <c r="N208" i="4"/>
  <c r="N305" i="4"/>
  <c r="N197" i="4"/>
  <c r="N276" i="4"/>
  <c r="N311" i="4"/>
  <c r="N299" i="4"/>
  <c r="N304" i="4"/>
  <c r="N298" i="4"/>
  <c r="G39" i="5"/>
  <c r="N31" i="4"/>
  <c r="N38" i="4"/>
  <c r="G43" i="5"/>
  <c r="N221" i="4"/>
  <c r="N252" i="4"/>
  <c r="N248" i="4"/>
  <c r="N251" i="4"/>
  <c r="N250" i="4"/>
  <c r="N245" i="4"/>
  <c r="N239" i="4"/>
  <c r="G47" i="5"/>
  <c r="N234" i="4"/>
  <c r="G51" i="5"/>
  <c r="N256" i="4"/>
  <c r="N211" i="4"/>
  <c r="O7" i="4"/>
  <c r="Q14" i="4"/>
  <c r="M29" i="4"/>
  <c r="M41" i="4"/>
  <c r="M58" i="4"/>
  <c r="R58" i="4" s="1"/>
  <c r="N62" i="4"/>
  <c r="Q71" i="4"/>
  <c r="M80" i="4"/>
  <c r="N85" i="4"/>
  <c r="O98" i="4"/>
  <c r="O103" i="4"/>
  <c r="M139" i="4"/>
  <c r="Q165" i="4"/>
  <c r="Q178" i="4"/>
  <c r="N196" i="4"/>
  <c r="M351" i="4"/>
  <c r="I30" i="5"/>
  <c r="F10" i="3"/>
  <c r="F31" i="3"/>
  <c r="K15" i="3"/>
  <c r="M15" i="3" s="1"/>
  <c r="N15" i="3" s="1"/>
  <c r="K55" i="3"/>
  <c r="M55" i="3" s="1"/>
  <c r="N55" i="3" s="1"/>
  <c r="F28" i="3"/>
  <c r="O317" i="4"/>
  <c r="O285" i="4"/>
  <c r="O292" i="4"/>
  <c r="O370" i="4"/>
  <c r="H7" i="5"/>
  <c r="O297" i="4"/>
  <c r="O70" i="4"/>
  <c r="O190" i="4"/>
  <c r="O144" i="4"/>
  <c r="O296" i="4"/>
  <c r="O316" i="4"/>
  <c r="O295" i="4"/>
  <c r="O143" i="4"/>
  <c r="O326" i="4"/>
  <c r="O294" i="4"/>
  <c r="O347" i="4"/>
  <c r="H15" i="5"/>
  <c r="O350" i="4"/>
  <c r="O188" i="4"/>
  <c r="H19" i="5"/>
  <c r="O334" i="4"/>
  <c r="H23" i="5"/>
  <c r="H27" i="5"/>
  <c r="O343" i="4"/>
  <c r="H31" i="5"/>
  <c r="O106" i="4"/>
  <c r="O315" i="4"/>
  <c r="O303" i="4"/>
  <c r="O152" i="4"/>
  <c r="O299" i="4"/>
  <c r="O302" i="4"/>
  <c r="O276" i="4"/>
  <c r="O208" i="4"/>
  <c r="O306" i="4"/>
  <c r="O311" i="4"/>
  <c r="O305" i="4"/>
  <c r="O197" i="4"/>
  <c r="O304" i="4"/>
  <c r="H35" i="5"/>
  <c r="O298" i="4"/>
  <c r="O196" i="4"/>
  <c r="H39" i="5"/>
  <c r="O38" i="4"/>
  <c r="O239" i="4"/>
  <c r="O245" i="4"/>
  <c r="O248" i="4"/>
  <c r="O251" i="4"/>
  <c r="H43" i="5"/>
  <c r="O250" i="4"/>
  <c r="O221" i="4"/>
  <c r="O252" i="4"/>
  <c r="H47" i="5"/>
  <c r="O234" i="4"/>
  <c r="O256" i="4"/>
  <c r="O211" i="4"/>
  <c r="H51" i="5"/>
  <c r="Q7" i="4"/>
  <c r="M18" i="4"/>
  <c r="Q25" i="4"/>
  <c r="N29" i="4"/>
  <c r="M33" i="4"/>
  <c r="M37" i="4"/>
  <c r="R37" i="4" s="1"/>
  <c r="N41" i="4"/>
  <c r="M54" i="4"/>
  <c r="O62" i="4"/>
  <c r="N80" i="4"/>
  <c r="O85" i="4"/>
  <c r="Q103" i="4"/>
  <c r="Q139" i="4"/>
  <c r="N156" i="4"/>
  <c r="D15" i="8"/>
  <c r="J30" i="7"/>
  <c r="J33" i="7" s="1"/>
  <c r="S114" i="4"/>
  <c r="F19" i="3"/>
  <c r="N207" i="4"/>
  <c r="N185" i="4"/>
  <c r="N269" i="4"/>
  <c r="N217" i="4"/>
  <c r="N189" i="4"/>
  <c r="N279" i="4"/>
  <c r="N205" i="4"/>
  <c r="K39" i="3"/>
  <c r="M39" i="3" s="1"/>
  <c r="N39" i="3" s="1"/>
  <c r="F8" i="3"/>
  <c r="F32" i="3"/>
  <c r="N296" i="4"/>
  <c r="N317" i="4"/>
  <c r="N285" i="4"/>
  <c r="N292" i="4"/>
  <c r="N370" i="4"/>
  <c r="N295" i="4"/>
  <c r="N316" i="4"/>
  <c r="G7" i="5"/>
  <c r="N266" i="4"/>
  <c r="N297" i="4"/>
  <c r="N70" i="4"/>
  <c r="N190" i="4"/>
  <c r="N52" i="4"/>
  <c r="N143" i="4"/>
  <c r="N326" i="4"/>
  <c r="N294" i="4"/>
  <c r="N347" i="4"/>
  <c r="Q292" i="4"/>
  <c r="Q370" i="4"/>
  <c r="Q316" i="4"/>
  <c r="Q144" i="4"/>
  <c r="Q266" i="4"/>
  <c r="Q190" i="4"/>
  <c r="Q326" i="4"/>
  <c r="Q294" i="4"/>
  <c r="Q56" i="4"/>
  <c r="Q70" i="4"/>
  <c r="Q52" i="4"/>
  <c r="Q317" i="4"/>
  <c r="Q296" i="4"/>
  <c r="I7" i="5"/>
  <c r="Q295" i="4"/>
  <c r="Q285" i="4"/>
  <c r="Q143" i="4"/>
  <c r="Q347" i="4"/>
  <c r="Q230" i="4"/>
  <c r="Q232" i="4"/>
  <c r="I11" i="5"/>
  <c r="Q334" i="4"/>
  <c r="I23" i="5"/>
  <c r="I27" i="5"/>
  <c r="Q343" i="4"/>
  <c r="Q315" i="4"/>
  <c r="I31" i="5"/>
  <c r="Q299" i="4"/>
  <c r="Q306" i="4"/>
  <c r="Q208" i="4"/>
  <c r="Q298" i="4"/>
  <c r="Q276" i="4"/>
  <c r="Q302" i="4"/>
  <c r="Q152" i="4"/>
  <c r="Q311" i="4"/>
  <c r="Q305" i="4"/>
  <c r="Q197" i="4"/>
  <c r="Q304" i="4"/>
  <c r="I35" i="5"/>
  <c r="Q242" i="4"/>
  <c r="Q252" i="4"/>
  <c r="I43" i="5"/>
  <c r="Q250" i="4"/>
  <c r="Q245" i="4"/>
  <c r="Q221" i="4"/>
  <c r="Q239" i="4"/>
  <c r="Q248" i="4"/>
  <c r="Q224" i="4"/>
  <c r="Q234" i="4"/>
  <c r="I47" i="5"/>
  <c r="Q256" i="4"/>
  <c r="Q211" i="4"/>
  <c r="I51" i="5"/>
  <c r="M11" i="4"/>
  <c r="N18" i="4"/>
  <c r="O29" i="4"/>
  <c r="N33" i="4"/>
  <c r="O41" i="4"/>
  <c r="M50" i="4"/>
  <c r="N54" i="4"/>
  <c r="O58" i="4"/>
  <c r="Q62" i="4"/>
  <c r="O67" i="4"/>
  <c r="Q80" i="4"/>
  <c r="Q85" i="4"/>
  <c r="M94" i="4"/>
  <c r="N113" i="4"/>
  <c r="M126" i="4"/>
  <c r="O140" i="4"/>
  <c r="E46" i="5"/>
  <c r="K16" i="7"/>
  <c r="K20" i="7" s="1"/>
  <c r="F15" i="3"/>
  <c r="G26" i="5"/>
  <c r="N362" i="4"/>
  <c r="O45" i="4"/>
  <c r="H6" i="5"/>
  <c r="K47" i="3"/>
  <c r="M47" i="3" s="1"/>
  <c r="N47" i="3" s="1"/>
  <c r="Q36" i="4"/>
  <c r="F12" i="3"/>
  <c r="Q350" i="4"/>
  <c r="I15" i="5"/>
  <c r="K12" i="3"/>
  <c r="M12" i="3" s="1"/>
  <c r="N12" i="3" s="1"/>
  <c r="K20" i="3"/>
  <c r="M20" i="3" s="1"/>
  <c r="N20" i="3" s="1"/>
  <c r="K24" i="3"/>
  <c r="M24" i="3" s="1"/>
  <c r="N24" i="3" s="1"/>
  <c r="K28" i="3"/>
  <c r="M28" i="3" s="1"/>
  <c r="N28" i="3" s="1"/>
  <c r="K32" i="3"/>
  <c r="M32" i="3" s="1"/>
  <c r="N32" i="3" s="1"/>
  <c r="K36" i="3"/>
  <c r="M36" i="3" s="1"/>
  <c r="N36" i="3" s="1"/>
  <c r="K40" i="3"/>
  <c r="M40" i="3" s="1"/>
  <c r="N40" i="3" s="1"/>
  <c r="N11" i="4"/>
  <c r="O18" i="4"/>
  <c r="Q29" i="4"/>
  <c r="O33" i="4"/>
  <c r="O37" i="4"/>
  <c r="Q41" i="4"/>
  <c r="M46" i="4"/>
  <c r="N50" i="4"/>
  <c r="O54" i="4"/>
  <c r="Q58" i="4"/>
  <c r="Q67" i="4"/>
  <c r="M76" i="4"/>
  <c r="N94" i="4"/>
  <c r="O99" i="4"/>
  <c r="M108" i="4"/>
  <c r="N126" i="4"/>
  <c r="O133" i="4"/>
  <c r="N148" i="4"/>
  <c r="M157" i="4"/>
  <c r="M224" i="4"/>
  <c r="M287" i="4"/>
  <c r="N357" i="4"/>
  <c r="G46" i="5"/>
  <c r="K13" i="3"/>
  <c r="M13" i="3" s="1"/>
  <c r="N13" i="3" s="1"/>
  <c r="N19" i="4"/>
  <c r="E43" i="5"/>
  <c r="M239" i="4"/>
  <c r="M246" i="4"/>
  <c r="M221" i="4"/>
  <c r="E49" i="5"/>
  <c r="M245" i="4"/>
  <c r="M241" i="4"/>
  <c r="M237" i="4"/>
  <c r="R237" i="4" s="1"/>
  <c r="M251" i="4"/>
  <c r="M223" i="4"/>
  <c r="E40" i="5"/>
  <c r="M250" i="4"/>
  <c r="M222" i="4"/>
  <c r="M240" i="4"/>
  <c r="E38" i="5"/>
  <c r="M226" i="4"/>
  <c r="M244" i="4"/>
  <c r="M248" i="4"/>
  <c r="M220" i="4"/>
  <c r="M243" i="4"/>
  <c r="M238" i="4"/>
  <c r="F18" i="3"/>
  <c r="F27" i="3"/>
  <c r="O207" i="4"/>
  <c r="O185" i="4"/>
  <c r="O269" i="4"/>
  <c r="O217" i="4"/>
  <c r="O189" i="4"/>
  <c r="O279" i="4"/>
  <c r="O150" i="4"/>
  <c r="O205" i="4"/>
  <c r="O293" i="4"/>
  <c r="K23" i="3"/>
  <c r="M23" i="3" s="1"/>
  <c r="N23" i="3" s="1"/>
  <c r="F16" i="3"/>
  <c r="Q134" i="4"/>
  <c r="T134" i="4" s="1"/>
  <c r="Q188" i="4"/>
  <c r="I19" i="5"/>
  <c r="K8" i="3"/>
  <c r="M8" i="3" s="1"/>
  <c r="N8" i="3" s="1"/>
  <c r="L12" i="3"/>
  <c r="L16" i="3"/>
  <c r="L20" i="3"/>
  <c r="L24" i="3"/>
  <c r="L28" i="3"/>
  <c r="L32" i="3"/>
  <c r="L36" i="3"/>
  <c r="L40" i="3"/>
  <c r="L44" i="3"/>
  <c r="L48" i="3"/>
  <c r="L52" i="3"/>
  <c r="L56" i="3"/>
  <c r="O11" i="4"/>
  <c r="Q18" i="4"/>
  <c r="Q33" i="4"/>
  <c r="Q37" i="4"/>
  <c r="N46" i="4"/>
  <c r="O50" i="4"/>
  <c r="Q54" i="4"/>
  <c r="N76" i="4"/>
  <c r="O94" i="4"/>
  <c r="Q99" i="4"/>
  <c r="N108" i="4"/>
  <c r="O126" i="4"/>
  <c r="Q133" i="4"/>
  <c r="N141" i="4"/>
  <c r="N157" i="4"/>
  <c r="M200" i="4"/>
  <c r="N224" i="4"/>
  <c r="N287" i="4"/>
  <c r="O357" i="4"/>
  <c r="H46" i="5"/>
  <c r="D14" i="8"/>
  <c r="H30" i="7"/>
  <c r="H33" i="7" s="1"/>
  <c r="D5" i="11" s="1"/>
  <c r="D8" i="11" s="1"/>
  <c r="K25" i="3"/>
  <c r="M25" i="3" s="1"/>
  <c r="N25" i="3" s="1"/>
  <c r="N169" i="4"/>
  <c r="N74" i="4"/>
  <c r="N173" i="4"/>
  <c r="N164" i="4"/>
  <c r="N255" i="4"/>
  <c r="N73" i="4"/>
  <c r="N151" i="4"/>
  <c r="N254" i="4"/>
  <c r="N249" i="4"/>
  <c r="G5" i="5"/>
  <c r="N171" i="4"/>
  <c r="F7" i="3"/>
  <c r="G18" i="5"/>
  <c r="N283" i="4"/>
  <c r="E59" i="5"/>
  <c r="M147" i="4"/>
  <c r="R147" i="4" s="1"/>
  <c r="U147" i="4" s="1"/>
  <c r="V147" i="4" s="1"/>
  <c r="F24" i="3"/>
  <c r="O228" i="4"/>
  <c r="O232" i="4"/>
  <c r="H11" i="5"/>
  <c r="O230" i="4"/>
  <c r="K16" i="3"/>
  <c r="M16" i="3" s="1"/>
  <c r="N16" i="3" s="1"/>
  <c r="Q11" i="4"/>
  <c r="M22" i="4"/>
  <c r="R22" i="4" s="1"/>
  <c r="O46" i="4"/>
  <c r="Q50" i="4"/>
  <c r="O76" i="4"/>
  <c r="N81" i="4"/>
  <c r="M90" i="4"/>
  <c r="R90" i="4" s="1"/>
  <c r="O108" i="4"/>
  <c r="Q126" i="4"/>
  <c r="O141" i="4"/>
  <c r="N149" i="4"/>
  <c r="O157" i="4"/>
  <c r="N166" i="4"/>
  <c r="N200" i="4"/>
  <c r="O224" i="4"/>
  <c r="M324" i="4"/>
  <c r="Q357" i="4"/>
  <c r="I46" i="5"/>
  <c r="B14" i="8"/>
  <c r="B15" i="8"/>
  <c r="K8" i="7"/>
  <c r="K12" i="7" s="1"/>
  <c r="T86" i="4" l="1"/>
  <c r="S15" i="4"/>
  <c r="T15" i="4"/>
  <c r="S134" i="4"/>
  <c r="T12" i="4"/>
  <c r="T72" i="4"/>
  <c r="S147" i="4"/>
  <c r="U247" i="4"/>
  <c r="V247" i="4" s="1"/>
  <c r="S247" i="4"/>
  <c r="U303" i="4"/>
  <c r="V303" i="4" s="1"/>
  <c r="S303" i="4"/>
  <c r="U257" i="4"/>
  <c r="V257" i="4" s="1"/>
  <c r="T257" i="4"/>
  <c r="S257" i="4"/>
  <c r="U127" i="4"/>
  <c r="V127" i="4" s="1"/>
  <c r="S127" i="4"/>
  <c r="T127" i="4"/>
  <c r="U267" i="4"/>
  <c r="V267" i="4" s="1"/>
  <c r="S267" i="4"/>
  <c r="U131" i="4"/>
  <c r="V131" i="4" s="1"/>
  <c r="S131" i="4"/>
  <c r="U37" i="4"/>
  <c r="V37" i="4" s="1"/>
  <c r="S37" i="4"/>
  <c r="U16" i="4"/>
  <c r="V16" i="4" s="1"/>
  <c r="S16" i="4"/>
  <c r="U100" i="4"/>
  <c r="V100" i="4" s="1"/>
  <c r="S100" i="4"/>
  <c r="T24" i="4"/>
  <c r="U24" i="4"/>
  <c r="V24" i="4" s="1"/>
  <c r="S24" i="4"/>
  <c r="U90" i="4"/>
  <c r="V90" i="4" s="1"/>
  <c r="T90" i="4"/>
  <c r="S90" i="4"/>
  <c r="U58" i="4"/>
  <c r="V58" i="4" s="1"/>
  <c r="S58" i="4"/>
  <c r="U22" i="4"/>
  <c r="V22" i="4" s="1"/>
  <c r="S22" i="4"/>
  <c r="T22" i="4"/>
  <c r="U170" i="4"/>
  <c r="V170" i="4" s="1"/>
  <c r="T170" i="4"/>
  <c r="S170" i="4"/>
  <c r="U242" i="4"/>
  <c r="V242" i="4" s="1"/>
  <c r="S242" i="4"/>
  <c r="U55" i="4"/>
  <c r="V55" i="4" s="1"/>
  <c r="S55" i="4"/>
  <c r="T55" i="4"/>
  <c r="U237" i="4"/>
  <c r="V237" i="4" s="1"/>
  <c r="S237" i="4"/>
  <c r="K9" i="10"/>
  <c r="L6" i="10"/>
  <c r="R307" i="4"/>
  <c r="U307" i="4" s="1"/>
  <c r="V307" i="4" s="1"/>
  <c r="I8" i="6"/>
  <c r="L8" i="6" s="1"/>
  <c r="G8" i="6"/>
  <c r="K8" i="6" s="1"/>
  <c r="I7" i="6"/>
  <c r="L7" i="6" s="1"/>
  <c r="I6" i="6"/>
  <c r="L6" i="6" s="1"/>
  <c r="G6" i="6"/>
  <c r="K6" i="6" s="1"/>
  <c r="G7" i="6"/>
  <c r="K7" i="6" s="1"/>
  <c r="R365" i="4"/>
  <c r="U365" i="4" s="1"/>
  <c r="V365" i="4" s="1"/>
  <c r="R368" i="4"/>
  <c r="U368" i="4" s="1"/>
  <c r="V368" i="4" s="1"/>
  <c r="R69" i="4"/>
  <c r="U69" i="4" s="1"/>
  <c r="V69" i="4" s="1"/>
  <c r="T168" i="4"/>
  <c r="R9" i="4"/>
  <c r="U9" i="4" s="1"/>
  <c r="V9" i="4" s="1"/>
  <c r="R253" i="4"/>
  <c r="U253" i="4" s="1"/>
  <c r="V253" i="4" s="1"/>
  <c r="L15" i="3"/>
  <c r="R348" i="4"/>
  <c r="U348" i="4" s="1"/>
  <c r="V348" i="4" s="1"/>
  <c r="R85" i="4"/>
  <c r="U85" i="4" s="1"/>
  <c r="V85" i="4" s="1"/>
  <c r="R171" i="4"/>
  <c r="U171" i="4" s="1"/>
  <c r="V171" i="4" s="1"/>
  <c r="R279" i="4"/>
  <c r="U279" i="4" s="1"/>
  <c r="V279" i="4" s="1"/>
  <c r="R306" i="4"/>
  <c r="U306" i="4" s="1"/>
  <c r="V306" i="4" s="1"/>
  <c r="R332" i="4"/>
  <c r="U332" i="4" s="1"/>
  <c r="V332" i="4" s="1"/>
  <c r="R278" i="4"/>
  <c r="U278" i="4" s="1"/>
  <c r="V278" i="4" s="1"/>
  <c r="R329" i="4"/>
  <c r="S329" i="4" s="1"/>
  <c r="R349" i="4"/>
  <c r="U349" i="4" s="1"/>
  <c r="V349" i="4" s="1"/>
  <c r="L25" i="3"/>
  <c r="R296" i="4"/>
  <c r="U296" i="4" s="1"/>
  <c r="V296" i="4" s="1"/>
  <c r="R123" i="4"/>
  <c r="S123" i="4" s="1"/>
  <c r="R148" i="4"/>
  <c r="U148" i="4" s="1"/>
  <c r="V148" i="4" s="1"/>
  <c r="R126" i="4"/>
  <c r="U126" i="4" s="1"/>
  <c r="V126" i="4" s="1"/>
  <c r="R189" i="4"/>
  <c r="U189" i="4" s="1"/>
  <c r="V189" i="4" s="1"/>
  <c r="R62" i="4"/>
  <c r="U62" i="4" s="1"/>
  <c r="V62" i="4" s="1"/>
  <c r="R152" i="4"/>
  <c r="U152" i="4" s="1"/>
  <c r="V152" i="4" s="1"/>
  <c r="R313" i="4"/>
  <c r="U313" i="4" s="1"/>
  <c r="V313" i="4" s="1"/>
  <c r="R79" i="4"/>
  <c r="U79" i="4" s="1"/>
  <c r="V79" i="4" s="1"/>
  <c r="R193" i="4"/>
  <c r="U193" i="4" s="1"/>
  <c r="V193" i="4" s="1"/>
  <c r="R153" i="4"/>
  <c r="U153" i="4" s="1"/>
  <c r="V153" i="4" s="1"/>
  <c r="R204" i="4"/>
  <c r="U204" i="4" s="1"/>
  <c r="V204" i="4" s="1"/>
  <c r="R20" i="4"/>
  <c r="U20" i="4" s="1"/>
  <c r="V20" i="4" s="1"/>
  <c r="R179" i="4"/>
  <c r="U179" i="4" s="1"/>
  <c r="V179" i="4" s="1"/>
  <c r="R23" i="4"/>
  <c r="U23" i="4" s="1"/>
  <c r="V23" i="4" s="1"/>
  <c r="L21" i="3"/>
  <c r="V134" i="4"/>
  <c r="R268" i="4"/>
  <c r="U268" i="4" s="1"/>
  <c r="V268" i="4" s="1"/>
  <c r="R362" i="4"/>
  <c r="U362" i="4" s="1"/>
  <c r="V362" i="4" s="1"/>
  <c r="R249" i="4"/>
  <c r="U249" i="4" s="1"/>
  <c r="V249" i="4" s="1"/>
  <c r="S34" i="4"/>
  <c r="R217" i="4"/>
  <c r="U217" i="4" s="1"/>
  <c r="V217" i="4" s="1"/>
  <c r="R277" i="4"/>
  <c r="U277" i="4" s="1"/>
  <c r="V277" i="4" s="1"/>
  <c r="R93" i="4"/>
  <c r="U93" i="4" s="1"/>
  <c r="V93" i="4" s="1"/>
  <c r="R212" i="4"/>
  <c r="U212" i="4" s="1"/>
  <c r="V212" i="4" s="1"/>
  <c r="R337" i="4"/>
  <c r="U337" i="4" s="1"/>
  <c r="V337" i="4" s="1"/>
  <c r="R64" i="4"/>
  <c r="S64" i="4" s="1"/>
  <c r="L17" i="3"/>
  <c r="R178" i="4"/>
  <c r="U178" i="4" s="1"/>
  <c r="V178" i="4" s="1"/>
  <c r="T100" i="4"/>
  <c r="R254" i="4"/>
  <c r="U254" i="4" s="1"/>
  <c r="V254" i="4" s="1"/>
  <c r="T242" i="4"/>
  <c r="R269" i="4"/>
  <c r="U269" i="4" s="1"/>
  <c r="V269" i="4" s="1"/>
  <c r="R315" i="4"/>
  <c r="U315" i="4" s="1"/>
  <c r="V315" i="4" s="1"/>
  <c r="R53" i="4"/>
  <c r="R372" i="4"/>
  <c r="U372" i="4" s="1"/>
  <c r="V372" i="4" s="1"/>
  <c r="R369" i="4"/>
  <c r="U369" i="4" s="1"/>
  <c r="V369" i="4" s="1"/>
  <c r="R180" i="4"/>
  <c r="U180" i="4" s="1"/>
  <c r="V180" i="4" s="1"/>
  <c r="L13" i="3"/>
  <c r="R162" i="4"/>
  <c r="U162" i="4" s="1"/>
  <c r="V162" i="4" s="1"/>
  <c r="R185" i="4"/>
  <c r="U185" i="4" s="1"/>
  <c r="V185" i="4" s="1"/>
  <c r="R106" i="4"/>
  <c r="S106" i="4" s="1"/>
  <c r="R71" i="4"/>
  <c r="U71" i="4" s="1"/>
  <c r="V71" i="4" s="1"/>
  <c r="T267" i="4"/>
  <c r="R57" i="4"/>
  <c r="S57" i="4" s="1"/>
  <c r="R124" i="4"/>
  <c r="U124" i="4" s="1"/>
  <c r="V124" i="4" s="1"/>
  <c r="R83" i="4"/>
  <c r="U83" i="4" s="1"/>
  <c r="V83" i="4" s="1"/>
  <c r="R366" i="4"/>
  <c r="U366" i="4" s="1"/>
  <c r="V366" i="4" s="1"/>
  <c r="R118" i="4"/>
  <c r="U5" i="4"/>
  <c r="R167" i="4"/>
  <c r="U167" i="4" s="1"/>
  <c r="V167" i="4" s="1"/>
  <c r="R47" i="4"/>
  <c r="U47" i="4" s="1"/>
  <c r="V47" i="4" s="1"/>
  <c r="R355" i="4"/>
  <c r="U355" i="4" s="1"/>
  <c r="V355" i="4" s="1"/>
  <c r="R357" i="4"/>
  <c r="U357" i="4" s="1"/>
  <c r="V357" i="4" s="1"/>
  <c r="T147" i="4"/>
  <c r="R207" i="4"/>
  <c r="U207" i="4" s="1"/>
  <c r="V207" i="4" s="1"/>
  <c r="R45" i="4"/>
  <c r="U45" i="4" s="1"/>
  <c r="V45" i="4" s="1"/>
  <c r="R66" i="4"/>
  <c r="U66" i="4" s="1"/>
  <c r="V66" i="4" s="1"/>
  <c r="R146" i="4"/>
  <c r="U146" i="4" s="1"/>
  <c r="V146" i="4" s="1"/>
  <c r="R36" i="4"/>
  <c r="U36" i="4" s="1"/>
  <c r="V36" i="4" s="1"/>
  <c r="R155" i="4"/>
  <c r="U155" i="4" s="1"/>
  <c r="V155" i="4" s="1"/>
  <c r="R327" i="4"/>
  <c r="U327" i="4" s="1"/>
  <c r="V327" i="4" s="1"/>
  <c r="L50" i="3"/>
  <c r="R225" i="4"/>
  <c r="U225" i="4" s="1"/>
  <c r="V225" i="4" s="1"/>
  <c r="R163" i="4"/>
  <c r="U163" i="4" s="1"/>
  <c r="V163" i="4" s="1"/>
  <c r="S51" i="4"/>
  <c r="R264" i="4"/>
  <c r="U264" i="4" s="1"/>
  <c r="V264" i="4" s="1"/>
  <c r="T247" i="4"/>
  <c r="T131" i="4"/>
  <c r="R255" i="4"/>
  <c r="U255" i="4" s="1"/>
  <c r="V255" i="4" s="1"/>
  <c r="R343" i="4"/>
  <c r="U343" i="4" s="1"/>
  <c r="V343" i="4" s="1"/>
  <c r="S293" i="4"/>
  <c r="R25" i="4"/>
  <c r="U25" i="4" s="1"/>
  <c r="V25" i="4" s="1"/>
  <c r="R32" i="4"/>
  <c r="R259" i="4"/>
  <c r="U259" i="4" s="1"/>
  <c r="V259" i="4" s="1"/>
  <c r="R359" i="4"/>
  <c r="U359" i="4" s="1"/>
  <c r="V359" i="4" s="1"/>
  <c r="R235" i="4"/>
  <c r="U235" i="4" s="1"/>
  <c r="V235" i="4" s="1"/>
  <c r="R181" i="4"/>
  <c r="U181" i="4" s="1"/>
  <c r="V181" i="4" s="1"/>
  <c r="T34" i="4"/>
  <c r="R311" i="4"/>
  <c r="U311" i="4" s="1"/>
  <c r="V311" i="4" s="1"/>
  <c r="U39" i="4"/>
  <c r="V39" i="4" s="1"/>
  <c r="T39" i="4"/>
  <c r="L33" i="3"/>
  <c r="T37" i="4"/>
  <c r="T58" i="4"/>
  <c r="R211" i="4"/>
  <c r="S211" i="4" s="1"/>
  <c r="S378" i="4" s="1"/>
  <c r="R14" i="4"/>
  <c r="U14" i="4" s="1"/>
  <c r="V14" i="4" s="1"/>
  <c r="T293" i="4"/>
  <c r="R290" i="4"/>
  <c r="U290" i="4" s="1"/>
  <c r="V290" i="4" s="1"/>
  <c r="R274" i="4"/>
  <c r="U274" i="4" s="1"/>
  <c r="V274" i="4" s="1"/>
  <c r="R236" i="4"/>
  <c r="U236" i="4" s="1"/>
  <c r="V236" i="4" s="1"/>
  <c r="R172" i="4"/>
  <c r="U172" i="4" s="1"/>
  <c r="V172" i="4" s="1"/>
  <c r="R353" i="4"/>
  <c r="U353" i="4" s="1"/>
  <c r="V353" i="4" s="1"/>
  <c r="R98" i="4"/>
  <c r="U98" i="4" s="1"/>
  <c r="V98" i="4" s="1"/>
  <c r="E5" i="11"/>
  <c r="F5" i="11" s="1"/>
  <c r="J35" i="7"/>
  <c r="R256" i="4"/>
  <c r="U256" i="4" s="1"/>
  <c r="V256" i="4" s="1"/>
  <c r="R219" i="4"/>
  <c r="U219" i="4" s="1"/>
  <c r="V219" i="4" s="1"/>
  <c r="R17" i="4"/>
  <c r="U17" i="4" s="1"/>
  <c r="V17" i="4" s="1"/>
  <c r="R40" i="4"/>
  <c r="U40" i="4" s="1"/>
  <c r="V40" i="4" s="1"/>
  <c r="R322" i="4"/>
  <c r="U322" i="4" s="1"/>
  <c r="V322" i="4" s="1"/>
  <c r="R363" i="4"/>
  <c r="U363" i="4" s="1"/>
  <c r="V363" i="4" s="1"/>
  <c r="L38" i="3"/>
  <c r="R165" i="4"/>
  <c r="U165" i="4" s="1"/>
  <c r="V165" i="4" s="1"/>
  <c r="S77" i="4"/>
  <c r="R205" i="4"/>
  <c r="U205" i="4" s="1"/>
  <c r="V205" i="4" s="1"/>
  <c r="R334" i="4"/>
  <c r="U334" i="4" s="1"/>
  <c r="V334" i="4" s="1"/>
  <c r="R7" i="4"/>
  <c r="U7" i="4" s="1"/>
  <c r="V7" i="4" s="1"/>
  <c r="R175" i="4"/>
  <c r="U175" i="4" s="1"/>
  <c r="V175" i="4" s="1"/>
  <c r="R10" i="4"/>
  <c r="U10" i="4" s="1"/>
  <c r="V10" i="4" s="1"/>
  <c r="R218" i="4"/>
  <c r="U218" i="4" s="1"/>
  <c r="V218" i="4" s="1"/>
  <c r="R272" i="4"/>
  <c r="U272" i="4" s="1"/>
  <c r="V272" i="4" s="1"/>
  <c r="R13" i="4"/>
  <c r="U13" i="4" s="1"/>
  <c r="V13" i="4" s="1"/>
  <c r="R184" i="4"/>
  <c r="U184" i="4" s="1"/>
  <c r="V184" i="4" s="1"/>
  <c r="R373" i="4"/>
  <c r="U373" i="4" s="1"/>
  <c r="V373" i="4" s="1"/>
  <c r="R226" i="4"/>
  <c r="U226" i="4" s="1"/>
  <c r="V226" i="4" s="1"/>
  <c r="R176" i="4"/>
  <c r="U176" i="4" s="1"/>
  <c r="V176" i="4" s="1"/>
  <c r="R233" i="4"/>
  <c r="U233" i="4" s="1"/>
  <c r="V233" i="4" s="1"/>
  <c r="R192" i="4"/>
  <c r="U192" i="4" s="1"/>
  <c r="V192" i="4" s="1"/>
  <c r="R102" i="4"/>
  <c r="U102" i="4" s="1"/>
  <c r="V102" i="4" s="1"/>
  <c r="R270" i="4"/>
  <c r="U270" i="4" s="1"/>
  <c r="V270" i="4" s="1"/>
  <c r="R117" i="4"/>
  <c r="U117" i="4" s="1"/>
  <c r="V117" i="4" s="1"/>
  <c r="R107" i="4"/>
  <c r="U107" i="4" s="1"/>
  <c r="V107" i="4" s="1"/>
  <c r="R28" i="4"/>
  <c r="U28" i="4" s="1"/>
  <c r="V28" i="4" s="1"/>
  <c r="R265" i="4"/>
  <c r="U265" i="4" s="1"/>
  <c r="V265" i="4" s="1"/>
  <c r="R97" i="4"/>
  <c r="S97" i="4" s="1"/>
  <c r="R174" i="4"/>
  <c r="U174" i="4" s="1"/>
  <c r="V174" i="4" s="1"/>
  <c r="R356" i="4"/>
  <c r="U356" i="4" s="1"/>
  <c r="V356" i="4" s="1"/>
  <c r="R374" i="4"/>
  <c r="U374" i="4" s="1"/>
  <c r="V374" i="4" s="1"/>
  <c r="R177" i="4"/>
  <c r="U177" i="4" s="1"/>
  <c r="V177" i="4" s="1"/>
  <c r="U209" i="4"/>
  <c r="Q209" i="4" s="1"/>
  <c r="V120" i="4"/>
  <c r="V209" i="4" s="1"/>
  <c r="R137" i="4"/>
  <c r="U137" i="4" s="1"/>
  <c r="V137" i="4" s="1"/>
  <c r="R160" i="4"/>
  <c r="U160" i="4" s="1"/>
  <c r="V160" i="4" s="1"/>
  <c r="R330" i="4"/>
  <c r="U330" i="4" s="1"/>
  <c r="V330" i="4" s="1"/>
  <c r="R342" i="4"/>
  <c r="U342" i="4" s="1"/>
  <c r="V342" i="4" s="1"/>
  <c r="R243" i="4"/>
  <c r="U243" i="4" s="1"/>
  <c r="V243" i="4" s="1"/>
  <c r="R183" i="4"/>
  <c r="S183" i="4" s="1"/>
  <c r="R150" i="4"/>
  <c r="U150" i="4" s="1"/>
  <c r="V150" i="4" s="1"/>
  <c r="R121" i="4"/>
  <c r="U121" i="4" s="1"/>
  <c r="V121" i="4" s="1"/>
  <c r="T145" i="4"/>
  <c r="R95" i="4"/>
  <c r="R21" i="4"/>
  <c r="U21" i="4" s="1"/>
  <c r="V21" i="4" s="1"/>
  <c r="R75" i="4"/>
  <c r="U75" i="4" s="1"/>
  <c r="V75" i="4" s="1"/>
  <c r="R229" i="4"/>
  <c r="U229" i="4" s="1"/>
  <c r="V229" i="4" s="1"/>
  <c r="R291" i="4"/>
  <c r="U291" i="4" s="1"/>
  <c r="V291" i="4" s="1"/>
  <c r="R341" i="4"/>
  <c r="U341" i="4" s="1"/>
  <c r="V341" i="4" s="1"/>
  <c r="R328" i="4"/>
  <c r="U328" i="4" s="1"/>
  <c r="V328" i="4" s="1"/>
  <c r="R240" i="4"/>
  <c r="U240" i="4" s="1"/>
  <c r="V240" i="4" s="1"/>
  <c r="R288" i="4"/>
  <c r="U288" i="4" s="1"/>
  <c r="V288" i="4" s="1"/>
  <c r="R99" i="4"/>
  <c r="U99" i="4" s="1"/>
  <c r="V99" i="4" s="1"/>
  <c r="R109" i="4"/>
  <c r="U109" i="4" s="1"/>
  <c r="V109" i="4" s="1"/>
  <c r="R197" i="4"/>
  <c r="U197" i="4" s="1"/>
  <c r="V197" i="4" s="1"/>
  <c r="R215" i="4"/>
  <c r="U215" i="4" s="1"/>
  <c r="V215" i="4" s="1"/>
  <c r="R231" i="4"/>
  <c r="U231" i="4" s="1"/>
  <c r="V231" i="4" s="1"/>
  <c r="R63" i="4"/>
  <c r="S63" i="4" s="1"/>
  <c r="R336" i="4"/>
  <c r="U336" i="4" s="1"/>
  <c r="V336" i="4" s="1"/>
  <c r="R360" i="4"/>
  <c r="U360" i="4" s="1"/>
  <c r="V360" i="4" s="1"/>
  <c r="K61" i="3"/>
  <c r="M6" i="3"/>
  <c r="R222" i="4"/>
  <c r="U222" i="4" s="1"/>
  <c r="V222" i="4" s="1"/>
  <c r="R358" i="4"/>
  <c r="U358" i="4" s="1"/>
  <c r="V358" i="4" s="1"/>
  <c r="S358" i="4"/>
  <c r="R35" i="4"/>
  <c r="U35" i="4" s="1"/>
  <c r="V35" i="4" s="1"/>
  <c r="R122" i="4"/>
  <c r="U122" i="4" s="1"/>
  <c r="V122" i="4" s="1"/>
  <c r="R227" i="4"/>
  <c r="U227" i="4" s="1"/>
  <c r="V227" i="4" s="1"/>
  <c r="R125" i="4"/>
  <c r="U125" i="4" s="1"/>
  <c r="V125" i="4" s="1"/>
  <c r="R111" i="4"/>
  <c r="U111" i="4" s="1"/>
  <c r="V111" i="4" s="1"/>
  <c r="R201" i="4"/>
  <c r="U201" i="4" s="1"/>
  <c r="V201" i="4" s="1"/>
  <c r="L14" i="3"/>
  <c r="R321" i="4"/>
  <c r="U321" i="4" s="1"/>
  <c r="V321" i="4" s="1"/>
  <c r="R110" i="4"/>
  <c r="U110" i="4" s="1"/>
  <c r="V110" i="4" s="1"/>
  <c r="R305" i="4"/>
  <c r="U305" i="4" s="1"/>
  <c r="V305" i="4" s="1"/>
  <c r="R158" i="4"/>
  <c r="U158" i="4" s="1"/>
  <c r="V158" i="4" s="1"/>
  <c r="T62" i="4"/>
  <c r="R81" i="4"/>
  <c r="U81" i="4" s="1"/>
  <c r="V81" i="4" s="1"/>
  <c r="L8" i="3"/>
  <c r="R54" i="4"/>
  <c r="U54" i="4" s="1"/>
  <c r="V54" i="4" s="1"/>
  <c r="S54" i="4"/>
  <c r="R52" i="4"/>
  <c r="U52" i="4" s="1"/>
  <c r="V52" i="4" s="1"/>
  <c r="R251" i="4"/>
  <c r="S251" i="4" s="1"/>
  <c r="R228" i="4"/>
  <c r="R159" i="4"/>
  <c r="U159" i="4" s="1"/>
  <c r="V159" i="4" s="1"/>
  <c r="R271" i="4"/>
  <c r="U271" i="4" s="1"/>
  <c r="V271" i="4" s="1"/>
  <c r="R61" i="4"/>
  <c r="U61" i="4" s="1"/>
  <c r="V61" i="4" s="1"/>
  <c r="R154" i="4"/>
  <c r="U154" i="4" s="1"/>
  <c r="V154" i="4" s="1"/>
  <c r="L10" i="3"/>
  <c r="R246" i="4"/>
  <c r="U246" i="4" s="1"/>
  <c r="V246" i="4" s="1"/>
  <c r="R139" i="4"/>
  <c r="U139" i="4" s="1"/>
  <c r="V139" i="4" s="1"/>
  <c r="S86" i="4"/>
  <c r="R116" i="4"/>
  <c r="U116" i="4" s="1"/>
  <c r="V116" i="4" s="1"/>
  <c r="R46" i="4"/>
  <c r="S46" i="4" s="1"/>
  <c r="T154" i="4"/>
  <c r="R350" i="4"/>
  <c r="U350" i="4" s="1"/>
  <c r="V350" i="4" s="1"/>
  <c r="R230" i="4"/>
  <c r="U230" i="4" s="1"/>
  <c r="V230" i="4" s="1"/>
  <c r="R11" i="4"/>
  <c r="U11" i="4" s="1"/>
  <c r="V11" i="4" s="1"/>
  <c r="R190" i="4"/>
  <c r="U190" i="4" s="1"/>
  <c r="V190" i="4" s="1"/>
  <c r="R248" i="4"/>
  <c r="U248" i="4" s="1"/>
  <c r="V248" i="4" s="1"/>
  <c r="R232" i="4"/>
  <c r="U232" i="4" s="1"/>
  <c r="V232" i="4" s="1"/>
  <c r="R261" i="4"/>
  <c r="U261" i="4" s="1"/>
  <c r="V261" i="4" s="1"/>
  <c r="R214" i="4"/>
  <c r="U214" i="4" s="1"/>
  <c r="V214" i="4" s="1"/>
  <c r="R206" i="4"/>
  <c r="U206" i="4" s="1"/>
  <c r="V206" i="4" s="1"/>
  <c r="L6" i="3"/>
  <c r="T237" i="4"/>
  <c r="R300" i="4"/>
  <c r="U300" i="4" s="1"/>
  <c r="V300" i="4" s="1"/>
  <c r="R96" i="4"/>
  <c r="U96" i="4" s="1"/>
  <c r="V96" i="4" s="1"/>
  <c r="R82" i="4"/>
  <c r="U82" i="4" s="1"/>
  <c r="V82" i="4" s="1"/>
  <c r="T51" i="4"/>
  <c r="R317" i="4"/>
  <c r="U317" i="4" s="1"/>
  <c r="V317" i="4" s="1"/>
  <c r="R76" i="4"/>
  <c r="S76" i="4" s="1"/>
  <c r="R89" i="4"/>
  <c r="U89" i="4" s="1"/>
  <c r="V89" i="4" s="1"/>
  <c r="R340" i="4"/>
  <c r="U340" i="4" s="1"/>
  <c r="V340" i="4" s="1"/>
  <c r="R73" i="4"/>
  <c r="U73" i="4" s="1"/>
  <c r="V73" i="4" s="1"/>
  <c r="R173" i="4"/>
  <c r="U173" i="4" s="1"/>
  <c r="V173" i="4" s="1"/>
  <c r="R50" i="4"/>
  <c r="U50" i="4" s="1"/>
  <c r="V50" i="4" s="1"/>
  <c r="R143" i="4"/>
  <c r="U143" i="4" s="1"/>
  <c r="V143" i="4" s="1"/>
  <c r="T315" i="4"/>
  <c r="R70" i="4"/>
  <c r="U70" i="4" s="1"/>
  <c r="V70" i="4" s="1"/>
  <c r="R41" i="4"/>
  <c r="U41" i="4" s="1"/>
  <c r="V41" i="4" s="1"/>
  <c r="R252" i="4"/>
  <c r="U252" i="4" s="1"/>
  <c r="V252" i="4" s="1"/>
  <c r="R273" i="4"/>
  <c r="U273" i="4" s="1"/>
  <c r="V273" i="4" s="1"/>
  <c r="R286" i="4"/>
  <c r="U286" i="4" s="1"/>
  <c r="V286" i="4" s="1"/>
  <c r="R318" i="4"/>
  <c r="U318" i="4" s="1"/>
  <c r="V318" i="4" s="1"/>
  <c r="R65" i="4"/>
  <c r="U65" i="4" s="1"/>
  <c r="V65" i="4" s="1"/>
  <c r="R275" i="4"/>
  <c r="U275" i="4" s="1"/>
  <c r="V275" i="4" s="1"/>
  <c r="R198" i="4"/>
  <c r="U198" i="4" s="1"/>
  <c r="V198" i="4" s="1"/>
  <c r="R91" i="4"/>
  <c r="U91" i="4" s="1"/>
  <c r="V91" i="4" s="1"/>
  <c r="R59" i="4"/>
  <c r="S59" i="4" s="1"/>
  <c r="S5" i="4"/>
  <c r="S118" i="4" s="1"/>
  <c r="R208" i="4"/>
  <c r="U208" i="4" s="1"/>
  <c r="V208" i="4" s="1"/>
  <c r="R338" i="4"/>
  <c r="U338" i="4" s="1"/>
  <c r="V338" i="4" s="1"/>
  <c r="R94" i="4"/>
  <c r="S94" i="4" s="1"/>
  <c r="R74" i="4"/>
  <c r="U74" i="4" s="1"/>
  <c r="V74" i="4" s="1"/>
  <c r="R326" i="4"/>
  <c r="U326" i="4" s="1"/>
  <c r="V326" i="4" s="1"/>
  <c r="S326" i="4"/>
  <c r="R319" i="4"/>
  <c r="U319" i="4" s="1"/>
  <c r="V319" i="4" s="1"/>
  <c r="R80" i="4"/>
  <c r="U80" i="4" s="1"/>
  <c r="V80" i="4" s="1"/>
  <c r="R287" i="4"/>
  <c r="U287" i="4" s="1"/>
  <c r="V287" i="4" s="1"/>
  <c r="R224" i="4"/>
  <c r="U224" i="4" s="1"/>
  <c r="V224" i="4" s="1"/>
  <c r="R33" i="4"/>
  <c r="U33" i="4" s="1"/>
  <c r="V33" i="4" s="1"/>
  <c r="R297" i="4"/>
  <c r="U297" i="4" s="1"/>
  <c r="V297" i="4" s="1"/>
  <c r="R221" i="4"/>
  <c r="U221" i="4" s="1"/>
  <c r="V221" i="4" s="1"/>
  <c r="T374" i="4"/>
  <c r="R186" i="4"/>
  <c r="U186" i="4" s="1"/>
  <c r="V186" i="4" s="1"/>
  <c r="S186" i="4"/>
  <c r="R323" i="4"/>
  <c r="U323" i="4" s="1"/>
  <c r="V323" i="4" s="1"/>
  <c r="R44" i="4"/>
  <c r="R202" i="4"/>
  <c r="U202" i="4" s="1"/>
  <c r="V202" i="4" s="1"/>
  <c r="R289" i="4"/>
  <c r="U289" i="4" s="1"/>
  <c r="V289" i="4" s="1"/>
  <c r="R105" i="4"/>
  <c r="S105" i="4" s="1"/>
  <c r="R128" i="4"/>
  <c r="U128" i="4" s="1"/>
  <c r="V128" i="4" s="1"/>
  <c r="R335" i="4"/>
  <c r="U335" i="4" s="1"/>
  <c r="V335" i="4" s="1"/>
  <c r="T16" i="4"/>
  <c r="R280" i="4"/>
  <c r="U280" i="4" s="1"/>
  <c r="V280" i="4" s="1"/>
  <c r="R302" i="4"/>
  <c r="U302" i="4" s="1"/>
  <c r="V302" i="4" s="1"/>
  <c r="R200" i="4"/>
  <c r="S200" i="4" s="1"/>
  <c r="R130" i="4"/>
  <c r="U130" i="4" s="1"/>
  <c r="V130" i="4" s="1"/>
  <c r="H8" i="6"/>
  <c r="J8" i="6" s="1"/>
  <c r="E10" i="8" s="1"/>
  <c r="H7" i="6"/>
  <c r="J7" i="6" s="1"/>
  <c r="D10" i="8" s="1"/>
  <c r="H6" i="6"/>
  <c r="J6" i="6" s="1"/>
  <c r="U142" i="4"/>
  <c r="V142" i="4" s="1"/>
  <c r="T142" i="4"/>
  <c r="T77" i="4"/>
  <c r="R216" i="4"/>
  <c r="U216" i="4" s="1"/>
  <c r="V216" i="4" s="1"/>
  <c r="R375" i="4"/>
  <c r="U375" i="4" s="1"/>
  <c r="V375" i="4" s="1"/>
  <c r="R48" i="4"/>
  <c r="U48" i="4" s="1"/>
  <c r="V48" i="4" s="1"/>
  <c r="R354" i="4"/>
  <c r="U354" i="4" s="1"/>
  <c r="V354" i="4" s="1"/>
  <c r="R67" i="4"/>
  <c r="U67" i="4" s="1"/>
  <c r="V67" i="4" s="1"/>
  <c r="R301" i="4"/>
  <c r="U301" i="4" s="1"/>
  <c r="V301" i="4" s="1"/>
  <c r="R138" i="4"/>
  <c r="U138" i="4" s="1"/>
  <c r="V138" i="4" s="1"/>
  <c r="K30" i="7"/>
  <c r="K33" i="7" s="1"/>
  <c r="K35" i="7" s="1"/>
  <c r="R164" i="4"/>
  <c r="U164" i="4" s="1"/>
  <c r="V164" i="4" s="1"/>
  <c r="R149" i="4"/>
  <c r="R250" i="4"/>
  <c r="U250" i="4" s="1"/>
  <c r="V250" i="4" s="1"/>
  <c r="R157" i="4"/>
  <c r="S157" i="4" s="1"/>
  <c r="R18" i="4"/>
  <c r="U18" i="4" s="1"/>
  <c r="V18" i="4" s="1"/>
  <c r="S18" i="4"/>
  <c r="R29" i="4"/>
  <c r="U29" i="4" s="1"/>
  <c r="V29" i="4" s="1"/>
  <c r="R38" i="4"/>
  <c r="R244" i="4"/>
  <c r="U244" i="4" s="1"/>
  <c r="V244" i="4" s="1"/>
  <c r="R320" i="4"/>
  <c r="U320" i="4" s="1"/>
  <c r="V320" i="4" s="1"/>
  <c r="R49" i="4"/>
  <c r="U49" i="4" s="1"/>
  <c r="V49" i="4" s="1"/>
  <c r="S142" i="4"/>
  <c r="R182" i="4"/>
  <c r="S182" i="4" s="1"/>
  <c r="R351" i="4"/>
  <c r="U351" i="4" s="1"/>
  <c r="V351" i="4" s="1"/>
  <c r="R112" i="4"/>
  <c r="U112" i="4" s="1"/>
  <c r="V112" i="4" s="1"/>
  <c r="R136" i="4"/>
  <c r="U136" i="4" s="1"/>
  <c r="V136" i="4" s="1"/>
  <c r="R144" i="4"/>
  <c r="U144" i="4" s="1"/>
  <c r="V144" i="4" s="1"/>
  <c r="R26" i="4"/>
  <c r="U26" i="4" s="1"/>
  <c r="V26" i="4" s="1"/>
  <c r="R339" i="4"/>
  <c r="U339" i="4" s="1"/>
  <c r="V339" i="4" s="1"/>
  <c r="R187" i="4"/>
  <c r="U187" i="4" s="1"/>
  <c r="V187" i="4" s="1"/>
  <c r="R60" i="4"/>
  <c r="U60" i="4" s="1"/>
  <c r="V60" i="4" s="1"/>
  <c r="R276" i="4"/>
  <c r="U276" i="4" s="1"/>
  <c r="V276" i="4" s="1"/>
  <c r="R308" i="4"/>
  <c r="U308" i="4" s="1"/>
  <c r="V308" i="4" s="1"/>
  <c r="R27" i="4"/>
  <c r="R195" i="4"/>
  <c r="U195" i="4" s="1"/>
  <c r="V195" i="4" s="1"/>
  <c r="R151" i="4"/>
  <c r="U151" i="4" s="1"/>
  <c r="V151" i="4" s="1"/>
  <c r="S151" i="4"/>
  <c r="R234" i="4"/>
  <c r="U234" i="4" s="1"/>
  <c r="V234" i="4" s="1"/>
  <c r="R245" i="4"/>
  <c r="U245" i="4" s="1"/>
  <c r="V245" i="4" s="1"/>
  <c r="T306" i="4"/>
  <c r="R266" i="4"/>
  <c r="U266" i="4" s="1"/>
  <c r="V266" i="4" s="1"/>
  <c r="R316" i="4"/>
  <c r="U316" i="4" s="1"/>
  <c r="V316" i="4" s="1"/>
  <c r="R31" i="4"/>
  <c r="S31" i="4" s="1"/>
  <c r="R377" i="4"/>
  <c r="U377" i="4" s="1"/>
  <c r="V377" i="4" s="1"/>
  <c r="R213" i="4"/>
  <c r="U213" i="4" s="1"/>
  <c r="V213" i="4" s="1"/>
  <c r="T307" i="4"/>
  <c r="R376" i="4"/>
  <c r="U376" i="4" s="1"/>
  <c r="V376" i="4" s="1"/>
  <c r="R367" i="4"/>
  <c r="U367" i="4" s="1"/>
  <c r="V367" i="4" s="1"/>
  <c r="R88" i="4"/>
  <c r="U88" i="4" s="1"/>
  <c r="V88" i="4" s="1"/>
  <c r="R145" i="4"/>
  <c r="U145" i="4" s="1"/>
  <c r="V145" i="4" s="1"/>
  <c r="R115" i="4"/>
  <c r="U115" i="4" s="1"/>
  <c r="V115" i="4" s="1"/>
  <c r="R199" i="4"/>
  <c r="U199" i="4" s="1"/>
  <c r="V199" i="4" s="1"/>
  <c r="R344" i="4"/>
  <c r="U344" i="4" s="1"/>
  <c r="V344" i="4" s="1"/>
  <c r="R101" i="4"/>
  <c r="R283" i="4"/>
  <c r="U283" i="4" s="1"/>
  <c r="V283" i="4" s="1"/>
  <c r="R166" i="4"/>
  <c r="U166" i="4" s="1"/>
  <c r="V166" i="4" s="1"/>
  <c r="R309" i="4"/>
  <c r="U309" i="4" s="1"/>
  <c r="V309" i="4" s="1"/>
  <c r="R141" i="4"/>
  <c r="S141" i="4" s="1"/>
  <c r="R19" i="4"/>
  <c r="U19" i="4" s="1"/>
  <c r="V19" i="4" s="1"/>
  <c r="R295" i="4"/>
  <c r="U295" i="4" s="1"/>
  <c r="V295" i="4" s="1"/>
  <c r="R223" i="4"/>
  <c r="U223" i="4" s="1"/>
  <c r="V223" i="4" s="1"/>
  <c r="R260" i="4"/>
  <c r="U260" i="4" s="1"/>
  <c r="V260" i="4" s="1"/>
  <c r="R312" i="4"/>
  <c r="U312" i="4" s="1"/>
  <c r="V312" i="4" s="1"/>
  <c r="R364" i="4"/>
  <c r="U364" i="4" s="1"/>
  <c r="V364" i="4" s="1"/>
  <c r="R194" i="4"/>
  <c r="U194" i="4" s="1"/>
  <c r="V194" i="4" s="1"/>
  <c r="R361" i="4"/>
  <c r="U361" i="4" s="1"/>
  <c r="V361" i="4" s="1"/>
  <c r="T303" i="4"/>
  <c r="R87" i="4"/>
  <c r="U87" i="4" s="1"/>
  <c r="V87" i="4" s="1"/>
  <c r="R92" i="4"/>
  <c r="U92" i="4" s="1"/>
  <c r="V92" i="4" s="1"/>
  <c r="R281" i="4"/>
  <c r="U281" i="4" s="1"/>
  <c r="V281" i="4" s="1"/>
  <c r="R135" i="4"/>
  <c r="U135" i="4" s="1"/>
  <c r="V135" i="4" s="1"/>
  <c r="R43" i="4"/>
  <c r="U43" i="4" s="1"/>
  <c r="V43" i="4" s="1"/>
  <c r="R56" i="4"/>
  <c r="U56" i="4" s="1"/>
  <c r="V56" i="4" s="1"/>
  <c r="R78" i="4"/>
  <c r="U78" i="4" s="1"/>
  <c r="V78" i="4" s="1"/>
  <c r="R103" i="4"/>
  <c r="U103" i="4" s="1"/>
  <c r="V103" i="4" s="1"/>
  <c r="R156" i="4"/>
  <c r="U156" i="4" s="1"/>
  <c r="V156" i="4" s="1"/>
  <c r="R294" i="4"/>
  <c r="U294" i="4" s="1"/>
  <c r="V294" i="4" s="1"/>
  <c r="R239" i="4"/>
  <c r="U239" i="4" s="1"/>
  <c r="V239" i="4" s="1"/>
  <c r="R370" i="4"/>
  <c r="U370" i="4" s="1"/>
  <c r="V370" i="4" s="1"/>
  <c r="R196" i="4"/>
  <c r="S196" i="4" s="1"/>
  <c r="R298" i="4"/>
  <c r="U298" i="4" s="1"/>
  <c r="V298" i="4" s="1"/>
  <c r="R241" i="4"/>
  <c r="U241" i="4" s="1"/>
  <c r="V241" i="4" s="1"/>
  <c r="R310" i="4"/>
  <c r="U310" i="4" s="1"/>
  <c r="V310" i="4" s="1"/>
  <c r="R262" i="4"/>
  <c r="U262" i="4" s="1"/>
  <c r="V262" i="4" s="1"/>
  <c r="R263" i="4"/>
  <c r="U263" i="4" s="1"/>
  <c r="V263" i="4" s="1"/>
  <c r="R6" i="4"/>
  <c r="R84" i="4"/>
  <c r="U84" i="4" s="1"/>
  <c r="V84" i="4" s="1"/>
  <c r="R191" i="4"/>
  <c r="U191" i="4" s="1"/>
  <c r="V191" i="4" s="1"/>
  <c r="R161" i="4"/>
  <c r="U161" i="4" s="1"/>
  <c r="V161" i="4" s="1"/>
  <c r="R345" i="4"/>
  <c r="U345" i="4" s="1"/>
  <c r="V345" i="4" s="1"/>
  <c r="R132" i="4"/>
  <c r="U132" i="4" s="1"/>
  <c r="V132" i="4" s="1"/>
  <c r="S39" i="4"/>
  <c r="R331" i="4"/>
  <c r="U331" i="4" s="1"/>
  <c r="V331" i="4" s="1"/>
  <c r="T332" i="4"/>
  <c r="R258" i="4"/>
  <c r="U258" i="4" s="1"/>
  <c r="V258" i="4" s="1"/>
  <c r="R108" i="4"/>
  <c r="R292" i="4"/>
  <c r="U292" i="4" s="1"/>
  <c r="V292" i="4" s="1"/>
  <c r="R304" i="4"/>
  <c r="U304" i="4" s="1"/>
  <c r="V304" i="4" s="1"/>
  <c r="R220" i="4"/>
  <c r="U220" i="4" s="1"/>
  <c r="V220" i="4" s="1"/>
  <c r="L55" i="3"/>
  <c r="R346" i="4"/>
  <c r="U346" i="4" s="1"/>
  <c r="V346" i="4" s="1"/>
  <c r="R325" i="4"/>
  <c r="U325" i="4" s="1"/>
  <c r="V325" i="4" s="1"/>
  <c r="R352" i="4"/>
  <c r="U352" i="4" s="1"/>
  <c r="V352" i="4" s="1"/>
  <c r="R203" i="4"/>
  <c r="U203" i="4" s="1"/>
  <c r="V203" i="4" s="1"/>
  <c r="R129" i="4"/>
  <c r="U129" i="4" s="1"/>
  <c r="V129" i="4" s="1"/>
  <c r="R133" i="4"/>
  <c r="U133" i="4" s="1"/>
  <c r="V133" i="4" s="1"/>
  <c r="L57" i="3"/>
  <c r="R140" i="4"/>
  <c r="U140" i="4" s="1"/>
  <c r="V140" i="4" s="1"/>
  <c r="S12" i="4"/>
  <c r="R113" i="4"/>
  <c r="U113" i="4" s="1"/>
  <c r="V113" i="4" s="1"/>
  <c r="R169" i="4"/>
  <c r="S169" i="4" s="1"/>
  <c r="R188" i="4"/>
  <c r="U188" i="4" s="1"/>
  <c r="V188" i="4" s="1"/>
  <c r="R347" i="4"/>
  <c r="U347" i="4" s="1"/>
  <c r="V347" i="4" s="1"/>
  <c r="S168" i="4"/>
  <c r="R285" i="4"/>
  <c r="U285" i="4" s="1"/>
  <c r="V285" i="4" s="1"/>
  <c r="R299" i="4"/>
  <c r="U299" i="4" s="1"/>
  <c r="V299" i="4" s="1"/>
  <c r="R238" i="4"/>
  <c r="U238" i="4" s="1"/>
  <c r="V238" i="4" s="1"/>
  <c r="R314" i="4"/>
  <c r="U314" i="4" s="1"/>
  <c r="V314" i="4" s="1"/>
  <c r="L51" i="3"/>
  <c r="R371" i="4"/>
  <c r="U371" i="4" s="1"/>
  <c r="V371" i="4" s="1"/>
  <c r="R324" i="4"/>
  <c r="U324" i="4" s="1"/>
  <c r="V324" i="4" s="1"/>
  <c r="R333" i="4"/>
  <c r="U333" i="4" s="1"/>
  <c r="V333" i="4" s="1"/>
  <c r="R282" i="4"/>
  <c r="U282" i="4" s="1"/>
  <c r="V282" i="4" s="1"/>
  <c r="R284" i="4"/>
  <c r="U284" i="4" s="1"/>
  <c r="V284" i="4" s="1"/>
  <c r="S179" i="4" l="1"/>
  <c r="T238" i="4"/>
  <c r="T159" i="4"/>
  <c r="T255" i="4"/>
  <c r="S41" i="4"/>
  <c r="S253" i="4"/>
  <c r="T347" i="4"/>
  <c r="T355" i="4"/>
  <c r="T344" i="4"/>
  <c r="T195" i="4"/>
  <c r="T276" i="4"/>
  <c r="T75" i="4"/>
  <c r="T211" i="4"/>
  <c r="T378" i="4" s="1"/>
  <c r="T25" i="4"/>
  <c r="T85" i="4"/>
  <c r="T343" i="4"/>
  <c r="T334" i="4"/>
  <c r="S33" i="4"/>
  <c r="T357" i="4"/>
  <c r="T193" i="4"/>
  <c r="S285" i="4"/>
  <c r="S287" i="4"/>
  <c r="S99" i="4"/>
  <c r="S235" i="4"/>
  <c r="S368" i="4"/>
  <c r="T272" i="4"/>
  <c r="T218" i="4"/>
  <c r="T10" i="4"/>
  <c r="S219" i="4"/>
  <c r="T79" i="4"/>
  <c r="S96" i="4"/>
  <c r="T325" i="4"/>
  <c r="T139" i="4"/>
  <c r="S300" i="4"/>
  <c r="S166" i="4"/>
  <c r="S241" i="4"/>
  <c r="T204" i="4"/>
  <c r="T201" i="4"/>
  <c r="T175" i="4"/>
  <c r="T13" i="4"/>
  <c r="T311" i="4"/>
  <c r="S337" i="4"/>
  <c r="S133" i="4"/>
  <c r="T317" i="4"/>
  <c r="S65" i="4"/>
  <c r="S292" i="4"/>
  <c r="T78" i="4"/>
  <c r="S318" i="4"/>
  <c r="S322" i="4"/>
  <c r="S286" i="4"/>
  <c r="T83" i="4"/>
  <c r="S256" i="4"/>
  <c r="S291" i="4"/>
  <c r="S192" i="4"/>
  <c r="T111" i="4"/>
  <c r="T143" i="4"/>
  <c r="S75" i="4"/>
  <c r="T216" i="4"/>
  <c r="S172" i="4"/>
  <c r="T308" i="4"/>
  <c r="S236" i="4"/>
  <c r="S340" i="4"/>
  <c r="S189" i="4"/>
  <c r="S155" i="4"/>
  <c r="S154" i="4"/>
  <c r="S294" i="4"/>
  <c r="S218" i="4"/>
  <c r="T23" i="4"/>
  <c r="T166" i="4"/>
  <c r="S145" i="4"/>
  <c r="S336" i="4"/>
  <c r="S129" i="4"/>
  <c r="S324" i="4"/>
  <c r="S103" i="4"/>
  <c r="T367" i="4"/>
  <c r="T137" i="4"/>
  <c r="T263" i="4"/>
  <c r="T256" i="4"/>
  <c r="T20" i="4"/>
  <c r="S52" i="4"/>
  <c r="T369" i="4"/>
  <c r="T269" i="4"/>
  <c r="T273" i="4"/>
  <c r="T113" i="4"/>
  <c r="T103" i="4"/>
  <c r="S320" i="4"/>
  <c r="T348" i="4"/>
  <c r="T66" i="4"/>
  <c r="T88" i="4"/>
  <c r="S339" i="4"/>
  <c r="T191" i="4"/>
  <c r="S197" i="4"/>
  <c r="S279" i="4"/>
  <c r="S363" i="4"/>
  <c r="S299" i="4"/>
  <c r="S331" i="4"/>
  <c r="S109" i="4"/>
  <c r="T21" i="4"/>
  <c r="S126" i="4"/>
  <c r="S222" i="4"/>
  <c r="S107" i="4"/>
  <c r="T18" i="4"/>
  <c r="S71" i="4"/>
  <c r="S9" i="4"/>
  <c r="S319" i="4"/>
  <c r="S50" i="4"/>
  <c r="S11" i="4"/>
  <c r="T222" i="4"/>
  <c r="S117" i="4"/>
  <c r="S21" i="4"/>
  <c r="S212" i="4"/>
  <c r="S230" i="4"/>
  <c r="S270" i="4"/>
  <c r="S185" i="4"/>
  <c r="S232" i="4"/>
  <c r="T319" i="4"/>
  <c r="T163" i="4"/>
  <c r="S350" i="4"/>
  <c r="S231" i="4"/>
  <c r="S146" i="4"/>
  <c r="S305" i="4"/>
  <c r="T151" i="4"/>
  <c r="S180" i="4"/>
  <c r="T146" i="4"/>
  <c r="S45" i="4"/>
  <c r="T253" i="4"/>
  <c r="S332" i="4"/>
  <c r="S321" i="4"/>
  <c r="S160" i="4"/>
  <c r="T14" i="4"/>
  <c r="T342" i="4"/>
  <c r="S317" i="4"/>
  <c r="T156" i="4"/>
  <c r="T336" i="4"/>
  <c r="T231" i="4"/>
  <c r="S98" i="4"/>
  <c r="T349" i="4"/>
  <c r="T190" i="4"/>
  <c r="T280" i="4"/>
  <c r="T50" i="4"/>
  <c r="T232" i="4"/>
  <c r="T223" i="4"/>
  <c r="S276" i="4"/>
  <c r="S164" i="4"/>
  <c r="S116" i="4"/>
  <c r="T296" i="4"/>
  <c r="T177" i="4"/>
  <c r="T304" i="4"/>
  <c r="T277" i="4"/>
  <c r="T212" i="4"/>
  <c r="T292" i="4"/>
  <c r="T219" i="4"/>
  <c r="T158" i="4"/>
  <c r="T287" i="4"/>
  <c r="T312" i="4"/>
  <c r="S13" i="4"/>
  <c r="T224" i="4"/>
  <c r="T125" i="4"/>
  <c r="T305" i="4"/>
  <c r="T89" i="4"/>
  <c r="S370" i="4"/>
  <c r="S74" i="4"/>
  <c r="T230" i="4"/>
  <c r="S78" i="4"/>
  <c r="T335" i="4"/>
  <c r="S138" i="4"/>
  <c r="S323" i="4"/>
  <c r="S288" i="4"/>
  <c r="S353" i="4"/>
  <c r="T278" i="4"/>
  <c r="S315" i="4"/>
  <c r="T110" i="4"/>
  <c r="T185" i="4"/>
  <c r="T19" i="4"/>
  <c r="T289" i="4"/>
  <c r="S204" i="4"/>
  <c r="T71" i="4"/>
  <c r="T11" i="4"/>
  <c r="S156" i="4"/>
  <c r="T323" i="4"/>
  <c r="T199" i="4"/>
  <c r="T297" i="4"/>
  <c r="S269" i="4"/>
  <c r="T107" i="4"/>
  <c r="T333" i="4"/>
  <c r="S26" i="4"/>
  <c r="S67" i="4"/>
  <c r="T262" i="4"/>
  <c r="T17" i="4"/>
  <c r="S177" i="4"/>
  <c r="S175" i="4"/>
  <c r="S343" i="4"/>
  <c r="T33" i="4"/>
  <c r="T126" i="4"/>
  <c r="T264" i="4"/>
  <c r="T121" i="4"/>
  <c r="T245" i="4"/>
  <c r="S49" i="4"/>
  <c r="S140" i="4"/>
  <c r="S367" i="4"/>
  <c r="T286" i="4"/>
  <c r="S271" i="4"/>
  <c r="T117" i="4"/>
  <c r="T339" i="4"/>
  <c r="T128" i="4"/>
  <c r="S255" i="4"/>
  <c r="S313" i="4"/>
  <c r="S171" i="4"/>
  <c r="T36" i="4"/>
  <c r="T338" i="4"/>
  <c r="T373" i="4"/>
  <c r="T318" i="4"/>
  <c r="T370" i="4"/>
  <c r="T84" i="4"/>
  <c r="S356" i="4"/>
  <c r="T153" i="4"/>
  <c r="T96" i="4"/>
  <c r="S83" i="4"/>
  <c r="T295" i="4"/>
  <c r="S85" i="4"/>
  <c r="S263" i="4"/>
  <c r="S376" i="4"/>
  <c r="T93" i="4"/>
  <c r="T217" i="4"/>
  <c r="S205" i="4"/>
  <c r="T261" i="4"/>
  <c r="T260" i="4"/>
  <c r="S62" i="4"/>
  <c r="T302" i="4"/>
  <c r="S43" i="4"/>
  <c r="T368" i="4"/>
  <c r="T351" i="4"/>
  <c r="S261" i="4"/>
  <c r="T337" i="4"/>
  <c r="S124" i="4"/>
  <c r="S348" i="4"/>
  <c r="U108" i="4"/>
  <c r="V108" i="4" s="1"/>
  <c r="T108" i="4"/>
  <c r="U95" i="4"/>
  <c r="V95" i="4" s="1"/>
  <c r="T95" i="4"/>
  <c r="T174" i="4"/>
  <c r="U141" i="4"/>
  <c r="V141" i="4" s="1"/>
  <c r="T141" i="4"/>
  <c r="T365" i="4"/>
  <c r="U251" i="4"/>
  <c r="V251" i="4" s="1"/>
  <c r="T251" i="4"/>
  <c r="S227" i="4"/>
  <c r="T285" i="4"/>
  <c r="T274" i="4"/>
  <c r="S310" i="4"/>
  <c r="S215" i="4"/>
  <c r="S249" i="4"/>
  <c r="S371" i="4"/>
  <c r="U38" i="4"/>
  <c r="V38" i="4" s="1"/>
  <c r="T38" i="4"/>
  <c r="S82" i="4"/>
  <c r="S102" i="4"/>
  <c r="T74" i="4"/>
  <c r="S152" i="4"/>
  <c r="S95" i="4"/>
  <c r="U106" i="4"/>
  <c r="V106" i="4" s="1"/>
  <c r="T106" i="4"/>
  <c r="S254" i="4"/>
  <c r="S309" i="4"/>
  <c r="S281" i="4"/>
  <c r="T298" i="4"/>
  <c r="T215" i="4"/>
  <c r="T140" i="4"/>
  <c r="S38" i="4"/>
  <c r="S48" i="4"/>
  <c r="S289" i="4"/>
  <c r="S273" i="4"/>
  <c r="T299" i="4"/>
  <c r="T244" i="4"/>
  <c r="T240" i="4"/>
  <c r="S334" i="4"/>
  <c r="S311" i="4"/>
  <c r="T225" i="4"/>
  <c r="S207" i="4"/>
  <c r="S362" i="4"/>
  <c r="S69" i="4"/>
  <c r="T371" i="4"/>
  <c r="S258" i="4"/>
  <c r="S298" i="4"/>
  <c r="S92" i="4"/>
  <c r="S213" i="4"/>
  <c r="S60" i="4"/>
  <c r="S29" i="4"/>
  <c r="S375" i="4"/>
  <c r="S202" i="4"/>
  <c r="S252" i="4"/>
  <c r="S121" i="4"/>
  <c r="T243" i="4"/>
  <c r="T234" i="4"/>
  <c r="T326" i="4"/>
  <c r="S178" i="4"/>
  <c r="S268" i="4"/>
  <c r="U44" i="4"/>
  <c r="V44" i="4" s="1"/>
  <c r="T44" i="4"/>
  <c r="U94" i="4"/>
  <c r="V94" i="4" s="1"/>
  <c r="T94" i="4"/>
  <c r="U46" i="4"/>
  <c r="V46" i="4" s="1"/>
  <c r="T46" i="4"/>
  <c r="S377" i="4"/>
  <c r="S187" i="4"/>
  <c r="S216" i="4"/>
  <c r="S44" i="4"/>
  <c r="T358" i="4"/>
  <c r="T92" i="4"/>
  <c r="S181" i="4"/>
  <c r="S162" i="4"/>
  <c r="T91" i="4"/>
  <c r="T70" i="4"/>
  <c r="S365" i="4"/>
  <c r="T213" i="4"/>
  <c r="S314" i="4"/>
  <c r="S87" i="4"/>
  <c r="T236" i="4"/>
  <c r="U31" i="4"/>
  <c r="V31" i="4" s="1"/>
  <c r="T31" i="4"/>
  <c r="S338" i="4"/>
  <c r="S81" i="4"/>
  <c r="T246" i="4"/>
  <c r="S150" i="4"/>
  <c r="S374" i="4"/>
  <c r="S233" i="4"/>
  <c r="S264" i="4"/>
  <c r="S357" i="4"/>
  <c r="T241" i="4"/>
  <c r="T330" i="4"/>
  <c r="S306" i="4"/>
  <c r="D11" i="8"/>
  <c r="D12" i="8"/>
  <c r="S122" i="4"/>
  <c r="U183" i="4"/>
  <c r="V183" i="4" s="1"/>
  <c r="T183" i="4"/>
  <c r="S176" i="4"/>
  <c r="S165" i="4"/>
  <c r="S355" i="4"/>
  <c r="T310" i="4"/>
  <c r="S23" i="4"/>
  <c r="K9" i="6"/>
  <c r="C12" i="8"/>
  <c r="C11" i="8"/>
  <c r="L9" i="6"/>
  <c r="L12" i="6" s="1"/>
  <c r="L14" i="6" s="1"/>
  <c r="C13" i="8"/>
  <c r="M6" i="6"/>
  <c r="S163" i="4"/>
  <c r="S148" i="4"/>
  <c r="T52" i="4"/>
  <c r="D13" i="8"/>
  <c r="D16" i="8" s="1"/>
  <c r="M7" i="6"/>
  <c r="S7" i="4"/>
  <c r="U157" i="4"/>
  <c r="V157" i="4" s="1"/>
  <c r="T157" i="4"/>
  <c r="S208" i="4"/>
  <c r="U101" i="4"/>
  <c r="V101" i="4" s="1"/>
  <c r="T101" i="4"/>
  <c r="T250" i="4"/>
  <c r="E12" i="8"/>
  <c r="E11" i="8"/>
  <c r="S70" i="4"/>
  <c r="M8" i="6"/>
  <c r="E13" i="8"/>
  <c r="E16" i="8" s="1"/>
  <c r="T186" i="4"/>
  <c r="T362" i="4"/>
  <c r="T129" i="4"/>
  <c r="S341" i="4"/>
  <c r="S342" i="4"/>
  <c r="T301" i="4"/>
  <c r="S259" i="4"/>
  <c r="T275" i="4"/>
  <c r="S167" i="4"/>
  <c r="T9" i="4"/>
  <c r="U123" i="4"/>
  <c r="V123" i="4" s="1"/>
  <c r="T123" i="4"/>
  <c r="T112" i="4"/>
  <c r="S361" i="4"/>
  <c r="U64" i="4"/>
  <c r="V64" i="4" s="1"/>
  <c r="T64" i="4"/>
  <c r="S101" i="4"/>
  <c r="S139" i="4"/>
  <c r="S144" i="4"/>
  <c r="S174" i="4"/>
  <c r="T375" i="4"/>
  <c r="T167" i="4"/>
  <c r="T48" i="4"/>
  <c r="T300" i="4"/>
  <c r="U118" i="4"/>
  <c r="Q118" i="4" s="1"/>
  <c r="V5" i="4"/>
  <c r="V118" i="4" s="1"/>
  <c r="U105" i="4"/>
  <c r="V105" i="4" s="1"/>
  <c r="T105" i="4"/>
  <c r="S283" i="4"/>
  <c r="T81" i="4"/>
  <c r="T331" i="4"/>
  <c r="T26" i="4"/>
  <c r="S112" i="4"/>
  <c r="S130" i="4"/>
  <c r="S221" i="4"/>
  <c r="S91" i="4"/>
  <c r="S173" i="4"/>
  <c r="T173" i="4"/>
  <c r="T353" i="4"/>
  <c r="T281" i="4"/>
  <c r="S330" i="4"/>
  <c r="S265" i="4"/>
  <c r="S184" i="4"/>
  <c r="S40" i="4"/>
  <c r="S290" i="4"/>
  <c r="U32" i="4"/>
  <c r="V32" i="4" s="1"/>
  <c r="T32" i="4"/>
  <c r="S369" i="4"/>
  <c r="S20" i="4"/>
  <c r="T268" i="4"/>
  <c r="S307" i="4"/>
  <c r="L61" i="3"/>
  <c r="S316" i="4"/>
  <c r="T135" i="4"/>
  <c r="T239" i="4"/>
  <c r="S245" i="4"/>
  <c r="U200" i="4"/>
  <c r="V200" i="4" s="1"/>
  <c r="T200" i="4"/>
  <c r="S198" i="4"/>
  <c r="S73" i="4"/>
  <c r="T314" i="4"/>
  <c r="N6" i="3"/>
  <c r="N61" i="3" s="1"/>
  <c r="N66" i="3" s="1"/>
  <c r="M61" i="3"/>
  <c r="S28" i="4"/>
  <c r="S32" i="4"/>
  <c r="S327" i="4"/>
  <c r="T321" i="4"/>
  <c r="S296" i="4"/>
  <c r="T130" i="4"/>
  <c r="T258" i="4"/>
  <c r="S108" i="4"/>
  <c r="S194" i="4"/>
  <c r="S214" i="4"/>
  <c r="S239" i="4"/>
  <c r="T202" i="4"/>
  <c r="S372" i="4"/>
  <c r="T65" i="4"/>
  <c r="T377" i="4"/>
  <c r="S132" i="4"/>
  <c r="T208" i="4"/>
  <c r="S243" i="4"/>
  <c r="S351" i="4"/>
  <c r="S297" i="4"/>
  <c r="S61" i="4"/>
  <c r="S110" i="4"/>
  <c r="T87" i="4"/>
  <c r="S17" i="4"/>
  <c r="T322" i="4"/>
  <c r="T69" i="4"/>
  <c r="S366" i="4"/>
  <c r="U53" i="4"/>
  <c r="V53" i="4" s="1"/>
  <c r="T53" i="4"/>
  <c r="T359" i="4"/>
  <c r="K11" i="10"/>
  <c r="L9" i="10"/>
  <c r="S244" i="4"/>
  <c r="S240" i="4"/>
  <c r="T148" i="4"/>
  <c r="S373" i="4"/>
  <c r="S344" i="4"/>
  <c r="T152" i="4"/>
  <c r="T7" i="4"/>
  <c r="S346" i="4"/>
  <c r="S84" i="4"/>
  <c r="S115" i="4"/>
  <c r="S234" i="4"/>
  <c r="U182" i="4"/>
  <c r="V182" i="4" s="1"/>
  <c r="T182" i="4"/>
  <c r="S302" i="4"/>
  <c r="S360" i="4"/>
  <c r="S229" i="4"/>
  <c r="T189" i="4"/>
  <c r="T279" i="4"/>
  <c r="S272" i="4"/>
  <c r="T327" i="4"/>
  <c r="T28" i="4"/>
  <c r="T194" i="4"/>
  <c r="S53" i="4"/>
  <c r="T116" i="4"/>
  <c r="S153" i="4"/>
  <c r="S349" i="4"/>
  <c r="T366" i="4"/>
  <c r="T282" i="4"/>
  <c r="S35" i="4"/>
  <c r="T283" i="4"/>
  <c r="T214" i="4"/>
  <c r="T364" i="4"/>
  <c r="T98" i="4"/>
  <c r="T291" i="4"/>
  <c r="T109" i="4"/>
  <c r="T205" i="4"/>
  <c r="T313" i="4"/>
  <c r="T346" i="4"/>
  <c r="T206" i="4"/>
  <c r="T372" i="4"/>
  <c r="T49" i="4"/>
  <c r="S135" i="4"/>
  <c r="U196" i="4"/>
  <c r="V196" i="4" s="1"/>
  <c r="T196" i="4"/>
  <c r="T165" i="4"/>
  <c r="S260" i="4"/>
  <c r="T198" i="4"/>
  <c r="S275" i="4"/>
  <c r="T361" i="4"/>
  <c r="T345" i="4"/>
  <c r="T229" i="4"/>
  <c r="T340" i="4"/>
  <c r="T43" i="4"/>
  <c r="S226" i="4"/>
  <c r="T102" i="4"/>
  <c r="S280" i="4"/>
  <c r="T122" i="4"/>
  <c r="S188" i="4"/>
  <c r="S220" i="4"/>
  <c r="T172" i="4"/>
  <c r="S223" i="4"/>
  <c r="S195" i="4"/>
  <c r="T233" i="4"/>
  <c r="T132" i="4"/>
  <c r="T248" i="4"/>
  <c r="T188" i="4"/>
  <c r="T162" i="4"/>
  <c r="S248" i="4"/>
  <c r="T207" i="4"/>
  <c r="U63" i="4"/>
  <c r="V63" i="4" s="1"/>
  <c r="T63" i="4"/>
  <c r="T160" i="4"/>
  <c r="T249" i="4"/>
  <c r="T354" i="4"/>
  <c r="S14" i="4"/>
  <c r="S25" i="4"/>
  <c r="S36" i="4"/>
  <c r="T124" i="4"/>
  <c r="S93" i="4"/>
  <c r="S193" i="4"/>
  <c r="T179" i="4"/>
  <c r="T341" i="4"/>
  <c r="S47" i="4"/>
  <c r="U59" i="4"/>
  <c r="V59" i="4" s="1"/>
  <c r="T59" i="4"/>
  <c r="S136" i="4"/>
  <c r="S161" i="4"/>
  <c r="T192" i="4"/>
  <c r="T41" i="4"/>
  <c r="S312" i="4"/>
  <c r="T227" i="4"/>
  <c r="T80" i="4"/>
  <c r="T150" i="4"/>
  <c r="T290" i="4"/>
  <c r="T235" i="4"/>
  <c r="S238" i="4"/>
  <c r="S206" i="4"/>
  <c r="S250" i="4"/>
  <c r="S345" i="4"/>
  <c r="S143" i="4"/>
  <c r="S359" i="4"/>
  <c r="T226" i="4"/>
  <c r="T352" i="4"/>
  <c r="T180" i="4"/>
  <c r="U169" i="4"/>
  <c r="V169" i="4" s="1"/>
  <c r="T169" i="4"/>
  <c r="S304" i="4"/>
  <c r="S262" i="4"/>
  <c r="S295" i="4"/>
  <c r="S88" i="4"/>
  <c r="T221" i="4"/>
  <c r="T376" i="4"/>
  <c r="S301" i="4"/>
  <c r="T82" i="4"/>
  <c r="S224" i="4"/>
  <c r="S89" i="4"/>
  <c r="S190" i="4"/>
  <c r="T164" i="4"/>
  <c r="S201" i="4"/>
  <c r="T220" i="4"/>
  <c r="T265" i="4"/>
  <c r="U211" i="4"/>
  <c r="R378" i="4"/>
  <c r="T40" i="4"/>
  <c r="U57" i="4"/>
  <c r="V57" i="4" s="1"/>
  <c r="T57" i="4"/>
  <c r="S277" i="4"/>
  <c r="S79" i="4"/>
  <c r="U329" i="4"/>
  <c r="V329" i="4" s="1"/>
  <c r="T329" i="4"/>
  <c r="T320" i="4"/>
  <c r="J9" i="6"/>
  <c r="J12" i="6" s="1"/>
  <c r="C10" i="8"/>
  <c r="B10" i="8" s="1"/>
  <c r="C4" i="11" s="1"/>
  <c r="C8" i="11" s="1"/>
  <c r="S158" i="4"/>
  <c r="S352" i="4"/>
  <c r="S328" i="4"/>
  <c r="T350" i="4"/>
  <c r="U6" i="4"/>
  <c r="V6" i="4" s="1"/>
  <c r="T6" i="4"/>
  <c r="U27" i="4"/>
  <c r="V27" i="4" s="1"/>
  <c r="T27" i="4"/>
  <c r="T187" i="4"/>
  <c r="T61" i="4"/>
  <c r="T47" i="4"/>
  <c r="T309" i="4"/>
  <c r="U149" i="4"/>
  <c r="V149" i="4" s="1"/>
  <c r="T149" i="4"/>
  <c r="S225" i="4"/>
  <c r="S266" i="4"/>
  <c r="S325" i="4"/>
  <c r="T284" i="4"/>
  <c r="S56" i="4"/>
  <c r="S19" i="4"/>
  <c r="S27" i="4"/>
  <c r="T288" i="4"/>
  <c r="S335" i="4"/>
  <c r="U76" i="4"/>
  <c r="V76" i="4" s="1"/>
  <c r="T76" i="4"/>
  <c r="S159" i="4"/>
  <c r="S111" i="4"/>
  <c r="T328" i="4"/>
  <c r="T254" i="4"/>
  <c r="T54" i="4"/>
  <c r="S10" i="4"/>
  <c r="T144" i="4"/>
  <c r="T266" i="4"/>
  <c r="T360" i="4"/>
  <c r="S217" i="4"/>
  <c r="T184" i="4"/>
  <c r="T161" i="4"/>
  <c r="S274" i="4"/>
  <c r="S364" i="4"/>
  <c r="T99" i="4"/>
  <c r="S199" i="4"/>
  <c r="T356" i="4"/>
  <c r="S347" i="4"/>
  <c r="S282" i="4"/>
  <c r="T73" i="4"/>
  <c r="T35" i="4"/>
  <c r="T178" i="4"/>
  <c r="T45" i="4"/>
  <c r="T136" i="4"/>
  <c r="U228" i="4"/>
  <c r="V228" i="4" s="1"/>
  <c r="T228" i="4"/>
  <c r="T138" i="4"/>
  <c r="T171" i="4"/>
  <c r="T197" i="4"/>
  <c r="T56" i="4"/>
  <c r="T270" i="4"/>
  <c r="S354" i="4"/>
  <c r="S203" i="4"/>
  <c r="T29" i="4"/>
  <c r="T176" i="4"/>
  <c r="S246" i="4"/>
  <c r="U97" i="4"/>
  <c r="V97" i="4" s="1"/>
  <c r="T97" i="4"/>
  <c r="S149" i="4"/>
  <c r="S284" i="4"/>
  <c r="S191" i="4"/>
  <c r="S6" i="4"/>
  <c r="T115" i="4"/>
  <c r="S113" i="4"/>
  <c r="S333" i="4"/>
  <c r="T181" i="4"/>
  <c r="T324" i="4"/>
  <c r="T133" i="4"/>
  <c r="S308" i="4"/>
  <c r="S128" i="4"/>
  <c r="S80" i="4"/>
  <c r="T203" i="4"/>
  <c r="S228" i="4"/>
  <c r="S125" i="4"/>
  <c r="T271" i="4"/>
  <c r="S137" i="4"/>
  <c r="T363" i="4"/>
  <c r="T316" i="4"/>
  <c r="T67" i="4"/>
  <c r="S66" i="4"/>
  <c r="T155" i="4"/>
  <c r="T294" i="4"/>
  <c r="T252" i="4"/>
  <c r="T259" i="4"/>
  <c r="S278" i="4"/>
  <c r="T60" i="4"/>
  <c r="E17" i="8" l="1"/>
  <c r="E18" i="8" s="1"/>
  <c r="E21" i="8"/>
  <c r="M9" i="6"/>
  <c r="M12" i="6" s="1"/>
  <c r="M14" i="6" s="1"/>
  <c r="C16" i="8"/>
  <c r="B13" i="8"/>
  <c r="E4" i="11" s="1"/>
  <c r="B11" i="8"/>
  <c r="B4" i="11" s="1"/>
  <c r="B8" i="11" s="1"/>
  <c r="B10" i="11" s="1"/>
  <c r="B12" i="8"/>
  <c r="K12" i="6"/>
  <c r="E6" i="11"/>
  <c r="F6" i="11" s="1"/>
  <c r="L11" i="10"/>
  <c r="M66" i="3"/>
  <c r="J63" i="3"/>
  <c r="D21" i="8"/>
  <c r="D17" i="8"/>
  <c r="D18" i="8" s="1"/>
  <c r="V211" i="4"/>
  <c r="V378" i="4" s="1"/>
  <c r="U378" i="4"/>
  <c r="Q378" i="4" s="1"/>
  <c r="F8" i="6" l="1"/>
  <c r="F6" i="6"/>
  <c r="F7" i="6"/>
  <c r="C21" i="8"/>
  <c r="C17" i="8"/>
  <c r="B16" i="8"/>
  <c r="B21" i="8" s="1"/>
  <c r="E8" i="11"/>
  <c r="F8" i="11" s="1"/>
  <c r="F4" i="11"/>
  <c r="F12" i="11" s="1"/>
  <c r="C18" i="8" l="1"/>
  <c r="B18" i="8" s="1"/>
  <c r="B17" i="8"/>
</calcChain>
</file>

<file path=xl/sharedStrings.xml><?xml version="1.0" encoding="utf-8"?>
<sst xmlns="http://schemas.openxmlformats.org/spreadsheetml/2006/main" count="5789" uniqueCount="931">
  <si>
    <t>Blad 'Omreken'</t>
  </si>
  <si>
    <t>Dit blad mag niet worden gewijzigd!</t>
  </si>
  <si>
    <t>Type:</t>
  </si>
  <si>
    <t>Invultabel</t>
  </si>
  <si>
    <t xml:space="preserve">werkdag             </t>
  </si>
  <si>
    <t xml:space="preserve">per jaar: </t>
  </si>
  <si>
    <t xml:space="preserve">per week: </t>
  </si>
  <si>
    <t>FREQ</t>
  </si>
  <si>
    <t>FACTOR</t>
  </si>
  <si>
    <t>5W</t>
  </si>
  <si>
    <t>225J</t>
  </si>
  <si>
    <t>210J</t>
  </si>
  <si>
    <t>205J</t>
  </si>
  <si>
    <t>4W</t>
  </si>
  <si>
    <t>200J</t>
  </si>
  <si>
    <t>3W</t>
  </si>
  <si>
    <t>2W</t>
  </si>
  <si>
    <t>1W</t>
  </si>
  <si>
    <t>45J</t>
  </si>
  <si>
    <t>41J</t>
  </si>
  <si>
    <t>26J</t>
  </si>
  <si>
    <t>12J</t>
  </si>
  <si>
    <t>6J</t>
  </si>
  <si>
    <t>4J</t>
  </si>
  <si>
    <t>3J</t>
  </si>
  <si>
    <t>2J</t>
  </si>
  <si>
    <t>1J</t>
  </si>
  <si>
    <t xml:space="preserve">werkdag vakantie    </t>
  </si>
  <si>
    <t xml:space="preserve">weekenddag          </t>
  </si>
  <si>
    <t>NORM-CODE</t>
  </si>
  <si>
    <t>CATEGORIE</t>
  </si>
  <si>
    <t>DAGEN/JAAR</t>
  </si>
  <si>
    <t>OMSCHRIJVING</t>
  </si>
  <si>
    <t>PRODUCTIE-NORM</t>
  </si>
  <si>
    <t>% HOOG-FREQUENT</t>
  </si>
  <si>
    <t>EENHEID</t>
  </si>
  <si>
    <t>TARIEF (EURO)</t>
  </si>
  <si>
    <t xml:space="preserve">WERKDAG             </t>
  </si>
  <si>
    <t>BKHB</t>
  </si>
  <si>
    <t xml:space="preserve">B    </t>
  </si>
  <si>
    <t>Bureaukamers - harde vloeren (basis)</t>
  </si>
  <si>
    <t>m²/uur</t>
  </si>
  <si>
    <t>BKHV</t>
  </si>
  <si>
    <t>Bureaukamers - harde vloeren (volledig)</t>
  </si>
  <si>
    <t>BKZB</t>
  </si>
  <si>
    <t>Bureaukamers - zachte vloeren (basis)</t>
  </si>
  <si>
    <t>BKZV</t>
  </si>
  <si>
    <t>Bureaukamers - zachte vloeren (volledig)</t>
  </si>
  <si>
    <t>LLHB</t>
  </si>
  <si>
    <t>Leslokaal - harde vloeren (basis)</t>
  </si>
  <si>
    <t>LLHV</t>
  </si>
  <si>
    <t>Leslokaal - harde vloeren (volledig)</t>
  </si>
  <si>
    <t>LLZB</t>
  </si>
  <si>
    <t>Leslokaal - zachte vloeren (basis)</t>
  </si>
  <si>
    <t>LLZV</t>
  </si>
  <si>
    <t>Leslokaal - zachte vloeren (volledig)</t>
  </si>
  <si>
    <t>LOHB</t>
  </si>
  <si>
    <t>Open leerruimten - harde vloeren (basis)</t>
  </si>
  <si>
    <t>LOHV</t>
  </si>
  <si>
    <t>Open leerruimten - harde vloeren (volledig)</t>
  </si>
  <si>
    <t>LOZB</t>
  </si>
  <si>
    <t>Open leerruimten - zachte vloeren (basis)</t>
  </si>
  <si>
    <t>LOZV</t>
  </si>
  <si>
    <t>Open leerruimten - zachte vloeren (volledig)</t>
  </si>
  <si>
    <t>MAHB</t>
  </si>
  <si>
    <t>Mediatheek/bibliotheek- harde vloeren (basis)</t>
  </si>
  <si>
    <t>MAHV</t>
  </si>
  <si>
    <t>Mediatheek/bibliotheek- harde vloeren (volledig)</t>
  </si>
  <si>
    <t>MAZB</t>
  </si>
  <si>
    <t>Mediatheek/bibliotheek- zachte vloeren (basis)</t>
  </si>
  <si>
    <t>MAZV</t>
  </si>
  <si>
    <t>Mediatheek/bibliotheek- zachte vloeren (volledig)</t>
  </si>
  <si>
    <t>GSHB</t>
  </si>
  <si>
    <t xml:space="preserve">G    </t>
  </si>
  <si>
    <t>Gymzalen/sportruimten/toestelberging - harde vloeren (basis)</t>
  </si>
  <si>
    <t>GSHV</t>
  </si>
  <si>
    <t>Gymzalen/sportruimten/toestelberging - harde vloeren (volledig)</t>
  </si>
  <si>
    <t>GTHB</t>
  </si>
  <si>
    <t>Tribunes - harde vloeren (basis)</t>
  </si>
  <si>
    <t>GTHV</t>
  </si>
  <si>
    <t>Tribunes - harde vloeren (volledig)</t>
  </si>
  <si>
    <t>PAHB</t>
  </si>
  <si>
    <t xml:space="preserve">PA   </t>
  </si>
  <si>
    <t>Praktijk atelier - harde vloeren (basis)</t>
  </si>
  <si>
    <t>PAHV</t>
  </si>
  <si>
    <t>Praktijk atelier - harde vloeren (volledig)</t>
  </si>
  <si>
    <t>PKHB</t>
  </si>
  <si>
    <t xml:space="preserve">PK   </t>
  </si>
  <si>
    <t>Praktijk keuken - harde vloeren (basis)</t>
  </si>
  <si>
    <t>PKHV</t>
  </si>
  <si>
    <t>Praktijk keuken - harde vloeren (volledig)</t>
  </si>
  <si>
    <t>PKZB</t>
  </si>
  <si>
    <t>Praktijk keuken - zachte vloeren (basis)</t>
  </si>
  <si>
    <t>PKZV</t>
  </si>
  <si>
    <t>Praktijk keuken - zachte vloeren (volledig)</t>
  </si>
  <si>
    <t>PLHB</t>
  </si>
  <si>
    <t xml:space="preserve">PL   </t>
  </si>
  <si>
    <t>Praktijk labs - harde vloeren (basis)</t>
  </si>
  <si>
    <t>PLHV</t>
  </si>
  <si>
    <t>Praktijk labs - harde vloeren (volledig)</t>
  </si>
  <si>
    <t>PSHB</t>
  </si>
  <si>
    <t xml:space="preserve">PS   </t>
  </si>
  <si>
    <t>Praktijk standaard - harde vloeren (basis)</t>
  </si>
  <si>
    <t>PSHV</t>
  </si>
  <si>
    <t>Praktijk standaard - harde vloeren (volledig)</t>
  </si>
  <si>
    <t>PSZB</t>
  </si>
  <si>
    <t>Praktijk standaard - zachte vloeren (basis)</t>
  </si>
  <si>
    <t>PSZV</t>
  </si>
  <si>
    <t>Praktijk standaard - zachte vloeren (volledig)</t>
  </si>
  <si>
    <t>PWHB</t>
  </si>
  <si>
    <t xml:space="preserve">PW   </t>
  </si>
  <si>
    <t>Praktijk werkplaats - harde vloeren (basis)</t>
  </si>
  <si>
    <t>PWHV</t>
  </si>
  <si>
    <t>Praktijk werkplaats - harde vloeren (volledig)</t>
  </si>
  <si>
    <t>SDHB</t>
  </si>
  <si>
    <t xml:space="preserve">S    </t>
  </si>
  <si>
    <t>Douche/badkamer - harde vloeren (basis)</t>
  </si>
  <si>
    <t>SDHV</t>
  </si>
  <si>
    <t>Douche/badkamer - harde vloeren (volledig)</t>
  </si>
  <si>
    <t>SKHB</t>
  </si>
  <si>
    <t>Kleedruimten - harde vloeren (basis)</t>
  </si>
  <si>
    <t>SKHV</t>
  </si>
  <si>
    <t>Kleedruimten - harde vloeren (volledig)</t>
  </si>
  <si>
    <t>STHB</t>
  </si>
  <si>
    <t>Toiletten - harde vloeren (basis)</t>
  </si>
  <si>
    <t>STHV</t>
  </si>
  <si>
    <t>Toiletten - harde vloeren (volledig)</t>
  </si>
  <si>
    <t>SWHB</t>
  </si>
  <si>
    <t>Wasruimten - harde vloeren (basis)</t>
  </si>
  <si>
    <t>SWHV</t>
  </si>
  <si>
    <t>Wasruimten - harde vloeren (volledig)</t>
  </si>
  <si>
    <t>KAHB</t>
  </si>
  <si>
    <t xml:space="preserve">V    </t>
  </si>
  <si>
    <t>Aula/kantine - harde vloeren (basis)</t>
  </si>
  <si>
    <t>KAHV</t>
  </si>
  <si>
    <t>Aula/kantine - harde vloeren (volledig)</t>
  </si>
  <si>
    <t>KDHB</t>
  </si>
  <si>
    <t>Docentenkamer - harde vloeren (basis)</t>
  </si>
  <si>
    <t>KDHV</t>
  </si>
  <si>
    <t>Docentenkamer - harde vloeren (volledig)</t>
  </si>
  <si>
    <t>KDZB</t>
  </si>
  <si>
    <t>Docentenkamer - zachte vloeren (basis)</t>
  </si>
  <si>
    <t>KDZV</t>
  </si>
  <si>
    <t>Docentenkamer - zachte vloeren (volledig)</t>
  </si>
  <si>
    <t>KKHB</t>
  </si>
  <si>
    <t>Keuken - harde vloeren (basis)</t>
  </si>
  <si>
    <t>KKHV</t>
  </si>
  <si>
    <t>Keuken - harde vloeren (volledig)</t>
  </si>
  <si>
    <t>KPHB</t>
  </si>
  <si>
    <t>Pantry - harde vloeren (basis)</t>
  </si>
  <si>
    <t>KPHV</t>
  </si>
  <si>
    <t>Pantry - harde vloeren (volledig)</t>
  </si>
  <si>
    <t>OAHB</t>
  </si>
  <si>
    <t>Opslag/archief/magazijn - harde vloeren (basis)</t>
  </si>
  <si>
    <t>OAHV</t>
  </si>
  <si>
    <t>Opslag/archief/magazijn - harde vloeren (volledig)</t>
  </si>
  <si>
    <t>VAHB</t>
  </si>
  <si>
    <t>Verkeer algemeen - harde vloeren (basis)</t>
  </si>
  <si>
    <t>VAHV</t>
  </si>
  <si>
    <t>Verkeer algemeen - harde vloeren (volledig)</t>
  </si>
  <si>
    <t>VAZB</t>
  </si>
  <si>
    <t>Verkeer algemeen - zachte vloeren (basis)</t>
  </si>
  <si>
    <t>VAZV</t>
  </si>
  <si>
    <t>Verkeer algemeen - zachte vloeren (volledig)</t>
  </si>
  <si>
    <t>VEHB</t>
  </si>
  <si>
    <t>Entree - harde vloeren (basis)</t>
  </si>
  <si>
    <t>VEHV</t>
  </si>
  <si>
    <t>Entree - harde vloeren (volledig)</t>
  </si>
  <si>
    <t>VEZB</t>
  </si>
  <si>
    <t>Entree - zachte vloeren (basis)</t>
  </si>
  <si>
    <t>VEZV</t>
  </si>
  <si>
    <t>Entree - zachte vloeren (volledig)</t>
  </si>
  <si>
    <t>VLHB</t>
  </si>
  <si>
    <t>Liften - harde vloeren (basis)</t>
  </si>
  <si>
    <t>VLHV</t>
  </si>
  <si>
    <t>Liften - harde vloeren (volledig)</t>
  </si>
  <si>
    <t>VOHB</t>
  </si>
  <si>
    <t>Verkeer overigen - harde vloeren (basis)</t>
  </si>
  <si>
    <t>VOHV</t>
  </si>
  <si>
    <t>Verkeer overigen - harde vloeren (volledig)</t>
  </si>
  <si>
    <t>VOZB</t>
  </si>
  <si>
    <t>Verkeer overigen - zachte vloeren (basis)</t>
  </si>
  <si>
    <t>VOZV</t>
  </si>
  <si>
    <t>Verkeer overigen - zachte vloeren (volledig)</t>
  </si>
  <si>
    <t>VTHB</t>
  </si>
  <si>
    <t>Trap - harde vloeren (basis)</t>
  </si>
  <si>
    <t>VTHV</t>
  </si>
  <si>
    <t>Trap - harde vloeren (volledig)</t>
  </si>
  <si>
    <t>XSGB</t>
  </si>
  <si>
    <t xml:space="preserve">X    </t>
  </si>
  <si>
    <t>Schrobben gymzaalvloer (basis)</t>
  </si>
  <si>
    <t>TAAK</t>
  </si>
  <si>
    <t>WERK- SOORT</t>
  </si>
  <si>
    <t>OPP OF AANTAL</t>
  </si>
  <si>
    <t>OPP OF AANTAL /DAG</t>
  </si>
  <si>
    <t>UREN/ DAG</t>
  </si>
  <si>
    <t>PRIJS/ DAG</t>
  </si>
  <si>
    <t>UREN/ JAAR</t>
  </si>
  <si>
    <t>PRIJS/ JAAR</t>
  </si>
  <si>
    <t>BKH</t>
  </si>
  <si>
    <t>interieur</t>
  </si>
  <si>
    <t>Bureaukamers - harde vloeren</t>
  </si>
  <si>
    <t>BKZ</t>
  </si>
  <si>
    <t>Bureaukamers - zachte vloeren</t>
  </si>
  <si>
    <t>GSH</t>
  </si>
  <si>
    <t>Gymzaal/sportruimten/toestelberging - harde vloeren</t>
  </si>
  <si>
    <t>GTH</t>
  </si>
  <si>
    <t>Tribune - harde vloeren</t>
  </si>
  <si>
    <t>KAH</t>
  </si>
  <si>
    <t>Aula/kantine - harde vloeren</t>
  </si>
  <si>
    <t>KDH</t>
  </si>
  <si>
    <t>Docentenkamer - harde vloeren</t>
  </si>
  <si>
    <t>KDZ</t>
  </si>
  <si>
    <t>Docentenkamer - zachte vloeren</t>
  </si>
  <si>
    <t>KKH</t>
  </si>
  <si>
    <t>Keuken - harde vloeren</t>
  </si>
  <si>
    <t>KPH</t>
  </si>
  <si>
    <t>Pantry - harde vloeren</t>
  </si>
  <si>
    <t>LLH</t>
  </si>
  <si>
    <t>Leslokaal - harde vloeren</t>
  </si>
  <si>
    <t>LLZ</t>
  </si>
  <si>
    <t>Leslokaal - zachte vloeren</t>
  </si>
  <si>
    <t>LOH</t>
  </si>
  <si>
    <t>Open studieruimten - harde vloeren</t>
  </si>
  <si>
    <t>LOZ</t>
  </si>
  <si>
    <t>Open studieruimten - zachte vloeren</t>
  </si>
  <si>
    <t>MAH</t>
  </si>
  <si>
    <t>Mediatheek/bibliotheek - harde vloeren</t>
  </si>
  <si>
    <t>MAZ</t>
  </si>
  <si>
    <t>Mediatheek/bibliotheek - zachte vloeren</t>
  </si>
  <si>
    <t>OAH</t>
  </si>
  <si>
    <t>Opslag/archief/magazijn - harde vloeren</t>
  </si>
  <si>
    <t>PAH</t>
  </si>
  <si>
    <t>Praktijklokaal atelier - harde vloeren</t>
  </si>
  <si>
    <t>PKH</t>
  </si>
  <si>
    <t>Praktijklokaal keuken - harde vloeren</t>
  </si>
  <si>
    <t>PKZ</t>
  </si>
  <si>
    <t>Praktijklokaal keuken - zachte vloeren</t>
  </si>
  <si>
    <t>PLH</t>
  </si>
  <si>
    <t>Praktijklokaal labs - harde vloeren</t>
  </si>
  <si>
    <t>PSH</t>
  </si>
  <si>
    <t>Praktijklokaal standaard - harde vloeren</t>
  </si>
  <si>
    <t>PSZ</t>
  </si>
  <si>
    <t>Praktijklokaal standaard - zachte vloeren</t>
  </si>
  <si>
    <t>PWH</t>
  </si>
  <si>
    <t>Praktijklokaal werkplaats - harde vloeren</t>
  </si>
  <si>
    <t>SDH</t>
  </si>
  <si>
    <t>Douche - harde vloeren</t>
  </si>
  <si>
    <t>SKH</t>
  </si>
  <si>
    <t>Kleedruimte - harde vloeren</t>
  </si>
  <si>
    <t>STH</t>
  </si>
  <si>
    <t>Toilet - harde vloeren</t>
  </si>
  <si>
    <t>SWH</t>
  </si>
  <si>
    <t>Wasruimten - harde vloeren</t>
  </si>
  <si>
    <t>VAH</t>
  </si>
  <si>
    <t>Verkeer algemeen - harde vloeren</t>
  </si>
  <si>
    <t>VAZ</t>
  </si>
  <si>
    <t>Verkeer algemeen - zachte vloeren</t>
  </si>
  <si>
    <t>VEH</t>
  </si>
  <si>
    <t>Entree - harde vloeren</t>
  </si>
  <si>
    <t>VEZ</t>
  </si>
  <si>
    <t>Entree - zachte vloeren</t>
  </si>
  <si>
    <t>VLH</t>
  </si>
  <si>
    <t>Liften - harde vloeren</t>
  </si>
  <si>
    <t>VOH</t>
  </si>
  <si>
    <t>Verkeer overigen - harde vloeren</t>
  </si>
  <si>
    <t>VOZ</t>
  </si>
  <si>
    <t>Verkeer overigen - zachte vloeren</t>
  </si>
  <si>
    <t>VTH</t>
  </si>
  <si>
    <t>Trap - harde vloeren</t>
  </si>
  <si>
    <t>E1</t>
  </si>
  <si>
    <t>extra</t>
  </si>
  <si>
    <t>Extra schrobben gymzaalvloer</t>
  </si>
  <si>
    <t>E9</t>
  </si>
  <si>
    <t>RVS afzuigkap geheel reinigen</t>
  </si>
  <si>
    <t>min./stuk</t>
  </si>
  <si>
    <t xml:space="preserve">Totaal werkdag             </t>
  </si>
  <si>
    <t xml:space="preserve">Gemiddeld uurtarief werkdag             </t>
  </si>
  <si>
    <t>Totaal regulier werk excl. BTW</t>
  </si>
  <si>
    <t>OBJECT</t>
  </si>
  <si>
    <t>BOUW-DEEL</t>
  </si>
  <si>
    <t>ETAGE</t>
  </si>
  <si>
    <t>RUIMTENR</t>
  </si>
  <si>
    <t>RUIMTENAAM</t>
  </si>
  <si>
    <t>VLOER</t>
  </si>
  <si>
    <t>WERK-SOORT</t>
  </si>
  <si>
    <t>VSR</t>
  </si>
  <si>
    <t>KOSTENPLAATS</t>
  </si>
  <si>
    <t>UREN HOOG-FREQUENT/ DAG</t>
  </si>
  <si>
    <t>105 - Varendonck College, Beatrixlaan, Beatrixlaan 25, ASTEN</t>
  </si>
  <si>
    <t>105</t>
  </si>
  <si>
    <t/>
  </si>
  <si>
    <t>00</t>
  </si>
  <si>
    <t>0.01</t>
  </si>
  <si>
    <t>Entree</t>
  </si>
  <si>
    <t>inloopmat</t>
  </si>
  <si>
    <t>0.02</t>
  </si>
  <si>
    <t>Aula onderbouw + lockergang</t>
  </si>
  <si>
    <t>pvc -linoleum</t>
  </si>
  <si>
    <t>0.03</t>
  </si>
  <si>
    <t>Receptie</t>
  </si>
  <si>
    <t>linoleum</t>
  </si>
  <si>
    <t>0.04</t>
  </si>
  <si>
    <t>Repro</t>
  </si>
  <si>
    <t>0.07</t>
  </si>
  <si>
    <t>Damestoiletten</t>
  </si>
  <si>
    <t>tegels</t>
  </si>
  <si>
    <t>0.08</t>
  </si>
  <si>
    <t>Herentoiletten</t>
  </si>
  <si>
    <t>0.09</t>
  </si>
  <si>
    <t>Doorgang voor uitgifte</t>
  </si>
  <si>
    <t>0.10</t>
  </si>
  <si>
    <t>tegelvloer</t>
  </si>
  <si>
    <t>0.10a</t>
  </si>
  <si>
    <t>0.11</t>
  </si>
  <si>
    <t>Mivatoilet</t>
  </si>
  <si>
    <t>gietvloer</t>
  </si>
  <si>
    <t>0.12</t>
  </si>
  <si>
    <t>Keuken</t>
  </si>
  <si>
    <t>0.13</t>
  </si>
  <si>
    <t>Aula bovenbouw</t>
  </si>
  <si>
    <t>linonleum</t>
  </si>
  <si>
    <t>0.14</t>
  </si>
  <si>
    <t>Tribunetrap</t>
  </si>
  <si>
    <t>pvc</t>
  </si>
  <si>
    <t>0.16</t>
  </si>
  <si>
    <t>Muzieklokaal</t>
  </si>
  <si>
    <t>0.16a</t>
  </si>
  <si>
    <t>Muziekstudio</t>
  </si>
  <si>
    <t>tapijt</t>
  </si>
  <si>
    <t>0.16b</t>
  </si>
  <si>
    <t>0.16c</t>
  </si>
  <si>
    <t>0.17</t>
  </si>
  <si>
    <t>Kantoor opvangcoordinator</t>
  </si>
  <si>
    <t>0.18</t>
  </si>
  <si>
    <t>Gang/lockers</t>
  </si>
  <si>
    <t>0.19</t>
  </si>
  <si>
    <t>Gang</t>
  </si>
  <si>
    <t>0.22</t>
  </si>
  <si>
    <t>Kantoor ICT</t>
  </si>
  <si>
    <t>0.23</t>
  </si>
  <si>
    <t>Spreekkamer</t>
  </si>
  <si>
    <t>0.23a</t>
  </si>
  <si>
    <t>0.25</t>
  </si>
  <si>
    <t>Personeelstoilet heren</t>
  </si>
  <si>
    <t>0.25a</t>
  </si>
  <si>
    <t>Personeelstoilet dames</t>
  </si>
  <si>
    <t>0.26</t>
  </si>
  <si>
    <t>Gang naar sport</t>
  </si>
  <si>
    <t>0.27/0.27a</t>
  </si>
  <si>
    <t>Kleedruimte</t>
  </si>
  <si>
    <t>0.28</t>
  </si>
  <si>
    <t>Gymzaal</t>
  </si>
  <si>
    <t>sportvloer</t>
  </si>
  <si>
    <t>0.28a</t>
  </si>
  <si>
    <t>Berging gymzaal</t>
  </si>
  <si>
    <t>0.28b</t>
  </si>
  <si>
    <t>beton</t>
  </si>
  <si>
    <t>0.29</t>
  </si>
  <si>
    <t>Docent</t>
  </si>
  <si>
    <t>0.32</t>
  </si>
  <si>
    <t>0.33/0.33a</t>
  </si>
  <si>
    <t>0.34</t>
  </si>
  <si>
    <t>0.34a</t>
  </si>
  <si>
    <t>0.35</t>
  </si>
  <si>
    <t>Werkcafé personeel</t>
  </si>
  <si>
    <t>0.35b</t>
  </si>
  <si>
    <t>Pantry personeel</t>
  </si>
  <si>
    <t>0.35c</t>
  </si>
  <si>
    <t>Belplek</t>
  </si>
  <si>
    <t>0.35d</t>
  </si>
  <si>
    <t>0.36</t>
  </si>
  <si>
    <t>Open werkruimte personeel</t>
  </si>
  <si>
    <t>tapijttegels</t>
  </si>
  <si>
    <t>0.36b</t>
  </si>
  <si>
    <t>Omsloten werkruimte</t>
  </si>
  <si>
    <t>0.36c</t>
  </si>
  <si>
    <t>0.36d</t>
  </si>
  <si>
    <t>0.37</t>
  </si>
  <si>
    <t>Stiltegebied</t>
  </si>
  <si>
    <t>0.38</t>
  </si>
  <si>
    <t>Overlegruimte</t>
  </si>
  <si>
    <t>0.38a</t>
  </si>
  <si>
    <t>0.39</t>
  </si>
  <si>
    <t>0.39a</t>
  </si>
  <si>
    <t>0.40</t>
  </si>
  <si>
    <t>0.42</t>
  </si>
  <si>
    <t>0.43</t>
  </si>
  <si>
    <t>0.44</t>
  </si>
  <si>
    <t>0.45</t>
  </si>
  <si>
    <t>Stiltegebied leerplein M&amp;M</t>
  </si>
  <si>
    <t>0.45a</t>
  </si>
  <si>
    <t>Instructieruimte (incl tribune)</t>
  </si>
  <si>
    <t>linoleum (bamboe)</t>
  </si>
  <si>
    <t>0.46</t>
  </si>
  <si>
    <t>Open werkgebied leerplein M&amp;M</t>
  </si>
  <si>
    <t>0.46a</t>
  </si>
  <si>
    <t>0.46b</t>
  </si>
  <si>
    <t>0.47</t>
  </si>
  <si>
    <t>0.48</t>
  </si>
  <si>
    <t>Toiletten</t>
  </si>
  <si>
    <t>0.48b</t>
  </si>
  <si>
    <t>0.50ab</t>
  </si>
  <si>
    <t>Leerplein Talen</t>
  </si>
  <si>
    <t>0.50c</t>
  </si>
  <si>
    <t>0.50d</t>
  </si>
  <si>
    <t>0.50f</t>
  </si>
  <si>
    <t>0.50g</t>
  </si>
  <si>
    <t>0.50h</t>
  </si>
  <si>
    <t>Open werkruimte</t>
  </si>
  <si>
    <t>0.50j</t>
  </si>
  <si>
    <t>0.50k</t>
  </si>
  <si>
    <t>0.51</t>
  </si>
  <si>
    <t>0.52</t>
  </si>
  <si>
    <t>Lokaal</t>
  </si>
  <si>
    <t>0.53</t>
  </si>
  <si>
    <t>0.54</t>
  </si>
  <si>
    <t>0.55</t>
  </si>
  <si>
    <t>0.56</t>
  </si>
  <si>
    <t>0.57</t>
  </si>
  <si>
    <t>0.57a</t>
  </si>
  <si>
    <t>0.58</t>
  </si>
  <si>
    <t>0.59</t>
  </si>
  <si>
    <t>0.60</t>
  </si>
  <si>
    <t>0.61</t>
  </si>
  <si>
    <t>0.62</t>
  </si>
  <si>
    <t>0.63</t>
  </si>
  <si>
    <t>0.65</t>
  </si>
  <si>
    <t>0.65a</t>
  </si>
  <si>
    <t>0.66</t>
  </si>
  <si>
    <t>0.67</t>
  </si>
  <si>
    <t>0.68</t>
  </si>
  <si>
    <t>0.69</t>
  </si>
  <si>
    <t>Berging</t>
  </si>
  <si>
    <t>0.70</t>
  </si>
  <si>
    <t>0.71</t>
  </si>
  <si>
    <t>0.71a</t>
  </si>
  <si>
    <t>0.72</t>
  </si>
  <si>
    <t>0.73</t>
  </si>
  <si>
    <t>Berging BEVO</t>
  </si>
  <si>
    <t>0.74</t>
  </si>
  <si>
    <t>0.75</t>
  </si>
  <si>
    <t>0.76</t>
  </si>
  <si>
    <t>0.76a</t>
  </si>
  <si>
    <t>Wasruimte</t>
  </si>
  <si>
    <t>0.76b</t>
  </si>
  <si>
    <t>Etshoek</t>
  </si>
  <si>
    <t>0.77</t>
  </si>
  <si>
    <t>Multifunctionele ruimte</t>
  </si>
  <si>
    <t>0.78/0.79</t>
  </si>
  <si>
    <t>3D atelier</t>
  </si>
  <si>
    <t>0.79a</t>
  </si>
  <si>
    <t>0.80</t>
  </si>
  <si>
    <t>0.81</t>
  </si>
  <si>
    <t>0.82</t>
  </si>
  <si>
    <t>Leerplein Science</t>
  </si>
  <si>
    <t>0.82a</t>
  </si>
  <si>
    <t>Open werkgebied leerplein Science</t>
  </si>
  <si>
    <t>0.83</t>
  </si>
  <si>
    <t>0.84</t>
  </si>
  <si>
    <t>0.85</t>
  </si>
  <si>
    <t>Opslag/kabinet</t>
  </si>
  <si>
    <t>0.86</t>
  </si>
  <si>
    <t>0.87</t>
  </si>
  <si>
    <t>Laboratorium</t>
  </si>
  <si>
    <t>0.88</t>
  </si>
  <si>
    <t>Totaal werkdag</t>
  </si>
  <si>
    <t>106 - Varendonck College, Kanaalstraat 12, Kanaalstraat 12, SOMEREN</t>
  </si>
  <si>
    <t>106</t>
  </si>
  <si>
    <t>Entree/garderobe</t>
  </si>
  <si>
    <t>dhgt</t>
  </si>
  <si>
    <t>V</t>
  </si>
  <si>
    <t>Conciergeruimte</t>
  </si>
  <si>
    <t>B</t>
  </si>
  <si>
    <t>0.03a</t>
  </si>
  <si>
    <t>0.03b</t>
  </si>
  <si>
    <t>0.03c</t>
  </si>
  <si>
    <t>0.03d</t>
  </si>
  <si>
    <t>0.03e</t>
  </si>
  <si>
    <t>Toilet</t>
  </si>
  <si>
    <t>S</t>
  </si>
  <si>
    <t>Trap</t>
  </si>
  <si>
    <t>Trap bordes</t>
  </si>
  <si>
    <t>Personeelskamer</t>
  </si>
  <si>
    <t>Personeelstoilet</t>
  </si>
  <si>
    <t>Pantry</t>
  </si>
  <si>
    <t>Docentenwerkruimte 1</t>
  </si>
  <si>
    <t>0.15</t>
  </si>
  <si>
    <t>Lift</t>
  </si>
  <si>
    <t>Toilet heren</t>
  </si>
  <si>
    <t>MIVA</t>
  </si>
  <si>
    <t>Toilet dames</t>
  </si>
  <si>
    <t>Personeelswerkruimte 2</t>
  </si>
  <si>
    <t>0.20</t>
  </si>
  <si>
    <t>0.21</t>
  </si>
  <si>
    <t>Kantoor ALs</t>
  </si>
  <si>
    <t>0.24</t>
  </si>
  <si>
    <t>Pedagogisch lesplein 210</t>
  </si>
  <si>
    <t>L</t>
  </si>
  <si>
    <t>Leerlingrestaurant 205</t>
  </si>
  <si>
    <t>Leerlingkeuken 205</t>
  </si>
  <si>
    <t>0.26a</t>
  </si>
  <si>
    <t>Wasruimte 205</t>
  </si>
  <si>
    <t>0.26b</t>
  </si>
  <si>
    <t>Strijkhok/opslag</t>
  </si>
  <si>
    <t>0.26c</t>
  </si>
  <si>
    <t>Kantoor</t>
  </si>
  <si>
    <t>0.27</t>
  </si>
  <si>
    <t>Kapsalon 208-209</t>
  </si>
  <si>
    <t>Leerlingkeuken 206</t>
  </si>
  <si>
    <t>0.30</t>
  </si>
  <si>
    <t>Lokaal 207</t>
  </si>
  <si>
    <t>Gang/hal</t>
  </si>
  <si>
    <t>0.33</t>
  </si>
  <si>
    <t>Lesplein Techniek 222</t>
  </si>
  <si>
    <t>0.33a</t>
  </si>
  <si>
    <t>metaal</t>
  </si>
  <si>
    <t>0.33b</t>
  </si>
  <si>
    <t>Bordes boven 222c</t>
  </si>
  <si>
    <t>0.33c</t>
  </si>
  <si>
    <t>0.33d</t>
  </si>
  <si>
    <t>Bordes boven 222d</t>
  </si>
  <si>
    <t>Elektro praktijk 201</t>
  </si>
  <si>
    <t>Kantoor bij elektro</t>
  </si>
  <si>
    <t>Elektro theorie 201</t>
  </si>
  <si>
    <t>Metaal praktijk 202</t>
  </si>
  <si>
    <t>Lasserij praktijk 202</t>
  </si>
  <si>
    <t>Opslag metaal praktijk</t>
  </si>
  <si>
    <t>0.40a</t>
  </si>
  <si>
    <t>Balie metaal praktijk</t>
  </si>
  <si>
    <t>0.40b</t>
  </si>
  <si>
    <t>Bordes</t>
  </si>
  <si>
    <t>hout</t>
  </si>
  <si>
    <t>0.41</t>
  </si>
  <si>
    <t>Kantoor docent bij metaal</t>
  </si>
  <si>
    <t>Metselen praktijk 203</t>
  </si>
  <si>
    <t>Kantoor docent bij metselen</t>
  </si>
  <si>
    <t>Houtbewerking praktijk 203</t>
  </si>
  <si>
    <t>0.44a</t>
  </si>
  <si>
    <t>Afwerkingstechnieken 203</t>
  </si>
  <si>
    <t>Praktijk mach.houtbewerking 203</t>
  </si>
  <si>
    <t>Ruimte metselen 203</t>
  </si>
  <si>
    <t>epoxy</t>
  </si>
  <si>
    <t>0.48a</t>
  </si>
  <si>
    <t>00AR</t>
  </si>
  <si>
    <t>Leslokaal groen 204</t>
  </si>
  <si>
    <t>Magazijn</t>
  </si>
  <si>
    <t>0.05</t>
  </si>
  <si>
    <t>Hygienesluis</t>
  </si>
  <si>
    <t>0.06</t>
  </si>
  <si>
    <t>01</t>
  </si>
  <si>
    <t>1.01a</t>
  </si>
  <si>
    <t>Traphal</t>
  </si>
  <si>
    <t>1.01b</t>
  </si>
  <si>
    <t>1.01c</t>
  </si>
  <si>
    <t>1.01d</t>
  </si>
  <si>
    <t>1.02</t>
  </si>
  <si>
    <t>Leslokaal 211</t>
  </si>
  <si>
    <t>1.03</t>
  </si>
  <si>
    <t>Leslokaal 212 Praktijk</t>
  </si>
  <si>
    <t>1.04</t>
  </si>
  <si>
    <t>Leslokaal 213 Praktijk</t>
  </si>
  <si>
    <t>1.06</t>
  </si>
  <si>
    <t>1.07</t>
  </si>
  <si>
    <t>1.08</t>
  </si>
  <si>
    <t>Leslokaal 214</t>
  </si>
  <si>
    <t>1.09</t>
  </si>
  <si>
    <t>Leslokaal 215</t>
  </si>
  <si>
    <t>1.10</t>
  </si>
  <si>
    <t>Leslokaal 216</t>
  </si>
  <si>
    <t>1.11</t>
  </si>
  <si>
    <t>Leslokaal 217</t>
  </si>
  <si>
    <t>1.12</t>
  </si>
  <si>
    <t>Leslokaal 218</t>
  </si>
  <si>
    <t>1.12a</t>
  </si>
  <si>
    <t>Opslag leerwerkhuis</t>
  </si>
  <si>
    <t>1.13</t>
  </si>
  <si>
    <t>Leslokaal 219</t>
  </si>
  <si>
    <t>1.13a</t>
  </si>
  <si>
    <t>1.14</t>
  </si>
  <si>
    <t>Techniek 220</t>
  </si>
  <si>
    <t>107 - Varendonck College , Kanaalstraat 14, Kanaalstraat 14, SOMEREN</t>
  </si>
  <si>
    <t>107</t>
  </si>
  <si>
    <t>0.02a</t>
  </si>
  <si>
    <t>Hal</t>
  </si>
  <si>
    <t>0.02b</t>
  </si>
  <si>
    <t>Hal inloopmat</t>
  </si>
  <si>
    <t>0.02c</t>
  </si>
  <si>
    <t>Hal/gang</t>
  </si>
  <si>
    <t>0.02d</t>
  </si>
  <si>
    <t>Kopieerruimte</t>
  </si>
  <si>
    <t>Gang bij gymzaal</t>
  </si>
  <si>
    <t>Kleedkamer</t>
  </si>
  <si>
    <t>0.05a</t>
  </si>
  <si>
    <t>Doucheruimte</t>
  </si>
  <si>
    <t>0.05c</t>
  </si>
  <si>
    <t>0.06a</t>
  </si>
  <si>
    <t>0.06c</t>
  </si>
  <si>
    <t>Noodtrap</t>
  </si>
  <si>
    <t>Portaal</t>
  </si>
  <si>
    <t>Gymzaal links 41</t>
  </si>
  <si>
    <t>Gymzaal midden 42</t>
  </si>
  <si>
    <t>Gymzaal rechts 43</t>
  </si>
  <si>
    <t>Toestelberging</t>
  </si>
  <si>
    <t>Trappenhal noodtrap</t>
  </si>
  <si>
    <t>0.14a</t>
  </si>
  <si>
    <t>Noodtrap bordes</t>
  </si>
  <si>
    <t>0.15a</t>
  </si>
  <si>
    <t>0.15b</t>
  </si>
  <si>
    <t>0.17a</t>
  </si>
  <si>
    <t>0.17b</t>
  </si>
  <si>
    <t>0.18a</t>
  </si>
  <si>
    <t>0.18b</t>
  </si>
  <si>
    <t>EHBO ruimte</t>
  </si>
  <si>
    <t>Toilet mindervaliden</t>
  </si>
  <si>
    <t>steen (ruw)</t>
  </si>
  <si>
    <t>0.29a</t>
  </si>
  <si>
    <t>0.30a</t>
  </si>
  <si>
    <t>0.30b</t>
  </si>
  <si>
    <t>0.30c</t>
  </si>
  <si>
    <t>0.30d</t>
  </si>
  <si>
    <t>0.31</t>
  </si>
  <si>
    <t>Kantoor Rebount</t>
  </si>
  <si>
    <t>Lokaal natuurkunde 27</t>
  </si>
  <si>
    <t>Praktijkruimte nat/schei</t>
  </si>
  <si>
    <t>Kabinet</t>
  </si>
  <si>
    <t>Lokaal natuurkunde 26</t>
  </si>
  <si>
    <t>0.37a</t>
  </si>
  <si>
    <t>Leslokaal 25</t>
  </si>
  <si>
    <t>Computerruimte</t>
  </si>
  <si>
    <t>Praktijklokaal 24</t>
  </si>
  <si>
    <t>Lokaal biologie 23</t>
  </si>
  <si>
    <t>Lokaal biologie 22</t>
  </si>
  <si>
    <t>Lokaal Scheikunde 21</t>
  </si>
  <si>
    <t>Keuken bij personeelskamer</t>
  </si>
  <si>
    <t>0.49</t>
  </si>
  <si>
    <t>Vergaderkamer</t>
  </si>
  <si>
    <t>Garderobe</t>
  </si>
  <si>
    <t>0.55a</t>
  </si>
  <si>
    <t>0.55b</t>
  </si>
  <si>
    <t>Wachtruimte zt</t>
  </si>
  <si>
    <t>Repro kluis</t>
  </si>
  <si>
    <t>Kantoor zorgteam</t>
  </si>
  <si>
    <t>Kantoor leerlingencoordinator</t>
  </si>
  <si>
    <t>Kantoor directie</t>
  </si>
  <si>
    <t>Praktijklokaal 001</t>
  </si>
  <si>
    <t>Praktijklokaal 002</t>
  </si>
  <si>
    <t>0.64</t>
  </si>
  <si>
    <t>Praktijklokaal 003</t>
  </si>
  <si>
    <t>0.66a</t>
  </si>
  <si>
    <t>Praktijklokaal 003/004</t>
  </si>
  <si>
    <t>Praktijklokaal 004</t>
  </si>
  <si>
    <t>0.67a</t>
  </si>
  <si>
    <t>0.67b</t>
  </si>
  <si>
    <t>Lokaal theorie 005</t>
  </si>
  <si>
    <t>0.70a</t>
  </si>
  <si>
    <t>Muzieklokaal 006</t>
  </si>
  <si>
    <t>Muzieklokaal Box A</t>
  </si>
  <si>
    <t>0.71b</t>
  </si>
  <si>
    <t>Muzieklokaal Box B</t>
  </si>
  <si>
    <t>0.71c</t>
  </si>
  <si>
    <t>Muzieklokaal Box C</t>
  </si>
  <si>
    <t>Tekenlokaal 007</t>
  </si>
  <si>
    <t>Kantoor RT</t>
  </si>
  <si>
    <t>Kantoor roostermaker</t>
  </si>
  <si>
    <t>Trappenhal</t>
  </si>
  <si>
    <t>1.01</t>
  </si>
  <si>
    <t>1.02a</t>
  </si>
  <si>
    <t>1.02b</t>
  </si>
  <si>
    <t>1.02c</t>
  </si>
  <si>
    <t>Kantoor AL</t>
  </si>
  <si>
    <t>Leslokaal 131</t>
  </si>
  <si>
    <t>1.05</t>
  </si>
  <si>
    <t>Leslokaal 130</t>
  </si>
  <si>
    <t>Leslokaal 129</t>
  </si>
  <si>
    <t>Leslokaal 128</t>
  </si>
  <si>
    <t>1.08a</t>
  </si>
  <si>
    <t>1.08b</t>
  </si>
  <si>
    <t>Leslokaal 127</t>
  </si>
  <si>
    <t>Leslokaal 126a</t>
  </si>
  <si>
    <t>Leslokaal 125</t>
  </si>
  <si>
    <t>Leslokaal 124</t>
  </si>
  <si>
    <t>1.15</t>
  </si>
  <si>
    <t>1.16</t>
  </si>
  <si>
    <t>Leslokaal 123</t>
  </si>
  <si>
    <t>1.17</t>
  </si>
  <si>
    <t>Leslokaal 122</t>
  </si>
  <si>
    <t>1.18</t>
  </si>
  <si>
    <t>Leslokaal 121</t>
  </si>
  <si>
    <t>1.19</t>
  </si>
  <si>
    <t>Mediatheek</t>
  </si>
  <si>
    <t>1.20</t>
  </si>
  <si>
    <t>1.21</t>
  </si>
  <si>
    <t>1.22</t>
  </si>
  <si>
    <t>1.23</t>
  </si>
  <si>
    <t>Kantoor systeembeheer</t>
  </si>
  <si>
    <t>1.25</t>
  </si>
  <si>
    <t>1.26</t>
  </si>
  <si>
    <t>1.27</t>
  </si>
  <si>
    <t>Docentenwerkruimte</t>
  </si>
  <si>
    <t>1.28a</t>
  </si>
  <si>
    <t>1.28b</t>
  </si>
  <si>
    <t>1.28c</t>
  </si>
  <si>
    <t>1.29</t>
  </si>
  <si>
    <t>Leslokaal 101</t>
  </si>
  <si>
    <t>1.30</t>
  </si>
  <si>
    <t>Leslokaal 102</t>
  </si>
  <si>
    <t>1.31</t>
  </si>
  <si>
    <t>Leslokaal 103</t>
  </si>
  <si>
    <t>1.32</t>
  </si>
  <si>
    <t>1.33</t>
  </si>
  <si>
    <t>1.34</t>
  </si>
  <si>
    <t>Leslokaal 104</t>
  </si>
  <si>
    <t>1.35</t>
  </si>
  <si>
    <t>Leslokaal 105</t>
  </si>
  <si>
    <t>1.36</t>
  </si>
  <si>
    <t>Leslokaal 106</t>
  </si>
  <si>
    <t>1.37</t>
  </si>
  <si>
    <t>1.38</t>
  </si>
  <si>
    <t>Leslokaal 107</t>
  </si>
  <si>
    <t>1.39</t>
  </si>
  <si>
    <t>1.39a</t>
  </si>
  <si>
    <t>1.40</t>
  </si>
  <si>
    <t>Leslokaal 108</t>
  </si>
  <si>
    <t>1.41</t>
  </si>
  <si>
    <t>Leslokaal 109</t>
  </si>
  <si>
    <t>1.42</t>
  </si>
  <si>
    <t>Leslokaal 110</t>
  </si>
  <si>
    <t>1.43</t>
  </si>
  <si>
    <t>Leslokaal 111</t>
  </si>
  <si>
    <t>1.44</t>
  </si>
  <si>
    <t>1.45a</t>
  </si>
  <si>
    <t>1.45b</t>
  </si>
  <si>
    <t>1.46</t>
  </si>
  <si>
    <t>Aula</t>
  </si>
  <si>
    <t>1.46a</t>
  </si>
  <si>
    <t>1.47</t>
  </si>
  <si>
    <t>Traphal noodtrap</t>
  </si>
  <si>
    <t>1.48</t>
  </si>
  <si>
    <t>1.55</t>
  </si>
  <si>
    <t>Omrekentabel t.b.v. Invultabel Objecten (niet afdrukken)</t>
  </si>
  <si>
    <t>DAGSOORT</t>
  </si>
  <si>
    <t>WERKSOORT</t>
  </si>
  <si>
    <t>FREQ DECIMAAL</t>
  </si>
  <si>
    <t>UURFACTOR</t>
  </si>
  <si>
    <t>KENGETAL</t>
  </si>
  <si>
    <t>TARIEF</t>
  </si>
  <si>
    <t xml:space="preserve">     105</t>
  </si>
  <si>
    <t xml:space="preserve">     106</t>
  </si>
  <si>
    <t xml:space="preserve">     107</t>
  </si>
  <si>
    <t>werkdag</t>
  </si>
  <si>
    <t>NAAM</t>
  </si>
  <si>
    <t>ADRES</t>
  </si>
  <si>
    <t>PLAATS</t>
  </si>
  <si>
    <t>BASIS UUR- TARIEF</t>
  </si>
  <si>
    <t>UREN/ UITVOERING</t>
  </si>
  <si>
    <t>UREN HOOG-FREQUENT/ UITVOERING</t>
  </si>
  <si>
    <t>PRIJS/ UITVOERING</t>
  </si>
  <si>
    <t>UREN HOOG-FREQUENT/ JAAR</t>
  </si>
  <si>
    <t>PRIJS/ JAAR (EURO)</t>
  </si>
  <si>
    <t>PRIJS/ MAAND (EURO)</t>
  </si>
  <si>
    <t>Varendonck College, Beatrixlaan</t>
  </si>
  <si>
    <t>Beatrixlaan 25</t>
  </si>
  <si>
    <t>ASTEN</t>
  </si>
  <si>
    <t>Varendonck College, Kanaalstraat 12</t>
  </si>
  <si>
    <t>Kanaalstraat 12</t>
  </si>
  <si>
    <t>SOMEREN</t>
  </si>
  <si>
    <t>Varendonck College , Kanaalstraat 14</t>
  </si>
  <si>
    <t>Kanaalstraat 14</t>
  </si>
  <si>
    <t>Totaal regulier werk incl. suppleties (excl. BTW)</t>
  </si>
  <si>
    <t>Totaal regulier werk incl. suppleties (incl. BTW)</t>
  </si>
  <si>
    <t>CODE</t>
  </si>
  <si>
    <t>FREQ (dagen)</t>
  </si>
  <si>
    <t>FUNCTIENAAM</t>
  </si>
  <si>
    <t>UURTARIEF (euro)</t>
  </si>
  <si>
    <t>PERC. VAN UREN/JAAR REGULIER WERK</t>
  </si>
  <si>
    <t>VASTE UREN/KEER (decimaal)</t>
  </si>
  <si>
    <t>UREN/ KEER</t>
  </si>
  <si>
    <t>PRIJS/ JAAR (euro)</t>
  </si>
  <si>
    <t>PRIJS/ MAAND (euro)</t>
  </si>
  <si>
    <t>&lt;invullen functie afh. van uren uitvoering per jaar&gt;</t>
  </si>
  <si>
    <t>&lt;invullen functie met vaste uren per dag&gt;</t>
  </si>
  <si>
    <t>Totaal 105 - Varendonck College, Beatrixlaan, Beatrixlaan 25, ASTEN</t>
  </si>
  <si>
    <t>Totaal 106 - Varendonck College, Kanaalstraat 12, Kanaalstraat 12, SOMEREN</t>
  </si>
  <si>
    <t>Totaal 107 - Varendonck College , Kanaalstraat 14, Kanaalstraat 14, SOMEREN</t>
  </si>
  <si>
    <t>Totaal niet-meewerkende objectleiding</t>
  </si>
  <si>
    <t>Totaal niet-meewerkende objectleiding (incl. BTW)</t>
  </si>
  <si>
    <t>Object</t>
  </si>
  <si>
    <t>Kostenplaats</t>
  </si>
  <si>
    <t>Naam</t>
  </si>
  <si>
    <t>Adres</t>
  </si>
  <si>
    <t>Plaats</t>
  </si>
  <si>
    <t>Oppervlakte in onderhoud</t>
  </si>
  <si>
    <t>Uren hoog-frequent/ jaar</t>
  </si>
  <si>
    <t xml:space="preserve">Uren/ jaar werkdag             </t>
  </si>
  <si>
    <t xml:space="preserve">Gemiddelde productienorm werkdag             </t>
  </si>
  <si>
    <t>Prijs uitvoerend/ jaar</t>
  </si>
  <si>
    <t>Uren leiding/ jaar</t>
  </si>
  <si>
    <t>Prijs leiding/ jaar</t>
  </si>
  <si>
    <t>Prijs met leiding/ jaar</t>
  </si>
  <si>
    <t>Prijs/ maand excl.BTW</t>
  </si>
  <si>
    <t>Prijs/ maand incl.BTW</t>
  </si>
  <si>
    <t>Prijs per m² per jaar</t>
  </si>
  <si>
    <t>TOTAAL</t>
  </si>
  <si>
    <t>BEURT</t>
  </si>
  <si>
    <t>STAFFEL</t>
  </si>
  <si>
    <t>PRIJS/ EENHEID (EURO)</t>
  </si>
  <si>
    <t>2000A</t>
  </si>
  <si>
    <t>Systeemkast/monitor reinigen</t>
  </si>
  <si>
    <t>prijs per stuk</t>
  </si>
  <si>
    <t>&lt; 25 stuks</t>
  </si>
  <si>
    <t>2000B</t>
  </si>
  <si>
    <t>25 tot 100 stuks</t>
  </si>
  <si>
    <t>2000C</t>
  </si>
  <si>
    <t>100 tot 500 stuks</t>
  </si>
  <si>
    <t>2000D</t>
  </si>
  <si>
    <t>&gt;= 500 stuks</t>
  </si>
  <si>
    <t>2010A</t>
  </si>
  <si>
    <t>Printer uitwendig reinigen</t>
  </si>
  <si>
    <t>2010B</t>
  </si>
  <si>
    <t>2010C</t>
  </si>
  <si>
    <t>2010D</t>
  </si>
  <si>
    <t>2020A</t>
  </si>
  <si>
    <t>Fax uitwendig reinigen</t>
  </si>
  <si>
    <t>2020B</t>
  </si>
  <si>
    <t>2020C</t>
  </si>
  <si>
    <t>2020D</t>
  </si>
  <si>
    <t>2030A</t>
  </si>
  <si>
    <t>Toetsenbord reinigen</t>
  </si>
  <si>
    <t>2030B</t>
  </si>
  <si>
    <t>2030C</t>
  </si>
  <si>
    <t>2030D</t>
  </si>
  <si>
    <t>3000A</t>
  </si>
  <si>
    <t>Lamellen (horizontaal) reinigen (alumin)</t>
  </si>
  <si>
    <t>prijs per m²</t>
  </si>
  <si>
    <t>&lt; 5 m²</t>
  </si>
  <si>
    <t>3000B</t>
  </si>
  <si>
    <t>5 &lt; 25 m²</t>
  </si>
  <si>
    <t>3000C</t>
  </si>
  <si>
    <t>25 &lt; 100 m²</t>
  </si>
  <si>
    <t>3000D</t>
  </si>
  <si>
    <t>&gt;=100 m²</t>
  </si>
  <si>
    <t>3010A</t>
  </si>
  <si>
    <t>Lamellen (verticaal) reinigen (alumin)</t>
  </si>
  <si>
    <t>3010B</t>
  </si>
  <si>
    <t>3010C</t>
  </si>
  <si>
    <t>3010D</t>
  </si>
  <si>
    <t>3020A</t>
  </si>
  <si>
    <t>Gordijnen reinigen</t>
  </si>
  <si>
    <t>3020B</t>
  </si>
  <si>
    <t>3020C</t>
  </si>
  <si>
    <t>3020D</t>
  </si>
  <si>
    <t>3030</t>
  </si>
  <si>
    <t>Graffiti verwijderen</t>
  </si>
  <si>
    <t>3040</t>
  </si>
  <si>
    <t>Graffiti verwijderen spec.</t>
  </si>
  <si>
    <t>prijs per uur</t>
  </si>
  <si>
    <t>4000A</t>
  </si>
  <si>
    <t>Vloer schrobben/waterzuigen</t>
  </si>
  <si>
    <t>&lt; 500 m²</t>
  </si>
  <si>
    <t>4000B</t>
  </si>
  <si>
    <t>500 &lt; 1000 m²</t>
  </si>
  <si>
    <t>4000C</t>
  </si>
  <si>
    <t>1000 &lt; 2000 m²</t>
  </si>
  <si>
    <t>4000D</t>
  </si>
  <si>
    <t>&gt;= 2000 m²</t>
  </si>
  <si>
    <t>4010A</t>
  </si>
  <si>
    <t>Sure step vloeren opwrijven</t>
  </si>
  <si>
    <t>4010B</t>
  </si>
  <si>
    <t>4010C</t>
  </si>
  <si>
    <t>4010D</t>
  </si>
  <si>
    <t>4020A</t>
  </si>
  <si>
    <t>Linoleum sprayen /opwrijven</t>
  </si>
  <si>
    <t>4020B</t>
  </si>
  <si>
    <t>4020C</t>
  </si>
  <si>
    <t>4020D</t>
  </si>
  <si>
    <t>4030A</t>
  </si>
  <si>
    <t>Linoleum vloeren strippen/conserveren</t>
  </si>
  <si>
    <t>4030B</t>
  </si>
  <si>
    <t>4030C</t>
  </si>
  <si>
    <t>4030D</t>
  </si>
  <si>
    <t>4040A</t>
  </si>
  <si>
    <t>Tapijt reinigen droge methode (Host)</t>
  </si>
  <si>
    <t>4040B</t>
  </si>
  <si>
    <t>4040C</t>
  </si>
  <si>
    <t>4040D</t>
  </si>
  <si>
    <t>4050A</t>
  </si>
  <si>
    <t>Tapijt reinigen op koolzuur basis</t>
  </si>
  <si>
    <t>4050B</t>
  </si>
  <si>
    <t>4050C</t>
  </si>
  <si>
    <t>4050D</t>
  </si>
  <si>
    <t>4060A</t>
  </si>
  <si>
    <t>Tapijt reinigen sproei/extractie methode</t>
  </si>
  <si>
    <t>4060B</t>
  </si>
  <si>
    <t>4060C</t>
  </si>
  <si>
    <t>4060D</t>
  </si>
  <si>
    <t>4070A</t>
  </si>
  <si>
    <t>Tapijt borstelzuigen</t>
  </si>
  <si>
    <t>4070B</t>
  </si>
  <si>
    <t>4070C</t>
  </si>
  <si>
    <t>4070D</t>
  </si>
  <si>
    <t>4080A</t>
  </si>
  <si>
    <t>Sanitair vloer reinigen d.m.v. "stomen"</t>
  </si>
  <si>
    <t>4080B</t>
  </si>
  <si>
    <t>4080C</t>
  </si>
  <si>
    <t>4080D</t>
  </si>
  <si>
    <t>Totaal afroep incidenteel excl. BTW</t>
  </si>
  <si>
    <t>FREQ (DAGEN)</t>
  </si>
  <si>
    <t>HOEVEELHEID /KEER</t>
  </si>
  <si>
    <t>UURTARIEF (EURO)</t>
  </si>
  <si>
    <t>NORM</t>
  </si>
  <si>
    <t>PRIJS/ KEER</t>
  </si>
  <si>
    <t>9000</t>
  </si>
  <si>
    <t>Medewerker regiewerkzaamheden</t>
  </si>
  <si>
    <t>9050</t>
  </si>
  <si>
    <t>Medewerker regiewerkzaamheden weekend</t>
  </si>
  <si>
    <t>9100</t>
  </si>
  <si>
    <t>Medewerker specialistische werkzaamheden</t>
  </si>
  <si>
    <t>Totaal regiewerk excl. BTW</t>
  </si>
  <si>
    <t>Soort werk</t>
  </si>
  <si>
    <t>Uren per jaar uitvoering</t>
  </si>
  <si>
    <t>Uren hoogfrequent per jaar uitvoering</t>
  </si>
  <si>
    <t>Uren per jaar leiding</t>
  </si>
  <si>
    <t>Bedrag per jaar excl. BTW (euro)</t>
  </si>
  <si>
    <t>Bedrag per jaar incl. BTW (euro)</t>
  </si>
  <si>
    <t>Regulier werk</t>
  </si>
  <si>
    <t>Objectleiding</t>
  </si>
  <si>
    <t>Regie (geschat)</t>
  </si>
  <si>
    <t>Totaal generaal</t>
  </si>
  <si>
    <t>Percentage objectleiding</t>
  </si>
  <si>
    <t>VERGELIJKINGSPRIJS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</si>
</sst>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2]\ * #,##0.00_-;_-[$€-2]\ * #,##0.00\-;_-[$€-2]\ * &quot;-&quot;??_-;_-@_-"/>
    <numFmt numFmtId="165" formatCode="#,##0.0000"/>
  </numFmts>
  <fonts count="2" x14ac:knownFonts="1">
    <font>
      <sz val="10"/>
      <color theme="1"/>
      <name val="Verdana"/>
      <family val="2"/>
    </font>
    <font>
      <b/>
      <sz val="1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7" xfId="0" applyFill="1" applyBorder="1"/>
    <xf numFmtId="0" fontId="0" fillId="2" borderId="8" xfId="0" applyFill="1" applyBorder="1"/>
    <xf numFmtId="49" fontId="0" fillId="3" borderId="6" xfId="0" applyNumberFormat="1" applyFill="1" applyBorder="1" applyAlignment="1">
      <alignment wrapText="1"/>
    </xf>
    <xf numFmtId="0" fontId="0" fillId="3" borderId="4" xfId="0" applyFill="1" applyBorder="1"/>
    <xf numFmtId="0" fontId="0" fillId="3" borderId="9" xfId="0" applyFill="1" applyBorder="1"/>
    <xf numFmtId="0" fontId="0" fillId="3" borderId="5" xfId="0" applyFill="1" applyBorder="1"/>
    <xf numFmtId="0" fontId="0" fillId="3" borderId="7" xfId="0" applyFill="1" applyBorder="1"/>
    <xf numFmtId="0" fontId="0" fillId="3" borderId="13" xfId="0" applyFill="1" applyBorder="1"/>
    <xf numFmtId="0" fontId="0" fillId="3" borderId="8" xfId="0" applyFill="1" applyBorder="1"/>
    <xf numFmtId="49" fontId="0" fillId="2" borderId="14" xfId="0" applyNumberFormat="1" applyFill="1" applyBorder="1"/>
    <xf numFmtId="1" fontId="0" fillId="2" borderId="14" xfId="0" applyNumberFormat="1" applyFill="1" applyBorder="1"/>
    <xf numFmtId="4" fontId="0" fillId="0" borderId="14" xfId="0" applyNumberFormat="1" applyBorder="1" applyProtection="1">
      <protection locked="0"/>
    </xf>
    <xf numFmtId="10" fontId="0" fillId="0" borderId="14" xfId="0" applyNumberFormat="1" applyBorder="1" applyProtection="1">
      <protection locked="0"/>
    </xf>
    <xf numFmtId="164" fontId="0" fillId="0" borderId="14" xfId="0" applyNumberFormat="1" applyBorder="1" applyProtection="1">
      <protection locked="0"/>
    </xf>
    <xf numFmtId="49" fontId="0" fillId="2" borderId="15" xfId="0" applyNumberFormat="1" applyFill="1" applyBorder="1"/>
    <xf numFmtId="1" fontId="0" fillId="2" borderId="15" xfId="0" applyNumberFormat="1" applyFill="1" applyBorder="1"/>
    <xf numFmtId="4" fontId="0" fillId="0" borderId="15" xfId="0" applyNumberFormat="1" applyBorder="1" applyProtection="1">
      <protection locked="0"/>
    </xf>
    <xf numFmtId="10" fontId="0" fillId="0" borderId="15" xfId="0" applyNumberFormat="1" applyBorder="1" applyProtection="1">
      <protection locked="0"/>
    </xf>
    <xf numFmtId="164" fontId="0" fillId="0" borderId="15" xfId="0" applyNumberFormat="1" applyBorder="1" applyProtection="1">
      <protection locked="0"/>
    </xf>
    <xf numFmtId="49" fontId="0" fillId="2" borderId="16" xfId="0" applyNumberFormat="1" applyFill="1" applyBorder="1"/>
    <xf numFmtId="1" fontId="0" fillId="2" borderId="16" xfId="0" applyNumberFormat="1" applyFill="1" applyBorder="1"/>
    <xf numFmtId="4" fontId="0" fillId="0" borderId="16" xfId="0" applyNumberFormat="1" applyBorder="1" applyProtection="1">
      <protection locked="0"/>
    </xf>
    <xf numFmtId="10" fontId="0" fillId="0" borderId="16" xfId="0" applyNumberFormat="1" applyBorder="1" applyProtection="1">
      <protection locked="0"/>
    </xf>
    <xf numFmtId="164" fontId="0" fillId="0" borderId="16" xfId="0" applyNumberFormat="1" applyBorder="1" applyProtection="1">
      <protection locked="0"/>
    </xf>
    <xf numFmtId="4" fontId="0" fillId="2" borderId="14" xfId="0" applyNumberFormat="1" applyFill="1" applyBorder="1"/>
    <xf numFmtId="165" fontId="0" fillId="2" borderId="14" xfId="0" applyNumberFormat="1" applyFill="1" applyBorder="1"/>
    <xf numFmtId="10" fontId="0" fillId="2" borderId="14" xfId="0" applyNumberFormat="1" applyFill="1" applyBorder="1"/>
    <xf numFmtId="164" fontId="0" fillId="2" borderId="14" xfId="0" applyNumberFormat="1" applyFill="1" applyBorder="1"/>
    <xf numFmtId="4" fontId="0" fillId="2" borderId="15" xfId="0" applyNumberFormat="1" applyFill="1" applyBorder="1"/>
    <xf numFmtId="165" fontId="0" fillId="2" borderId="15" xfId="0" applyNumberFormat="1" applyFill="1" applyBorder="1"/>
    <xf numFmtId="10" fontId="0" fillId="2" borderId="15" xfId="0" applyNumberFormat="1" applyFill="1" applyBorder="1"/>
    <xf numFmtId="164" fontId="0" fillId="2" borderId="15" xfId="0" applyNumberFormat="1" applyFill="1" applyBorder="1"/>
    <xf numFmtId="4" fontId="0" fillId="2" borderId="16" xfId="0" applyNumberFormat="1" applyFill="1" applyBorder="1"/>
    <xf numFmtId="165" fontId="0" fillId="0" borderId="16" xfId="0" applyNumberFormat="1" applyBorder="1" applyProtection="1">
      <protection locked="0"/>
    </xf>
    <xf numFmtId="164" fontId="0" fillId="2" borderId="16" xfId="0" applyNumberFormat="1" applyFill="1" applyBorder="1"/>
    <xf numFmtId="0" fontId="0" fillId="3" borderId="18" xfId="0" applyFill="1" applyBorder="1"/>
    <xf numFmtId="49" fontId="0" fillId="3" borderId="10" xfId="0" applyNumberFormat="1" applyFill="1" applyBorder="1"/>
    <xf numFmtId="0" fontId="0" fillId="3" borderId="11" xfId="0" applyFill="1" applyBorder="1"/>
    <xf numFmtId="4" fontId="0" fillId="3" borderId="6" xfId="0" applyNumberFormat="1" applyFill="1" applyBorder="1"/>
    <xf numFmtId="164" fontId="0" fillId="3" borderId="6" xfId="0" applyNumberFormat="1" applyFill="1" applyBorder="1"/>
    <xf numFmtId="164" fontId="0" fillId="3" borderId="17" xfId="0" applyNumberFormat="1" applyFill="1" applyBorder="1"/>
    <xf numFmtId="0" fontId="0" fillId="3" borderId="10" xfId="0" applyFill="1" applyBorder="1"/>
    <xf numFmtId="0" fontId="0" fillId="3" borderId="19" xfId="0" applyFill="1" applyBorder="1"/>
    <xf numFmtId="49" fontId="0" fillId="3" borderId="20" xfId="0" applyNumberFormat="1" applyFill="1" applyBorder="1" applyAlignment="1">
      <alignment wrapText="1"/>
    </xf>
    <xf numFmtId="49" fontId="0" fillId="3" borderId="17" xfId="0" applyNumberFormat="1" applyFill="1" applyBorder="1" applyAlignment="1">
      <alignment wrapText="1"/>
    </xf>
    <xf numFmtId="0" fontId="0" fillId="3" borderId="21" xfId="0" applyFill="1" applyBorder="1"/>
    <xf numFmtId="49" fontId="0" fillId="2" borderId="23" xfId="0" applyNumberFormat="1" applyFill="1" applyBorder="1"/>
    <xf numFmtId="49" fontId="0" fillId="2" borderId="24" xfId="0" applyNumberFormat="1" applyFill="1" applyBorder="1"/>
    <xf numFmtId="49" fontId="0" fillId="2" borderId="24" xfId="0" applyNumberFormat="1" applyFill="1" applyBorder="1" applyAlignment="1">
      <alignment wrapText="1"/>
    </xf>
    <xf numFmtId="4" fontId="0" fillId="2" borderId="24" xfId="0" applyNumberFormat="1" applyFill="1" applyBorder="1"/>
    <xf numFmtId="165" fontId="0" fillId="2" borderId="24" xfId="0" applyNumberFormat="1" applyFill="1" applyBorder="1"/>
    <xf numFmtId="10" fontId="0" fillId="2" borderId="24" xfId="0" applyNumberFormat="1" applyFill="1" applyBorder="1"/>
    <xf numFmtId="164" fontId="0" fillId="2" borderId="24" xfId="0" applyNumberFormat="1" applyFill="1" applyBorder="1"/>
    <xf numFmtId="164" fontId="0" fillId="2" borderId="25" xfId="0" applyNumberFormat="1" applyFill="1" applyBorder="1"/>
    <xf numFmtId="49" fontId="0" fillId="2" borderId="26" xfId="0" applyNumberFormat="1" applyFill="1" applyBorder="1"/>
    <xf numFmtId="49" fontId="0" fillId="2" borderId="27" xfId="0" applyNumberFormat="1" applyFill="1" applyBorder="1"/>
    <xf numFmtId="49" fontId="0" fillId="2" borderId="27" xfId="0" applyNumberFormat="1" applyFill="1" applyBorder="1" applyAlignment="1">
      <alignment wrapText="1"/>
    </xf>
    <xf numFmtId="4" fontId="0" fillId="2" borderId="27" xfId="0" applyNumberFormat="1" applyFill="1" applyBorder="1"/>
    <xf numFmtId="165" fontId="0" fillId="2" borderId="27" xfId="0" applyNumberFormat="1" applyFill="1" applyBorder="1"/>
    <xf numFmtId="10" fontId="0" fillId="2" borderId="27" xfId="0" applyNumberFormat="1" applyFill="1" applyBorder="1"/>
    <xf numFmtId="164" fontId="0" fillId="2" borderId="27" xfId="0" applyNumberFormat="1" applyFill="1" applyBorder="1"/>
    <xf numFmtId="164" fontId="0" fillId="2" borderId="28" xfId="0" applyNumberFormat="1" applyFill="1" applyBorder="1"/>
    <xf numFmtId="49" fontId="0" fillId="2" borderId="29" xfId="0" applyNumberFormat="1" applyFill="1" applyBorder="1"/>
    <xf numFmtId="49" fontId="0" fillId="2" borderId="30" xfId="0" applyNumberFormat="1" applyFill="1" applyBorder="1"/>
    <xf numFmtId="49" fontId="0" fillId="2" borderId="30" xfId="0" applyNumberFormat="1" applyFill="1" applyBorder="1" applyAlignment="1">
      <alignment wrapText="1"/>
    </xf>
    <xf numFmtId="4" fontId="0" fillId="2" borderId="30" xfId="0" applyNumberFormat="1" applyFill="1" applyBorder="1"/>
    <xf numFmtId="165" fontId="0" fillId="2" borderId="30" xfId="0" applyNumberFormat="1" applyFill="1" applyBorder="1"/>
    <xf numFmtId="10" fontId="0" fillId="2" borderId="30" xfId="0" applyNumberFormat="1" applyFill="1" applyBorder="1"/>
    <xf numFmtId="164" fontId="0" fillId="2" borderId="30" xfId="0" applyNumberFormat="1" applyFill="1" applyBorder="1"/>
    <xf numFmtId="164" fontId="0" fillId="2" borderId="31" xfId="0" applyNumberFormat="1" applyFill="1" applyBorder="1"/>
    <xf numFmtId="49" fontId="0" fillId="3" borderId="32" xfId="0" applyNumberFormat="1" applyFill="1" applyBorder="1"/>
    <xf numFmtId="49" fontId="0" fillId="3" borderId="3" xfId="0" applyNumberFormat="1" applyFill="1" applyBorder="1"/>
    <xf numFmtId="0" fontId="0" fillId="3" borderId="22" xfId="0" applyFill="1" applyBorder="1"/>
    <xf numFmtId="49" fontId="0" fillId="3" borderId="22" xfId="0" applyNumberFormat="1" applyFill="1" applyBorder="1"/>
    <xf numFmtId="10" fontId="0" fillId="2" borderId="16" xfId="0" applyNumberFormat="1" applyFill="1" applyBorder="1"/>
    <xf numFmtId="0" fontId="0" fillId="3" borderId="6" xfId="0" applyFill="1" applyBorder="1"/>
    <xf numFmtId="49" fontId="0" fillId="4" borderId="14" xfId="0" applyNumberFormat="1" applyFill="1" applyBorder="1" applyProtection="1">
      <protection locked="0"/>
    </xf>
    <xf numFmtId="164" fontId="0" fillId="4" borderId="14" xfId="0" applyNumberFormat="1" applyFill="1" applyBorder="1" applyProtection="1">
      <protection locked="0"/>
    </xf>
    <xf numFmtId="49" fontId="0" fillId="4" borderId="15" xfId="0" applyNumberFormat="1" applyFill="1" applyBorder="1" applyProtection="1">
      <protection locked="0"/>
    </xf>
    <xf numFmtId="164" fontId="0" fillId="4" borderId="15" xfId="0" applyNumberFormat="1" applyFill="1" applyBorder="1" applyProtection="1">
      <protection locked="0"/>
    </xf>
    <xf numFmtId="49" fontId="0" fillId="4" borderId="16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0" fontId="0" fillId="0" borderId="4" xfId="0" applyBorder="1"/>
    <xf numFmtId="0" fontId="0" fillId="0" borderId="9" xfId="0" applyBorder="1"/>
    <xf numFmtId="0" fontId="0" fillId="0" borderId="5" xfId="0" applyBorder="1"/>
    <xf numFmtId="0" fontId="0" fillId="3" borderId="7" xfId="0" applyFill="1" applyBorder="1" applyAlignment="1"/>
    <xf numFmtId="1" fontId="0" fillId="0" borderId="14" xfId="0" applyNumberFormat="1" applyBorder="1"/>
    <xf numFmtId="49" fontId="0" fillId="0" borderId="14" xfId="0" applyNumberFormat="1" applyBorder="1"/>
    <xf numFmtId="4" fontId="0" fillId="3" borderId="14" xfId="0" applyNumberFormat="1" applyFill="1" applyBorder="1"/>
    <xf numFmtId="1" fontId="0" fillId="0" borderId="15" xfId="0" applyNumberFormat="1" applyBorder="1"/>
    <xf numFmtId="49" fontId="0" fillId="0" borderId="15" xfId="0" applyNumberFormat="1" applyBorder="1"/>
    <xf numFmtId="4" fontId="0" fillId="3" borderId="15" xfId="0" applyNumberFormat="1" applyFill="1" applyBorder="1"/>
    <xf numFmtId="10" fontId="0" fillId="3" borderId="15" xfId="0" applyNumberFormat="1" applyFill="1" applyBorder="1"/>
    <xf numFmtId="1" fontId="0" fillId="0" borderId="16" xfId="0" applyNumberFormat="1" applyBorder="1"/>
    <xf numFmtId="49" fontId="0" fillId="0" borderId="16" xfId="0" applyNumberFormat="1" applyBorder="1"/>
    <xf numFmtId="10" fontId="0" fillId="3" borderId="16" xfId="0" applyNumberFormat="1" applyFill="1" applyBorder="1"/>
    <xf numFmtId="49" fontId="0" fillId="3" borderId="10" xfId="0" applyNumberFormat="1" applyFill="1" applyBorder="1" applyAlignment="1"/>
    <xf numFmtId="49" fontId="0" fillId="3" borderId="14" xfId="0" applyNumberFormat="1" applyFill="1" applyBorder="1" applyAlignment="1">
      <alignment wrapText="1"/>
    </xf>
    <xf numFmtId="49" fontId="0" fillId="3" borderId="15" xfId="0" applyNumberFormat="1" applyFill="1" applyBorder="1" applyAlignment="1">
      <alignment wrapText="1"/>
    </xf>
    <xf numFmtId="49" fontId="0" fillId="3" borderId="16" xfId="0" applyNumberFormat="1" applyFill="1" applyBorder="1" applyAlignment="1">
      <alignment wrapText="1"/>
    </xf>
    <xf numFmtId="0" fontId="0" fillId="3" borderId="12" xfId="0" applyFill="1" applyBorder="1"/>
    <xf numFmtId="49" fontId="0" fillId="3" borderId="14" xfId="0" applyNumberFormat="1" applyFill="1" applyBorder="1"/>
    <xf numFmtId="49" fontId="0" fillId="3" borderId="15" xfId="0" applyNumberFormat="1" applyFill="1" applyBorder="1"/>
    <xf numFmtId="0" fontId="0" fillId="3" borderId="15" xfId="0" applyFill="1" applyBorder="1"/>
    <xf numFmtId="4" fontId="0" fillId="4" borderId="14" xfId="0" applyNumberFormat="1" applyFill="1" applyBorder="1" applyProtection="1">
      <protection locked="0"/>
    </xf>
    <xf numFmtId="4" fontId="0" fillId="3" borderId="14" xfId="0" applyNumberFormat="1" applyFill="1" applyBorder="1" applyProtection="1">
      <protection locked="0"/>
    </xf>
    <xf numFmtId="4" fontId="0" fillId="4" borderId="15" xfId="0" applyNumberFormat="1" applyFill="1" applyBorder="1" applyProtection="1">
      <protection locked="0"/>
    </xf>
    <xf numFmtId="4" fontId="0" fillId="3" borderId="15" xfId="0" applyNumberFormat="1" applyFill="1" applyBorder="1" applyProtection="1">
      <protection locked="0"/>
    </xf>
    <xf numFmtId="4" fontId="0" fillId="4" borderId="16" xfId="0" applyNumberFormat="1" applyFill="1" applyBorder="1" applyProtection="1">
      <protection locked="0"/>
    </xf>
    <xf numFmtId="4" fontId="0" fillId="3" borderId="16" xfId="0" applyNumberFormat="1" applyFill="1" applyBorder="1" applyProtection="1">
      <protection locked="0"/>
    </xf>
    <xf numFmtId="164" fontId="0" fillId="3" borderId="12" xfId="0" applyNumberFormat="1" applyFill="1" applyBorder="1"/>
    <xf numFmtId="4" fontId="0" fillId="3" borderId="16" xfId="0" applyNumberFormat="1" applyFill="1" applyBorder="1"/>
    <xf numFmtId="10" fontId="0" fillId="3" borderId="6" xfId="0" applyNumberFormat="1" applyFill="1" applyBorder="1"/>
    <xf numFmtId="49" fontId="1" fillId="3" borderId="6" xfId="0" applyNumberFormat="1" applyFont="1" applyFill="1" applyBorder="1"/>
    <xf numFmtId="164" fontId="1" fillId="2" borderId="6" xfId="0" applyNumberFormat="1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EBF14-7158-4E6C-BD0C-F6B72F6874DB}">
  <dimension ref="A1:H30"/>
  <sheetViews>
    <sheetView workbookViewId="0"/>
  </sheetViews>
  <sheetFormatPr defaultRowHeight="12.6" x14ac:dyDescent="0.2"/>
  <sheetData>
    <row r="1" spans="1:8" x14ac:dyDescent="0.2">
      <c r="A1" s="1" t="s">
        <v>0</v>
      </c>
    </row>
    <row r="3" spans="1:8" x14ac:dyDescent="0.2">
      <c r="A3" t="s">
        <v>1</v>
      </c>
    </row>
    <row r="5" spans="1:8" x14ac:dyDescent="0.2">
      <c r="A5" t="s">
        <v>2</v>
      </c>
      <c r="B5" t="s">
        <v>3</v>
      </c>
    </row>
    <row r="7" spans="1:8" x14ac:dyDescent="0.2">
      <c r="A7" s="4" t="s">
        <v>4</v>
      </c>
      <c r="B7" s="5"/>
      <c r="D7" s="4" t="s">
        <v>27</v>
      </c>
      <c r="E7" s="5"/>
      <c r="G7" s="4" t="s">
        <v>28</v>
      </c>
      <c r="H7" s="5"/>
    </row>
    <row r="8" spans="1:8" x14ac:dyDescent="0.2">
      <c r="A8" s="2"/>
      <c r="B8" s="3"/>
      <c r="D8" s="2"/>
      <c r="E8" s="3"/>
      <c r="G8" s="2"/>
      <c r="H8" s="3"/>
    </row>
    <row r="9" spans="1:8" x14ac:dyDescent="0.2">
      <c r="A9" s="2" t="s">
        <v>5</v>
      </c>
      <c r="B9" s="3">
        <v>255</v>
      </c>
      <c r="D9" s="2" t="s">
        <v>5</v>
      </c>
      <c r="E9" s="3">
        <v>8</v>
      </c>
      <c r="G9" s="2" t="s">
        <v>5</v>
      </c>
      <c r="H9" s="3">
        <v>102</v>
      </c>
    </row>
    <row r="10" spans="1:8" x14ac:dyDescent="0.2">
      <c r="A10" s="2" t="s">
        <v>6</v>
      </c>
      <c r="B10" s="3">
        <v>5</v>
      </c>
      <c r="D10" s="2" t="s">
        <v>6</v>
      </c>
      <c r="E10" s="3">
        <v>1</v>
      </c>
      <c r="G10" s="2" t="s">
        <v>6</v>
      </c>
      <c r="H10" s="3">
        <v>2</v>
      </c>
    </row>
    <row r="11" spans="1:8" x14ac:dyDescent="0.2">
      <c r="A11" s="2"/>
      <c r="B11" s="3"/>
      <c r="D11" s="2"/>
      <c r="E11" s="3"/>
      <c r="G11" s="2"/>
      <c r="H11" s="3"/>
    </row>
    <row r="12" spans="1:8" x14ac:dyDescent="0.2">
      <c r="A12" s="2" t="s">
        <v>7</v>
      </c>
      <c r="B12" s="3" t="s">
        <v>8</v>
      </c>
      <c r="D12" s="2" t="s">
        <v>7</v>
      </c>
      <c r="E12" s="3" t="s">
        <v>8</v>
      </c>
      <c r="G12" s="2" t="s">
        <v>7</v>
      </c>
      <c r="H12" s="3" t="s">
        <v>8</v>
      </c>
    </row>
    <row r="13" spans="1:8" x14ac:dyDescent="0.2">
      <c r="A13" s="2" t="s">
        <v>9</v>
      </c>
      <c r="B13" s="3">
        <f>IF(A13="2½W",2.5/dagenperweek1,IF(RIGHT(A13,1)="W",VALUE(LEFT(A13,LEN(A13)-1))/dagenperweek1,IF(RIGHT(A13,1)="J",VALUE(LEFT(A13,LEN(A13)-1))/dagenperjaar1,"handmatig!")))</f>
        <v>1</v>
      </c>
      <c r="D13" s="2" t="s">
        <v>9</v>
      </c>
      <c r="E13" s="3">
        <f>IF(D13="2½W",2.5/dagenperweek2,IF(RIGHT(D13,1)="W",VALUE(LEFT(D13,LEN(D13)-1))/dagenperweek2,IF(RIGHT(D13,1)="J",VALUE(LEFT(D13,LEN(D13)-1))/dagenperjaar2,"handmatig!")))</f>
        <v>5</v>
      </c>
      <c r="G13" s="2" t="s">
        <v>16</v>
      </c>
      <c r="H13" s="3">
        <f>IF(G13="2½W",2.5/dagenperweek3,IF(RIGHT(G13,1)="W",VALUE(LEFT(G13,LEN(G13)-1))/dagenperweek3,IF(RIGHT(G13,1)="J",VALUE(LEFT(G13,LEN(G13)-1))/dagenperjaar3,"handmatig!")))</f>
        <v>1</v>
      </c>
    </row>
    <row r="14" spans="1:8" x14ac:dyDescent="0.2">
      <c r="A14" s="2" t="s">
        <v>10</v>
      </c>
      <c r="B14" s="3">
        <f>IF(A14="2½W",2.5/dagenperweek1,IF(RIGHT(A14,1)="W",VALUE(LEFT(A14,LEN(A14)-1))/dagenperweek1,IF(RIGHT(A14,1)="J",VALUE(LEFT(A14,LEN(A14)-1))/dagenperjaar1,"handmatig!")))</f>
        <v>0.88235294117647056</v>
      </c>
      <c r="D14" s="2" t="s">
        <v>13</v>
      </c>
      <c r="E14" s="3">
        <f>IF(D14="2½W",2.5/dagenperweek2,IF(RIGHT(D14,1)="W",VALUE(LEFT(D14,LEN(D14)-1))/dagenperweek2,IF(RIGHT(D14,1)="J",VALUE(LEFT(D14,LEN(D14)-1))/dagenperjaar2,"handmatig!")))</f>
        <v>4</v>
      </c>
      <c r="G14" s="6" t="s">
        <v>17</v>
      </c>
      <c r="H14" s="7">
        <f>IF(G14="2½W",2.5/dagenperweek3,IF(RIGHT(G14,1)="W",VALUE(LEFT(G14,LEN(G14)-1))/dagenperweek3,IF(RIGHT(G14,1)="J",VALUE(LEFT(G14,LEN(G14)-1))/dagenperjaar3,"handmatig!")))</f>
        <v>0.5</v>
      </c>
    </row>
    <row r="15" spans="1:8" x14ac:dyDescent="0.2">
      <c r="A15" s="2" t="s">
        <v>11</v>
      </c>
      <c r="B15" s="3">
        <f>IF(A15="2½W",2.5/dagenperweek1,IF(RIGHT(A15,1)="W",VALUE(LEFT(A15,LEN(A15)-1))/dagenperweek1,IF(RIGHT(A15,1)="J",VALUE(LEFT(A15,LEN(A15)-1))/dagenperjaar1,"handmatig!")))</f>
        <v>0.82352941176470584</v>
      </c>
      <c r="D15" s="2" t="s">
        <v>15</v>
      </c>
      <c r="E15" s="3">
        <f>IF(D15="2½W",2.5/dagenperweek2,IF(RIGHT(D15,1)="W",VALUE(LEFT(D15,LEN(D15)-1))/dagenperweek2,IF(RIGHT(D15,1)="J",VALUE(LEFT(D15,LEN(D15)-1))/dagenperjaar2,"handmatig!")))</f>
        <v>3</v>
      </c>
    </row>
    <row r="16" spans="1:8" x14ac:dyDescent="0.2">
      <c r="A16" s="2" t="s">
        <v>12</v>
      </c>
      <c r="B16" s="3">
        <f>IF(A16="2½W",2.5/dagenperweek1,IF(RIGHT(A16,1)="W",VALUE(LEFT(A16,LEN(A16)-1))/dagenperweek1,IF(RIGHT(A16,1)="J",VALUE(LEFT(A16,LEN(A16)-1))/dagenperjaar1,"handmatig!")))</f>
        <v>0.80392156862745101</v>
      </c>
      <c r="D16" s="2" t="s">
        <v>16</v>
      </c>
      <c r="E16" s="3">
        <f>IF(D16="2½W",2.5/dagenperweek2,IF(RIGHT(D16,1)="W",VALUE(LEFT(D16,LEN(D16)-1))/dagenperweek2,IF(RIGHT(D16,1)="J",VALUE(LEFT(D16,LEN(D16)-1))/dagenperjaar2,"handmatig!")))</f>
        <v>2</v>
      </c>
    </row>
    <row r="17" spans="1:5" x14ac:dyDescent="0.2">
      <c r="A17" s="2" t="s">
        <v>13</v>
      </c>
      <c r="B17" s="3">
        <f>IF(A17="2½W",2.5/dagenperweek1,IF(RIGHT(A17,1)="W",VALUE(LEFT(A17,LEN(A17)-1))/dagenperweek1,IF(RIGHT(A17,1)="J",VALUE(LEFT(A17,LEN(A17)-1))/dagenperjaar1,"handmatig!")))</f>
        <v>0.8</v>
      </c>
      <c r="D17" s="2" t="s">
        <v>17</v>
      </c>
      <c r="E17" s="3">
        <f>IF(D17="2½W",2.5/dagenperweek2,IF(RIGHT(D17,1)="W",VALUE(LEFT(D17,LEN(D17)-1))/dagenperweek2,IF(RIGHT(D17,1)="J",VALUE(LEFT(D17,LEN(D17)-1))/dagenperjaar2,"handmatig!")))</f>
        <v>1</v>
      </c>
    </row>
    <row r="18" spans="1:5" x14ac:dyDescent="0.2">
      <c r="A18" s="2" t="s">
        <v>14</v>
      </c>
      <c r="B18" s="3">
        <f>IF(A18="2½W",2.5/dagenperweek1,IF(RIGHT(A18,1)="W",VALUE(LEFT(A18,LEN(A18)-1))/dagenperweek1,IF(RIGHT(A18,1)="J",VALUE(LEFT(A18,LEN(A18)-1))/dagenperjaar1,"handmatig!")))</f>
        <v>0.78431372549019607</v>
      </c>
      <c r="D18" s="2" t="s">
        <v>20</v>
      </c>
      <c r="E18" s="3">
        <f>IF(D18="2½W",2.5/dagenperweek2,IF(RIGHT(D18,1)="W",VALUE(LEFT(D18,LEN(D18)-1))/dagenperweek2,IF(RIGHT(D18,1)="J",VALUE(LEFT(D18,LEN(D18)-1))/dagenperjaar2,"handmatig!")))</f>
        <v>3.25</v>
      </c>
    </row>
    <row r="19" spans="1:5" x14ac:dyDescent="0.2">
      <c r="A19" s="2" t="s">
        <v>15</v>
      </c>
      <c r="B19" s="3">
        <f>IF(A19="2½W",2.5/dagenperweek1,IF(RIGHT(A19,1)="W",VALUE(LEFT(A19,LEN(A19)-1))/dagenperweek1,IF(RIGHT(A19,1)="J",VALUE(LEFT(A19,LEN(A19)-1))/dagenperjaar1,"handmatig!")))</f>
        <v>0.6</v>
      </c>
      <c r="D19" s="2" t="s">
        <v>21</v>
      </c>
      <c r="E19" s="3">
        <f>IF(D19="2½W",2.5/dagenperweek2,IF(RIGHT(D19,1)="W",VALUE(LEFT(D19,LEN(D19)-1))/dagenperweek2,IF(RIGHT(D19,1)="J",VALUE(LEFT(D19,LEN(D19)-1))/dagenperjaar2,"handmatig!")))</f>
        <v>1.5</v>
      </c>
    </row>
    <row r="20" spans="1:5" x14ac:dyDescent="0.2">
      <c r="A20" s="2" t="s">
        <v>16</v>
      </c>
      <c r="B20" s="3">
        <f>IF(A20="2½W",2.5/dagenperweek1,IF(RIGHT(A20,1)="W",VALUE(LEFT(A20,LEN(A20)-1))/dagenperweek1,IF(RIGHT(A20,1)="J",VALUE(LEFT(A20,LEN(A20)-1))/dagenperjaar1,"handmatig!")))</f>
        <v>0.4</v>
      </c>
      <c r="D20" s="2" t="s">
        <v>22</v>
      </c>
      <c r="E20" s="3">
        <f>IF(D20="2½W",2.5/dagenperweek2,IF(RIGHT(D20,1)="W",VALUE(LEFT(D20,LEN(D20)-1))/dagenperweek2,IF(RIGHT(D20,1)="J",VALUE(LEFT(D20,LEN(D20)-1))/dagenperjaar2,"handmatig!")))</f>
        <v>0.75</v>
      </c>
    </row>
    <row r="21" spans="1:5" x14ac:dyDescent="0.2">
      <c r="A21" s="2" t="s">
        <v>17</v>
      </c>
      <c r="B21" s="3">
        <f>IF(A21="2½W",2.5/dagenperweek1,IF(RIGHT(A21,1)="W",VALUE(LEFT(A21,LEN(A21)-1))/dagenperweek1,IF(RIGHT(A21,1)="J",VALUE(LEFT(A21,LEN(A21)-1))/dagenperjaar1,"handmatig!")))</f>
        <v>0.2</v>
      </c>
      <c r="D21" s="2" t="s">
        <v>23</v>
      </c>
      <c r="E21" s="3">
        <f>IF(D21="2½W",2.5/dagenperweek2,IF(RIGHT(D21,1)="W",VALUE(LEFT(D21,LEN(D21)-1))/dagenperweek2,IF(RIGHT(D21,1)="J",VALUE(LEFT(D21,LEN(D21)-1))/dagenperjaar2,"handmatig!")))</f>
        <v>0.5</v>
      </c>
    </row>
    <row r="22" spans="1:5" x14ac:dyDescent="0.2">
      <c r="A22" s="2" t="s">
        <v>18</v>
      </c>
      <c r="B22" s="3">
        <f>IF(A22="2½W",2.5/dagenperweek1,IF(RIGHT(A22,1)="W",VALUE(LEFT(A22,LEN(A22)-1))/dagenperweek1,IF(RIGHT(A22,1)="J",VALUE(LEFT(A22,LEN(A22)-1))/dagenperjaar1,"handmatig!")))</f>
        <v>0.17647058823529413</v>
      </c>
      <c r="D22" s="2" t="s">
        <v>24</v>
      </c>
      <c r="E22" s="3">
        <f>IF(D22="2½W",2.5/dagenperweek2,IF(RIGHT(D22,1)="W",VALUE(LEFT(D22,LEN(D22)-1))/dagenperweek2,IF(RIGHT(D22,1)="J",VALUE(LEFT(D22,LEN(D22)-1))/dagenperjaar2,"handmatig!")))</f>
        <v>0.375</v>
      </c>
    </row>
    <row r="23" spans="1:5" x14ac:dyDescent="0.2">
      <c r="A23" s="2" t="s">
        <v>19</v>
      </c>
      <c r="B23" s="3">
        <f>IF(A23="2½W",2.5/dagenperweek1,IF(RIGHT(A23,1)="W",VALUE(LEFT(A23,LEN(A23)-1))/dagenperweek1,IF(RIGHT(A23,1)="J",VALUE(LEFT(A23,LEN(A23)-1))/dagenperjaar1,"handmatig!")))</f>
        <v>0.16078431372549021</v>
      </c>
      <c r="D23" s="2" t="s">
        <v>25</v>
      </c>
      <c r="E23" s="3">
        <f>IF(D23="2½W",2.5/dagenperweek2,IF(RIGHT(D23,1)="W",VALUE(LEFT(D23,LEN(D23)-1))/dagenperweek2,IF(RIGHT(D23,1)="J",VALUE(LEFT(D23,LEN(D23)-1))/dagenperjaar2,"handmatig!")))</f>
        <v>0.25</v>
      </c>
    </row>
    <row r="24" spans="1:5" x14ac:dyDescent="0.2">
      <c r="A24" s="2" t="s">
        <v>20</v>
      </c>
      <c r="B24" s="3">
        <f>IF(A24="2½W",2.5/dagenperweek1,IF(RIGHT(A24,1)="W",VALUE(LEFT(A24,LEN(A24)-1))/dagenperweek1,IF(RIGHT(A24,1)="J",VALUE(LEFT(A24,LEN(A24)-1))/dagenperjaar1,"handmatig!")))</f>
        <v>0.10196078431372549</v>
      </c>
      <c r="D24" s="6" t="s">
        <v>26</v>
      </c>
      <c r="E24" s="7">
        <f>IF(D24="2½W",2.5/dagenperweek2,IF(RIGHT(D24,1)="W",VALUE(LEFT(D24,LEN(D24)-1))/dagenperweek2,IF(RIGHT(D24,1)="J",VALUE(LEFT(D24,LEN(D24)-1))/dagenperjaar2,"handmatig!")))</f>
        <v>0.125</v>
      </c>
    </row>
    <row r="25" spans="1:5" x14ac:dyDescent="0.2">
      <c r="A25" s="2" t="s">
        <v>21</v>
      </c>
      <c r="B25" s="3">
        <f>IF(A25="2½W",2.5/dagenperweek1,IF(RIGHT(A25,1)="W",VALUE(LEFT(A25,LEN(A25)-1))/dagenperweek1,IF(RIGHT(A25,1)="J",VALUE(LEFT(A25,LEN(A25)-1))/dagenperjaar1,"handmatig!")))</f>
        <v>4.7058823529411764E-2</v>
      </c>
    </row>
    <row r="26" spans="1:5" x14ac:dyDescent="0.2">
      <c r="A26" s="2" t="s">
        <v>22</v>
      </c>
      <c r="B26" s="3">
        <f>IF(A26="2½W",2.5/dagenperweek1,IF(RIGHT(A26,1)="W",VALUE(LEFT(A26,LEN(A26)-1))/dagenperweek1,IF(RIGHT(A26,1)="J",VALUE(LEFT(A26,LEN(A26)-1))/dagenperjaar1,"handmatig!")))</f>
        <v>2.3529411764705882E-2</v>
      </c>
    </row>
    <row r="27" spans="1:5" x14ac:dyDescent="0.2">
      <c r="A27" s="2" t="s">
        <v>23</v>
      </c>
      <c r="B27" s="3">
        <f>IF(A27="2½W",2.5/dagenperweek1,IF(RIGHT(A27,1)="W",VALUE(LEFT(A27,LEN(A27)-1))/dagenperweek1,IF(RIGHT(A27,1)="J",VALUE(LEFT(A27,LEN(A27)-1))/dagenperjaar1,"handmatig!")))</f>
        <v>1.5686274509803921E-2</v>
      </c>
    </row>
    <row r="28" spans="1:5" x14ac:dyDescent="0.2">
      <c r="A28" s="2" t="s">
        <v>24</v>
      </c>
      <c r="B28" s="3">
        <f>IF(A28="2½W",2.5/dagenperweek1,IF(RIGHT(A28,1)="W",VALUE(LEFT(A28,LEN(A28)-1))/dagenperweek1,IF(RIGHT(A28,1)="J",VALUE(LEFT(A28,LEN(A28)-1))/dagenperjaar1,"handmatig!")))</f>
        <v>1.1764705882352941E-2</v>
      </c>
    </row>
    <row r="29" spans="1:5" x14ac:dyDescent="0.2">
      <c r="A29" s="2" t="s">
        <v>25</v>
      </c>
      <c r="B29" s="3">
        <f>IF(A29="2½W",2.5/dagenperweek1,IF(RIGHT(A29,1)="W",VALUE(LEFT(A29,LEN(A29)-1))/dagenperweek1,IF(RIGHT(A29,1)="J",VALUE(LEFT(A29,LEN(A29)-1))/dagenperjaar1,"handmatig!")))</f>
        <v>7.8431372549019607E-3</v>
      </c>
    </row>
    <row r="30" spans="1:5" x14ac:dyDescent="0.2">
      <c r="A30" s="6" t="s">
        <v>26</v>
      </c>
      <c r="B30" s="7">
        <f>IF(A30="2½W",2.5/dagenperweek1,IF(RIGHT(A30,1)="W",VALUE(LEFT(A30,LEN(A30)-1))/dagenperweek1,IF(RIGHT(A30,1)="J",VALUE(LEFT(A30,LEN(A30)-1))/dagenperjaar1,"handmatig!")))</f>
        <v>3.9215686274509803E-3</v>
      </c>
    </row>
  </sheetData>
  <pageMargins left="0.7" right="0.7" top="0.75" bottom="0.75" header="0.3" footer="0.3"/>
  <pageSetup paperSize="9" orientation="portrait" horizontalDpi="15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405B0-5865-4EFB-8D34-DE1F840F092D}">
  <dimension ref="A1:L11"/>
  <sheetViews>
    <sheetView workbookViewId="0"/>
  </sheetViews>
  <sheetFormatPr defaultRowHeight="12.6" x14ac:dyDescent="0.2"/>
  <cols>
    <col min="1" max="1" width="7.6328125" customWidth="1"/>
    <col min="2" max="2" width="6.6328125" customWidth="1"/>
    <col min="3" max="3" width="7.6328125" customWidth="1"/>
    <col min="4" max="4" width="50.6328125" customWidth="1"/>
    <col min="5" max="6" width="14.6328125" customWidth="1"/>
    <col min="7" max="9" width="11.6328125" customWidth="1"/>
    <col min="10" max="10" width="12.6328125" customWidth="1"/>
    <col min="11" max="11" width="14.6328125" customWidth="1"/>
    <col min="12" max="12" width="13.6328125" customWidth="1"/>
  </cols>
  <sheetData>
    <row r="1" spans="1:12" x14ac:dyDescent="0.2">
      <c r="A1" s="1" t="str">
        <f>CONCATENATE("Bijlage G6.8: ",tabeltype," regiewerk")</f>
        <v>Bijlage G6.8: Invultabel regiewerk</v>
      </c>
    </row>
    <row r="3" spans="1:12" ht="37.799999999999997" x14ac:dyDescent="0.2">
      <c r="A3" s="8" t="s">
        <v>804</v>
      </c>
      <c r="B3" s="8" t="s">
        <v>7</v>
      </c>
      <c r="C3" s="8" t="s">
        <v>907</v>
      </c>
      <c r="D3" s="8" t="s">
        <v>32</v>
      </c>
      <c r="E3" s="8" t="s">
        <v>35</v>
      </c>
      <c r="F3" s="8" t="s">
        <v>908</v>
      </c>
      <c r="G3" s="8" t="s">
        <v>909</v>
      </c>
      <c r="H3" s="8" t="s">
        <v>910</v>
      </c>
      <c r="I3" s="8" t="s">
        <v>806</v>
      </c>
      <c r="J3" s="8" t="s">
        <v>911</v>
      </c>
      <c r="K3" s="8" t="s">
        <v>198</v>
      </c>
      <c r="L3" s="8" t="s">
        <v>760</v>
      </c>
    </row>
    <row r="4" spans="1:12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1"/>
    </row>
    <row r="5" spans="1:12" x14ac:dyDescent="0.2">
      <c r="A5" s="12" t="s">
        <v>37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4"/>
    </row>
    <row r="6" spans="1:12" x14ac:dyDescent="0.2">
      <c r="A6" s="15" t="s">
        <v>912</v>
      </c>
      <c r="B6" s="15" t="s">
        <v>26</v>
      </c>
      <c r="C6" s="16">
        <f>IF(ISBLANK(B6),0,IF(ISERROR(VALUE(B6)),VLOOKUP(B6,dagsoorttabel1,2,FALSE)*dagenperjaar1,VALUE(B6)))</f>
        <v>1</v>
      </c>
      <c r="D6" s="15" t="s">
        <v>913</v>
      </c>
      <c r="E6" s="15" t="s">
        <v>856</v>
      </c>
      <c r="F6" s="110">
        <v>50</v>
      </c>
      <c r="G6" s="19"/>
      <c r="H6" s="111"/>
      <c r="I6" s="19"/>
      <c r="J6" s="33">
        <f>IF(ISBLANK(F6),0,F6)*I6</f>
        <v>0</v>
      </c>
      <c r="K6" s="33">
        <f>C6*J6</f>
        <v>0</v>
      </c>
      <c r="L6" s="33">
        <f>K6/12</f>
        <v>0</v>
      </c>
    </row>
    <row r="7" spans="1:12" x14ac:dyDescent="0.2">
      <c r="A7" s="20" t="s">
        <v>914</v>
      </c>
      <c r="B7" s="20" t="s">
        <v>26</v>
      </c>
      <c r="C7" s="21">
        <f>IF(ISBLANK(B7),0,IF(ISERROR(VALUE(B7)),VLOOKUP(B7,dagsoorttabel1,2,FALSE)*dagenperjaar1,VALUE(B7)))</f>
        <v>1</v>
      </c>
      <c r="D7" s="20" t="s">
        <v>915</v>
      </c>
      <c r="E7" s="20" t="s">
        <v>856</v>
      </c>
      <c r="F7" s="112">
        <v>5</v>
      </c>
      <c r="G7" s="24"/>
      <c r="H7" s="113"/>
      <c r="I7" s="24"/>
      <c r="J7" s="37">
        <f>IF(ISBLANK(F7),0,F7)*I7</f>
        <v>0</v>
      </c>
      <c r="K7" s="37">
        <f>C7*J7</f>
        <v>0</v>
      </c>
      <c r="L7" s="37">
        <f>K7/12</f>
        <v>0</v>
      </c>
    </row>
    <row r="8" spans="1:12" x14ac:dyDescent="0.2">
      <c r="A8" s="25" t="s">
        <v>916</v>
      </c>
      <c r="B8" s="25" t="s">
        <v>26</v>
      </c>
      <c r="C8" s="26">
        <f>IF(ISBLANK(B8),0,IF(ISERROR(VALUE(B8)),VLOOKUP(B8,dagsoorttabel1,2,FALSE)*dagenperjaar1,VALUE(B8)))</f>
        <v>1</v>
      </c>
      <c r="D8" s="25" t="s">
        <v>917</v>
      </c>
      <c r="E8" s="25" t="s">
        <v>856</v>
      </c>
      <c r="F8" s="114">
        <v>10</v>
      </c>
      <c r="G8" s="29"/>
      <c r="H8" s="115"/>
      <c r="I8" s="29"/>
      <c r="J8" s="40">
        <f>IF(ISBLANK(F8),0,F8)*I8</f>
        <v>0</v>
      </c>
      <c r="K8" s="40">
        <f>C8*J8</f>
        <v>0</v>
      </c>
      <c r="L8" s="40">
        <f>K8/12</f>
        <v>0</v>
      </c>
    </row>
    <row r="9" spans="1:12" x14ac:dyDescent="0.2">
      <c r="A9" s="42" t="s">
        <v>276</v>
      </c>
      <c r="B9" s="43"/>
      <c r="C9" s="43"/>
      <c r="D9" s="43"/>
      <c r="E9" s="43"/>
      <c r="F9" s="43"/>
      <c r="G9" s="43"/>
      <c r="H9" s="43"/>
      <c r="I9" s="43"/>
      <c r="J9" s="43"/>
      <c r="K9" s="45">
        <f>SUM(K6:K8)</f>
        <v>0</v>
      </c>
      <c r="L9" s="116">
        <f>K9/12</f>
        <v>0</v>
      </c>
    </row>
    <row r="11" spans="1:12" x14ac:dyDescent="0.2">
      <c r="A11" s="42" t="s">
        <v>918</v>
      </c>
      <c r="B11" s="43"/>
      <c r="C11" s="43"/>
      <c r="D11" s="43"/>
      <c r="E11" s="43"/>
      <c r="F11" s="43"/>
      <c r="G11" s="43"/>
      <c r="H11" s="43"/>
      <c r="I11" s="43"/>
      <c r="J11" s="43"/>
      <c r="K11" s="45">
        <f>prijsjaarregie1</f>
        <v>0</v>
      </c>
      <c r="L11" s="116">
        <f>K11/12</f>
        <v>0</v>
      </c>
    </row>
  </sheetData>
  <pageMargins left="0.7" right="0.7" top="0.75" bottom="0.75" header="0.3" footer="0.3"/>
  <pageSetup paperSize="9" scale="65" orientation="landscape" horizontalDpi="150" verticalDpi="0" r:id="rId1"/>
  <headerFooter>
    <oddFooter>&amp;LOns Middelbaar Onderwijs optimalisatie                      
CONCEPT PER 01-03-2021&amp;ROpmaakdatum: 18-03-2021
Intexso - De Start 5 - Leusden
+31 (33) 2778485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EF285-11D2-4D85-9EDA-9DFA055CCB87}">
  <dimension ref="A1:F12"/>
  <sheetViews>
    <sheetView workbookViewId="0"/>
  </sheetViews>
  <sheetFormatPr defaultRowHeight="12.6" x14ac:dyDescent="0.2"/>
  <cols>
    <col min="1" max="1" width="30.6328125" customWidth="1"/>
    <col min="2" max="6" width="20.6328125" customWidth="1"/>
  </cols>
  <sheetData>
    <row r="1" spans="1:6" x14ac:dyDescent="0.2">
      <c r="A1" s="1" t="str">
        <f>CONCATENATE("Bijlage G6.9: ",tabeltype," totaalblad schoonmaakwerk")</f>
        <v>Bijlage G6.9: Invultabel totaalblad schoonmaakwerk</v>
      </c>
    </row>
    <row r="3" spans="1:6" ht="25.2" x14ac:dyDescent="0.2">
      <c r="A3" s="8" t="s">
        <v>919</v>
      </c>
      <c r="B3" s="8" t="s">
        <v>920</v>
      </c>
      <c r="C3" s="8" t="s">
        <v>921</v>
      </c>
      <c r="D3" s="8" t="s">
        <v>922</v>
      </c>
      <c r="E3" s="8" t="s">
        <v>923</v>
      </c>
      <c r="F3" s="8" t="s">
        <v>924</v>
      </c>
    </row>
    <row r="4" spans="1:6" x14ac:dyDescent="0.2">
      <c r="A4" s="103" t="s">
        <v>925</v>
      </c>
      <c r="B4" s="30">
        <f>urenjaartotaaloverzicht</f>
        <v>0</v>
      </c>
      <c r="C4" s="30">
        <f>urenjaartotaaloverzichthf</f>
        <v>0</v>
      </c>
      <c r="D4" s="94"/>
      <c r="E4" s="33">
        <f>prijsjaartotaaloverzicht</f>
        <v>0</v>
      </c>
      <c r="F4" s="33">
        <f>E4*1.21</f>
        <v>0</v>
      </c>
    </row>
    <row r="5" spans="1:6" x14ac:dyDescent="0.2">
      <c r="A5" s="104" t="s">
        <v>926</v>
      </c>
      <c r="B5" s="97"/>
      <c r="C5" s="97"/>
      <c r="D5" s="34">
        <f>urenjaarnietmeewerkend</f>
        <v>0</v>
      </c>
      <c r="E5" s="37">
        <f>prijsjaarnietmeewerkend</f>
        <v>0</v>
      </c>
      <c r="F5" s="37">
        <f>E5*1.21</f>
        <v>0</v>
      </c>
    </row>
    <row r="6" spans="1:6" x14ac:dyDescent="0.2">
      <c r="A6" s="105" t="s">
        <v>927</v>
      </c>
      <c r="B6" s="117"/>
      <c r="C6" s="117"/>
      <c r="D6" s="117"/>
      <c r="E6" s="40">
        <f>prijsjaarregie</f>
        <v>0</v>
      </c>
      <c r="F6" s="40">
        <f>E6*1.21</f>
        <v>0</v>
      </c>
    </row>
    <row r="8" spans="1:6" x14ac:dyDescent="0.2">
      <c r="A8" s="8" t="s">
        <v>928</v>
      </c>
      <c r="B8" s="44">
        <f>SUM(B4:B6)</f>
        <v>0</v>
      </c>
      <c r="C8" s="44">
        <f>SUM(C4:C6)</f>
        <v>0</v>
      </c>
      <c r="D8" s="44">
        <f>SUM(D4:D6)</f>
        <v>0</v>
      </c>
      <c r="E8" s="45">
        <f>SUM(E4:E6)</f>
        <v>0</v>
      </c>
      <c r="F8" s="45">
        <f>E8*1.21</f>
        <v>0</v>
      </c>
    </row>
    <row r="10" spans="1:6" x14ac:dyDescent="0.2">
      <c r="A10" s="8" t="s">
        <v>929</v>
      </c>
      <c r="B10" s="118">
        <f>IF(B8&gt;0,D8/B8,0)</f>
        <v>0</v>
      </c>
    </row>
    <row r="12" spans="1:6" x14ac:dyDescent="0.2">
      <c r="A12" s="119" t="s">
        <v>930</v>
      </c>
      <c r="B12" s="81"/>
      <c r="C12" s="81"/>
      <c r="D12" s="81"/>
      <c r="E12" s="81"/>
      <c r="F12" s="120">
        <f>SUM(vp_regulier,vp_leiding,vp_regie)</f>
        <v>0</v>
      </c>
    </row>
  </sheetData>
  <pageMargins left="0.7" right="0.7" top="0.75" bottom="0.75" header="0.3" footer="0.3"/>
  <pageSetup paperSize="9" scale="70" orientation="landscape" horizontalDpi="150" verticalDpi="0" r:id="rId1"/>
  <headerFooter>
    <oddFooter>&amp;LOns Middelbaar Onderwijs optimalisatie                      
CONCEPT PER 01-03-2021&amp;ROpmaakdatum: 18-03-2021
Intexso - De Start 5 - Leusden
+31 (33) 2778485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78E62-1ACF-4972-BFCB-689AD172B40C}">
  <dimension ref="A1:H88"/>
  <sheetViews>
    <sheetView workbookViewId="0"/>
  </sheetViews>
  <sheetFormatPr defaultRowHeight="12.6" x14ac:dyDescent="0.2"/>
  <cols>
    <col min="1" max="1" width="7.6328125" customWidth="1"/>
    <col min="2" max="2" width="6.6328125" customWidth="1"/>
    <col min="3" max="3" width="4.6328125" customWidth="1"/>
    <col min="4" max="4" width="50.6328125" customWidth="1"/>
    <col min="5" max="6" width="11.6328125" customWidth="1"/>
    <col min="7" max="7" width="9.6328125" customWidth="1"/>
    <col min="8" max="8" width="11.6328125" customWidth="1"/>
  </cols>
  <sheetData>
    <row r="1" spans="1:8" x14ac:dyDescent="0.2">
      <c r="A1" s="1" t="str">
        <f>CONCATENATE("Bijlage G6.1: ",tabeltype," categorienormen")</f>
        <v>Bijlage G6.1: Invultabel categorienormen</v>
      </c>
    </row>
    <row r="3" spans="1:8" ht="37.799999999999997" x14ac:dyDescent="0.2">
      <c r="A3" s="8" t="s">
        <v>29</v>
      </c>
      <c r="B3" s="8" t="s">
        <v>30</v>
      </c>
      <c r="C3" s="8" t="s">
        <v>31</v>
      </c>
      <c r="D3" s="8" t="s">
        <v>32</v>
      </c>
      <c r="E3" s="8" t="s">
        <v>33</v>
      </c>
      <c r="F3" s="8" t="s">
        <v>34</v>
      </c>
      <c r="G3" s="8" t="s">
        <v>35</v>
      </c>
      <c r="H3" s="8" t="s">
        <v>36</v>
      </c>
    </row>
    <row r="4" spans="1:8" x14ac:dyDescent="0.2">
      <c r="A4" s="9"/>
      <c r="B4" s="10"/>
      <c r="C4" s="10"/>
      <c r="D4" s="10"/>
      <c r="E4" s="10"/>
      <c r="F4" s="10"/>
      <c r="G4" s="10"/>
      <c r="H4" s="11"/>
    </row>
    <row r="5" spans="1:8" x14ac:dyDescent="0.2">
      <c r="A5" s="12" t="s">
        <v>37</v>
      </c>
      <c r="B5" s="13"/>
      <c r="C5" s="13"/>
      <c r="D5" s="13"/>
      <c r="E5" s="13"/>
      <c r="F5" s="13"/>
      <c r="G5" s="13"/>
      <c r="H5" s="14"/>
    </row>
    <row r="6" spans="1:8" x14ac:dyDescent="0.2">
      <c r="A6" s="15" t="s">
        <v>38</v>
      </c>
      <c r="B6" s="16" t="s">
        <v>39</v>
      </c>
      <c r="C6" s="15">
        <v>1</v>
      </c>
      <c r="D6" s="15" t="s">
        <v>40</v>
      </c>
      <c r="E6" s="17"/>
      <c r="F6" s="18"/>
      <c r="G6" s="15" t="s">
        <v>41</v>
      </c>
      <c r="H6" s="19"/>
    </row>
    <row r="7" spans="1:8" x14ac:dyDescent="0.2">
      <c r="A7" s="20" t="s">
        <v>42</v>
      </c>
      <c r="B7" s="21" t="s">
        <v>39</v>
      </c>
      <c r="C7" s="20">
        <v>42</v>
      </c>
      <c r="D7" s="20" t="s">
        <v>43</v>
      </c>
      <c r="E7" s="22"/>
      <c r="F7" s="23"/>
      <c r="G7" s="20" t="s">
        <v>41</v>
      </c>
      <c r="H7" s="24"/>
    </row>
    <row r="8" spans="1:8" x14ac:dyDescent="0.2">
      <c r="A8" s="20" t="s">
        <v>42</v>
      </c>
      <c r="B8" s="21" t="s">
        <v>39</v>
      </c>
      <c r="C8" s="20">
        <v>41</v>
      </c>
      <c r="D8" s="20" t="s">
        <v>43</v>
      </c>
      <c r="E8" s="22"/>
      <c r="F8" s="23"/>
      <c r="G8" s="20" t="s">
        <v>41</v>
      </c>
      <c r="H8" s="24"/>
    </row>
    <row r="9" spans="1:8" x14ac:dyDescent="0.2">
      <c r="A9" s="20" t="s">
        <v>44</v>
      </c>
      <c r="B9" s="21" t="s">
        <v>39</v>
      </c>
      <c r="C9" s="20">
        <v>1</v>
      </c>
      <c r="D9" s="20" t="s">
        <v>45</v>
      </c>
      <c r="E9" s="22"/>
      <c r="F9" s="23"/>
      <c r="G9" s="20" t="s">
        <v>41</v>
      </c>
      <c r="H9" s="24"/>
    </row>
    <row r="10" spans="1:8" x14ac:dyDescent="0.2">
      <c r="A10" s="20" t="s">
        <v>46</v>
      </c>
      <c r="B10" s="21" t="s">
        <v>39</v>
      </c>
      <c r="C10" s="20">
        <v>41</v>
      </c>
      <c r="D10" s="20" t="s">
        <v>47</v>
      </c>
      <c r="E10" s="22"/>
      <c r="F10" s="23"/>
      <c r="G10" s="20" t="s">
        <v>41</v>
      </c>
      <c r="H10" s="24"/>
    </row>
    <row r="11" spans="1:8" x14ac:dyDescent="0.2">
      <c r="A11" s="20" t="s">
        <v>46</v>
      </c>
      <c r="B11" s="21" t="s">
        <v>39</v>
      </c>
      <c r="C11" s="20">
        <v>42</v>
      </c>
      <c r="D11" s="20" t="s">
        <v>47</v>
      </c>
      <c r="E11" s="22"/>
      <c r="F11" s="23"/>
      <c r="G11" s="20" t="s">
        <v>41</v>
      </c>
      <c r="H11" s="24"/>
    </row>
    <row r="12" spans="1:8" x14ac:dyDescent="0.2">
      <c r="A12" s="20" t="s">
        <v>48</v>
      </c>
      <c r="B12" s="21" t="s">
        <v>39</v>
      </c>
      <c r="C12" s="20">
        <v>1</v>
      </c>
      <c r="D12" s="20" t="s">
        <v>49</v>
      </c>
      <c r="E12" s="22"/>
      <c r="F12" s="23"/>
      <c r="G12" s="20" t="s">
        <v>41</v>
      </c>
      <c r="H12" s="24"/>
    </row>
    <row r="13" spans="1:8" x14ac:dyDescent="0.2">
      <c r="A13" s="20" t="s">
        <v>50</v>
      </c>
      <c r="B13" s="21" t="s">
        <v>39</v>
      </c>
      <c r="C13" s="20">
        <v>41</v>
      </c>
      <c r="D13" s="20" t="s">
        <v>51</v>
      </c>
      <c r="E13" s="22"/>
      <c r="F13" s="23"/>
      <c r="G13" s="20" t="s">
        <v>41</v>
      </c>
      <c r="H13" s="24"/>
    </row>
    <row r="14" spans="1:8" x14ac:dyDescent="0.2">
      <c r="A14" s="20" t="s">
        <v>52</v>
      </c>
      <c r="B14" s="21" t="s">
        <v>39</v>
      </c>
      <c r="C14" s="20">
        <v>1</v>
      </c>
      <c r="D14" s="20" t="s">
        <v>53</v>
      </c>
      <c r="E14" s="22"/>
      <c r="F14" s="23"/>
      <c r="G14" s="20" t="s">
        <v>41</v>
      </c>
      <c r="H14" s="24"/>
    </row>
    <row r="15" spans="1:8" x14ac:dyDescent="0.2">
      <c r="A15" s="20" t="s">
        <v>54</v>
      </c>
      <c r="B15" s="21" t="s">
        <v>39</v>
      </c>
      <c r="C15" s="20">
        <v>41</v>
      </c>
      <c r="D15" s="20" t="s">
        <v>55</v>
      </c>
      <c r="E15" s="22"/>
      <c r="F15" s="23"/>
      <c r="G15" s="20" t="s">
        <v>41</v>
      </c>
      <c r="H15" s="24"/>
    </row>
    <row r="16" spans="1:8" x14ac:dyDescent="0.2">
      <c r="A16" s="20" t="s">
        <v>54</v>
      </c>
      <c r="B16" s="21" t="s">
        <v>39</v>
      </c>
      <c r="C16" s="20">
        <v>42</v>
      </c>
      <c r="D16" s="20" t="s">
        <v>55</v>
      </c>
      <c r="E16" s="22"/>
      <c r="F16" s="23"/>
      <c r="G16" s="20" t="s">
        <v>41</v>
      </c>
      <c r="H16" s="24"/>
    </row>
    <row r="17" spans="1:8" x14ac:dyDescent="0.2">
      <c r="A17" s="20" t="s">
        <v>56</v>
      </c>
      <c r="B17" s="21" t="s">
        <v>39</v>
      </c>
      <c r="C17" s="20">
        <v>1</v>
      </c>
      <c r="D17" s="20" t="s">
        <v>57</v>
      </c>
      <c r="E17" s="22"/>
      <c r="F17" s="23"/>
      <c r="G17" s="20" t="s">
        <v>41</v>
      </c>
      <c r="H17" s="24"/>
    </row>
    <row r="18" spans="1:8" x14ac:dyDescent="0.2">
      <c r="A18" s="20" t="s">
        <v>58</v>
      </c>
      <c r="B18" s="21" t="s">
        <v>39</v>
      </c>
      <c r="C18" s="20">
        <v>41</v>
      </c>
      <c r="D18" s="20" t="s">
        <v>59</v>
      </c>
      <c r="E18" s="22"/>
      <c r="F18" s="23"/>
      <c r="G18" s="20" t="s">
        <v>41</v>
      </c>
      <c r="H18" s="24"/>
    </row>
    <row r="19" spans="1:8" x14ac:dyDescent="0.2">
      <c r="A19" s="20" t="s">
        <v>60</v>
      </c>
      <c r="B19" s="21" t="s">
        <v>39</v>
      </c>
      <c r="C19" s="20">
        <v>1</v>
      </c>
      <c r="D19" s="20" t="s">
        <v>61</v>
      </c>
      <c r="E19" s="22"/>
      <c r="F19" s="23"/>
      <c r="G19" s="20" t="s">
        <v>41</v>
      </c>
      <c r="H19" s="24"/>
    </row>
    <row r="20" spans="1:8" x14ac:dyDescent="0.2">
      <c r="A20" s="20" t="s">
        <v>62</v>
      </c>
      <c r="B20" s="21" t="s">
        <v>39</v>
      </c>
      <c r="C20" s="20">
        <v>41</v>
      </c>
      <c r="D20" s="20" t="s">
        <v>63</v>
      </c>
      <c r="E20" s="22"/>
      <c r="F20" s="23"/>
      <c r="G20" s="20" t="s">
        <v>41</v>
      </c>
      <c r="H20" s="24"/>
    </row>
    <row r="21" spans="1:8" x14ac:dyDescent="0.2">
      <c r="A21" s="20" t="s">
        <v>64</v>
      </c>
      <c r="B21" s="21" t="s">
        <v>39</v>
      </c>
      <c r="C21" s="20">
        <v>1</v>
      </c>
      <c r="D21" s="20" t="s">
        <v>65</v>
      </c>
      <c r="E21" s="22"/>
      <c r="F21" s="23"/>
      <c r="G21" s="20" t="s">
        <v>41</v>
      </c>
      <c r="H21" s="24"/>
    </row>
    <row r="22" spans="1:8" x14ac:dyDescent="0.2">
      <c r="A22" s="20" t="s">
        <v>66</v>
      </c>
      <c r="B22" s="21" t="s">
        <v>39</v>
      </c>
      <c r="C22" s="20">
        <v>41</v>
      </c>
      <c r="D22" s="20" t="s">
        <v>67</v>
      </c>
      <c r="E22" s="22"/>
      <c r="F22" s="23"/>
      <c r="G22" s="20" t="s">
        <v>41</v>
      </c>
      <c r="H22" s="24"/>
    </row>
    <row r="23" spans="1:8" x14ac:dyDescent="0.2">
      <c r="A23" s="20" t="s">
        <v>68</v>
      </c>
      <c r="B23" s="21" t="s">
        <v>39</v>
      </c>
      <c r="C23" s="20">
        <v>1</v>
      </c>
      <c r="D23" s="20" t="s">
        <v>69</v>
      </c>
      <c r="E23" s="22"/>
      <c r="F23" s="23"/>
      <c r="G23" s="20" t="s">
        <v>41</v>
      </c>
      <c r="H23" s="24"/>
    </row>
    <row r="24" spans="1:8" x14ac:dyDescent="0.2">
      <c r="A24" s="20" t="s">
        <v>70</v>
      </c>
      <c r="B24" s="21" t="s">
        <v>39</v>
      </c>
      <c r="C24" s="20">
        <v>41</v>
      </c>
      <c r="D24" s="20" t="s">
        <v>71</v>
      </c>
      <c r="E24" s="22"/>
      <c r="F24" s="23"/>
      <c r="G24" s="20" t="s">
        <v>41</v>
      </c>
      <c r="H24" s="24"/>
    </row>
    <row r="25" spans="1:8" x14ac:dyDescent="0.2">
      <c r="A25" s="20" t="s">
        <v>72</v>
      </c>
      <c r="B25" s="21" t="s">
        <v>73</v>
      </c>
      <c r="C25" s="20">
        <v>1</v>
      </c>
      <c r="D25" s="20" t="s">
        <v>74</v>
      </c>
      <c r="E25" s="22"/>
      <c r="F25" s="23"/>
      <c r="G25" s="20" t="s">
        <v>41</v>
      </c>
      <c r="H25" s="24"/>
    </row>
    <row r="26" spans="1:8" x14ac:dyDescent="0.2">
      <c r="A26" s="20" t="s">
        <v>75</v>
      </c>
      <c r="B26" s="21" t="s">
        <v>73</v>
      </c>
      <c r="C26" s="20">
        <v>41</v>
      </c>
      <c r="D26" s="20" t="s">
        <v>76</v>
      </c>
      <c r="E26" s="22"/>
      <c r="F26" s="23"/>
      <c r="G26" s="20" t="s">
        <v>41</v>
      </c>
      <c r="H26" s="24"/>
    </row>
    <row r="27" spans="1:8" x14ac:dyDescent="0.2">
      <c r="A27" s="20" t="s">
        <v>75</v>
      </c>
      <c r="B27" s="21" t="s">
        <v>73</v>
      </c>
      <c r="C27" s="20">
        <v>45</v>
      </c>
      <c r="D27" s="20" t="s">
        <v>76</v>
      </c>
      <c r="E27" s="22"/>
      <c r="F27" s="23"/>
      <c r="G27" s="20" t="s">
        <v>41</v>
      </c>
      <c r="H27" s="24"/>
    </row>
    <row r="28" spans="1:8" x14ac:dyDescent="0.2">
      <c r="A28" s="20" t="s">
        <v>77</v>
      </c>
      <c r="B28" s="21" t="s">
        <v>73</v>
      </c>
      <c r="C28" s="20">
        <v>1</v>
      </c>
      <c r="D28" s="20" t="s">
        <v>78</v>
      </c>
      <c r="E28" s="22"/>
      <c r="F28" s="23"/>
      <c r="G28" s="20" t="s">
        <v>41</v>
      </c>
      <c r="H28" s="24"/>
    </row>
    <row r="29" spans="1:8" x14ac:dyDescent="0.2">
      <c r="A29" s="20" t="s">
        <v>79</v>
      </c>
      <c r="B29" s="21" t="s">
        <v>73</v>
      </c>
      <c r="C29" s="20">
        <v>41</v>
      </c>
      <c r="D29" s="20" t="s">
        <v>80</v>
      </c>
      <c r="E29" s="22"/>
      <c r="F29" s="23"/>
      <c r="G29" s="20" t="s">
        <v>41</v>
      </c>
      <c r="H29" s="24"/>
    </row>
    <row r="30" spans="1:8" x14ac:dyDescent="0.2">
      <c r="A30" s="20" t="s">
        <v>81</v>
      </c>
      <c r="B30" s="21" t="s">
        <v>82</v>
      </c>
      <c r="C30" s="20">
        <v>1</v>
      </c>
      <c r="D30" s="20" t="s">
        <v>83</v>
      </c>
      <c r="E30" s="22"/>
      <c r="F30" s="23"/>
      <c r="G30" s="20" t="s">
        <v>41</v>
      </c>
      <c r="H30" s="24"/>
    </row>
    <row r="31" spans="1:8" x14ac:dyDescent="0.2">
      <c r="A31" s="20" t="s">
        <v>84</v>
      </c>
      <c r="B31" s="21" t="s">
        <v>82</v>
      </c>
      <c r="C31" s="20">
        <v>41</v>
      </c>
      <c r="D31" s="20" t="s">
        <v>85</v>
      </c>
      <c r="E31" s="22"/>
      <c r="F31" s="23"/>
      <c r="G31" s="20" t="s">
        <v>41</v>
      </c>
      <c r="H31" s="24"/>
    </row>
    <row r="32" spans="1:8" x14ac:dyDescent="0.2">
      <c r="A32" s="20" t="s">
        <v>86</v>
      </c>
      <c r="B32" s="21" t="s">
        <v>87</v>
      </c>
      <c r="C32" s="20">
        <v>1</v>
      </c>
      <c r="D32" s="20" t="s">
        <v>88</v>
      </c>
      <c r="E32" s="22"/>
      <c r="F32" s="23"/>
      <c r="G32" s="20" t="s">
        <v>41</v>
      </c>
      <c r="H32" s="24"/>
    </row>
    <row r="33" spans="1:8" x14ac:dyDescent="0.2">
      <c r="A33" s="20" t="s">
        <v>89</v>
      </c>
      <c r="B33" s="21" t="s">
        <v>87</v>
      </c>
      <c r="C33" s="20">
        <v>41</v>
      </c>
      <c r="D33" s="20" t="s">
        <v>90</v>
      </c>
      <c r="E33" s="22"/>
      <c r="F33" s="23"/>
      <c r="G33" s="20" t="s">
        <v>41</v>
      </c>
      <c r="H33" s="24"/>
    </row>
    <row r="34" spans="1:8" x14ac:dyDescent="0.2">
      <c r="A34" s="20" t="s">
        <v>91</v>
      </c>
      <c r="B34" s="21" t="s">
        <v>87</v>
      </c>
      <c r="C34" s="20">
        <v>1</v>
      </c>
      <c r="D34" s="20" t="s">
        <v>92</v>
      </c>
      <c r="E34" s="22"/>
      <c r="F34" s="23"/>
      <c r="G34" s="20" t="s">
        <v>41</v>
      </c>
      <c r="H34" s="24"/>
    </row>
    <row r="35" spans="1:8" x14ac:dyDescent="0.2">
      <c r="A35" s="20" t="s">
        <v>93</v>
      </c>
      <c r="B35" s="21" t="s">
        <v>87</v>
      </c>
      <c r="C35" s="20">
        <v>41</v>
      </c>
      <c r="D35" s="20" t="s">
        <v>94</v>
      </c>
      <c r="E35" s="22"/>
      <c r="F35" s="23"/>
      <c r="G35" s="20" t="s">
        <v>41</v>
      </c>
      <c r="H35" s="24"/>
    </row>
    <row r="36" spans="1:8" x14ac:dyDescent="0.2">
      <c r="A36" s="20" t="s">
        <v>95</v>
      </c>
      <c r="B36" s="21" t="s">
        <v>96</v>
      </c>
      <c r="C36" s="20">
        <v>1</v>
      </c>
      <c r="D36" s="20" t="s">
        <v>97</v>
      </c>
      <c r="E36" s="22"/>
      <c r="F36" s="23"/>
      <c r="G36" s="20" t="s">
        <v>41</v>
      </c>
      <c r="H36" s="24"/>
    </row>
    <row r="37" spans="1:8" x14ac:dyDescent="0.2">
      <c r="A37" s="20" t="s">
        <v>98</v>
      </c>
      <c r="B37" s="21" t="s">
        <v>96</v>
      </c>
      <c r="C37" s="20">
        <v>41</v>
      </c>
      <c r="D37" s="20" t="s">
        <v>99</v>
      </c>
      <c r="E37" s="22"/>
      <c r="F37" s="23"/>
      <c r="G37" s="20" t="s">
        <v>41</v>
      </c>
      <c r="H37" s="24"/>
    </row>
    <row r="38" spans="1:8" x14ac:dyDescent="0.2">
      <c r="A38" s="20" t="s">
        <v>100</v>
      </c>
      <c r="B38" s="21" t="s">
        <v>101</v>
      </c>
      <c r="C38" s="20">
        <v>1</v>
      </c>
      <c r="D38" s="20" t="s">
        <v>102</v>
      </c>
      <c r="E38" s="22"/>
      <c r="F38" s="23"/>
      <c r="G38" s="20" t="s">
        <v>41</v>
      </c>
      <c r="H38" s="24"/>
    </row>
    <row r="39" spans="1:8" x14ac:dyDescent="0.2">
      <c r="A39" s="20" t="s">
        <v>103</v>
      </c>
      <c r="B39" s="21" t="s">
        <v>101</v>
      </c>
      <c r="C39" s="20">
        <v>41</v>
      </c>
      <c r="D39" s="20" t="s">
        <v>104</v>
      </c>
      <c r="E39" s="22"/>
      <c r="F39" s="23"/>
      <c r="G39" s="20" t="s">
        <v>41</v>
      </c>
      <c r="H39" s="24"/>
    </row>
    <row r="40" spans="1:8" x14ac:dyDescent="0.2">
      <c r="A40" s="20" t="s">
        <v>105</v>
      </c>
      <c r="B40" s="21" t="s">
        <v>101</v>
      </c>
      <c r="C40" s="20">
        <v>1</v>
      </c>
      <c r="D40" s="20" t="s">
        <v>106</v>
      </c>
      <c r="E40" s="22"/>
      <c r="F40" s="23"/>
      <c r="G40" s="20" t="s">
        <v>41</v>
      </c>
      <c r="H40" s="24"/>
    </row>
    <row r="41" spans="1:8" x14ac:dyDescent="0.2">
      <c r="A41" s="20" t="s">
        <v>107</v>
      </c>
      <c r="B41" s="21" t="s">
        <v>101</v>
      </c>
      <c r="C41" s="20">
        <v>41</v>
      </c>
      <c r="D41" s="20" t="s">
        <v>108</v>
      </c>
      <c r="E41" s="22"/>
      <c r="F41" s="23"/>
      <c r="G41" s="20" t="s">
        <v>41</v>
      </c>
      <c r="H41" s="24"/>
    </row>
    <row r="42" spans="1:8" x14ac:dyDescent="0.2">
      <c r="A42" s="20" t="s">
        <v>109</v>
      </c>
      <c r="B42" s="21" t="s">
        <v>110</v>
      </c>
      <c r="C42" s="20">
        <v>1</v>
      </c>
      <c r="D42" s="20" t="s">
        <v>111</v>
      </c>
      <c r="E42" s="22"/>
      <c r="F42" s="23"/>
      <c r="G42" s="20" t="s">
        <v>41</v>
      </c>
      <c r="H42" s="24"/>
    </row>
    <row r="43" spans="1:8" x14ac:dyDescent="0.2">
      <c r="A43" s="20" t="s">
        <v>112</v>
      </c>
      <c r="B43" s="21" t="s">
        <v>110</v>
      </c>
      <c r="C43" s="20">
        <v>1</v>
      </c>
      <c r="D43" s="20" t="s">
        <v>113</v>
      </c>
      <c r="E43" s="22"/>
      <c r="F43" s="23"/>
      <c r="G43" s="20" t="s">
        <v>41</v>
      </c>
      <c r="H43" s="24"/>
    </row>
    <row r="44" spans="1:8" x14ac:dyDescent="0.2">
      <c r="A44" s="20" t="s">
        <v>114</v>
      </c>
      <c r="B44" s="21" t="s">
        <v>115</v>
      </c>
      <c r="C44" s="20">
        <v>1</v>
      </c>
      <c r="D44" s="20" t="s">
        <v>116</v>
      </c>
      <c r="E44" s="22"/>
      <c r="F44" s="23"/>
      <c r="G44" s="20" t="s">
        <v>41</v>
      </c>
      <c r="H44" s="24"/>
    </row>
    <row r="45" spans="1:8" x14ac:dyDescent="0.2">
      <c r="A45" s="20" t="s">
        <v>117</v>
      </c>
      <c r="B45" s="21" t="s">
        <v>115</v>
      </c>
      <c r="C45" s="20">
        <v>45</v>
      </c>
      <c r="D45" s="20" t="s">
        <v>118</v>
      </c>
      <c r="E45" s="22"/>
      <c r="F45" s="23"/>
      <c r="G45" s="20" t="s">
        <v>41</v>
      </c>
      <c r="H45" s="24"/>
    </row>
    <row r="46" spans="1:8" x14ac:dyDescent="0.2">
      <c r="A46" s="20" t="s">
        <v>119</v>
      </c>
      <c r="B46" s="21" t="s">
        <v>115</v>
      </c>
      <c r="C46" s="20">
        <v>1</v>
      </c>
      <c r="D46" s="20" t="s">
        <v>120</v>
      </c>
      <c r="E46" s="22"/>
      <c r="F46" s="23"/>
      <c r="G46" s="20" t="s">
        <v>41</v>
      </c>
      <c r="H46" s="24"/>
    </row>
    <row r="47" spans="1:8" x14ac:dyDescent="0.2">
      <c r="A47" s="20" t="s">
        <v>121</v>
      </c>
      <c r="B47" s="21" t="s">
        <v>115</v>
      </c>
      <c r="C47" s="20">
        <v>41</v>
      </c>
      <c r="D47" s="20" t="s">
        <v>122</v>
      </c>
      <c r="E47" s="22"/>
      <c r="F47" s="23"/>
      <c r="G47" s="20" t="s">
        <v>41</v>
      </c>
      <c r="H47" s="24"/>
    </row>
    <row r="48" spans="1:8" x14ac:dyDescent="0.2">
      <c r="A48" s="20" t="s">
        <v>121</v>
      </c>
      <c r="B48" s="21" t="s">
        <v>115</v>
      </c>
      <c r="C48" s="20">
        <v>45</v>
      </c>
      <c r="D48" s="20" t="s">
        <v>122</v>
      </c>
      <c r="E48" s="22"/>
      <c r="F48" s="23"/>
      <c r="G48" s="20" t="s">
        <v>41</v>
      </c>
      <c r="H48" s="24"/>
    </row>
    <row r="49" spans="1:8" x14ac:dyDescent="0.2">
      <c r="A49" s="20" t="s">
        <v>123</v>
      </c>
      <c r="B49" s="21" t="s">
        <v>115</v>
      </c>
      <c r="C49" s="20">
        <v>1</v>
      </c>
      <c r="D49" s="20" t="s">
        <v>124</v>
      </c>
      <c r="E49" s="22"/>
      <c r="F49" s="23"/>
      <c r="G49" s="20" t="s">
        <v>41</v>
      </c>
      <c r="H49" s="24"/>
    </row>
    <row r="50" spans="1:8" x14ac:dyDescent="0.2">
      <c r="A50" s="20" t="s">
        <v>125</v>
      </c>
      <c r="B50" s="21" t="s">
        <v>115</v>
      </c>
      <c r="C50" s="20">
        <v>41</v>
      </c>
      <c r="D50" s="20" t="s">
        <v>126</v>
      </c>
      <c r="E50" s="22"/>
      <c r="F50" s="23"/>
      <c r="G50" s="20" t="s">
        <v>41</v>
      </c>
      <c r="H50" s="24"/>
    </row>
    <row r="51" spans="1:8" x14ac:dyDescent="0.2">
      <c r="A51" s="20" t="s">
        <v>125</v>
      </c>
      <c r="B51" s="21" t="s">
        <v>115</v>
      </c>
      <c r="C51" s="20">
        <v>45</v>
      </c>
      <c r="D51" s="20" t="s">
        <v>126</v>
      </c>
      <c r="E51" s="22"/>
      <c r="F51" s="23"/>
      <c r="G51" s="20" t="s">
        <v>41</v>
      </c>
      <c r="H51" s="24"/>
    </row>
    <row r="52" spans="1:8" x14ac:dyDescent="0.2">
      <c r="A52" s="20" t="s">
        <v>125</v>
      </c>
      <c r="B52" s="21" t="s">
        <v>115</v>
      </c>
      <c r="C52" s="20">
        <v>42</v>
      </c>
      <c r="D52" s="20" t="s">
        <v>126</v>
      </c>
      <c r="E52" s="22"/>
      <c r="F52" s="23"/>
      <c r="G52" s="20" t="s">
        <v>41</v>
      </c>
      <c r="H52" s="24"/>
    </row>
    <row r="53" spans="1:8" x14ac:dyDescent="0.2">
      <c r="A53" s="20" t="s">
        <v>127</v>
      </c>
      <c r="B53" s="21" t="s">
        <v>115</v>
      </c>
      <c r="C53" s="20">
        <v>1</v>
      </c>
      <c r="D53" s="20" t="s">
        <v>128</v>
      </c>
      <c r="E53" s="22"/>
      <c r="F53" s="23"/>
      <c r="G53" s="20" t="s">
        <v>41</v>
      </c>
      <c r="H53" s="24"/>
    </row>
    <row r="54" spans="1:8" x14ac:dyDescent="0.2">
      <c r="A54" s="20" t="s">
        <v>129</v>
      </c>
      <c r="B54" s="21" t="s">
        <v>115</v>
      </c>
      <c r="C54" s="20">
        <v>41</v>
      </c>
      <c r="D54" s="20" t="s">
        <v>130</v>
      </c>
      <c r="E54" s="22"/>
      <c r="F54" s="23"/>
      <c r="G54" s="20" t="s">
        <v>41</v>
      </c>
      <c r="H54" s="24"/>
    </row>
    <row r="55" spans="1:8" x14ac:dyDescent="0.2">
      <c r="A55" s="20" t="s">
        <v>131</v>
      </c>
      <c r="B55" s="21" t="s">
        <v>132</v>
      </c>
      <c r="C55" s="20">
        <v>1</v>
      </c>
      <c r="D55" s="20" t="s">
        <v>133</v>
      </c>
      <c r="E55" s="22"/>
      <c r="F55" s="23"/>
      <c r="G55" s="20" t="s">
        <v>41</v>
      </c>
      <c r="H55" s="24"/>
    </row>
    <row r="56" spans="1:8" x14ac:dyDescent="0.2">
      <c r="A56" s="20" t="s">
        <v>134</v>
      </c>
      <c r="B56" s="21" t="s">
        <v>132</v>
      </c>
      <c r="C56" s="20">
        <v>41</v>
      </c>
      <c r="D56" s="20" t="s">
        <v>135</v>
      </c>
      <c r="E56" s="22"/>
      <c r="F56" s="23"/>
      <c r="G56" s="20" t="s">
        <v>41</v>
      </c>
      <c r="H56" s="24"/>
    </row>
    <row r="57" spans="1:8" x14ac:dyDescent="0.2">
      <c r="A57" s="20" t="s">
        <v>134</v>
      </c>
      <c r="B57" s="21" t="s">
        <v>132</v>
      </c>
      <c r="C57" s="20">
        <v>42</v>
      </c>
      <c r="D57" s="20" t="s">
        <v>135</v>
      </c>
      <c r="E57" s="22"/>
      <c r="F57" s="23"/>
      <c r="G57" s="20" t="s">
        <v>41</v>
      </c>
      <c r="H57" s="24"/>
    </row>
    <row r="58" spans="1:8" x14ac:dyDescent="0.2">
      <c r="A58" s="20" t="s">
        <v>136</v>
      </c>
      <c r="B58" s="21" t="s">
        <v>132</v>
      </c>
      <c r="C58" s="20">
        <v>1</v>
      </c>
      <c r="D58" s="20" t="s">
        <v>137</v>
      </c>
      <c r="E58" s="22"/>
      <c r="F58" s="23"/>
      <c r="G58" s="20" t="s">
        <v>41</v>
      </c>
      <c r="H58" s="24"/>
    </row>
    <row r="59" spans="1:8" x14ac:dyDescent="0.2">
      <c r="A59" s="20" t="s">
        <v>138</v>
      </c>
      <c r="B59" s="21" t="s">
        <v>132</v>
      </c>
      <c r="C59" s="20">
        <v>41</v>
      </c>
      <c r="D59" s="20" t="s">
        <v>139</v>
      </c>
      <c r="E59" s="22"/>
      <c r="F59" s="23"/>
      <c r="G59" s="20" t="s">
        <v>41</v>
      </c>
      <c r="H59" s="24"/>
    </row>
    <row r="60" spans="1:8" x14ac:dyDescent="0.2">
      <c r="A60" s="20" t="s">
        <v>140</v>
      </c>
      <c r="B60" s="21" t="s">
        <v>132</v>
      </c>
      <c r="C60" s="20">
        <v>1</v>
      </c>
      <c r="D60" s="20" t="s">
        <v>141</v>
      </c>
      <c r="E60" s="22"/>
      <c r="F60" s="23"/>
      <c r="G60" s="20" t="s">
        <v>41</v>
      </c>
      <c r="H60" s="24"/>
    </row>
    <row r="61" spans="1:8" x14ac:dyDescent="0.2">
      <c r="A61" s="20" t="s">
        <v>142</v>
      </c>
      <c r="B61" s="21" t="s">
        <v>132</v>
      </c>
      <c r="C61" s="20">
        <v>41</v>
      </c>
      <c r="D61" s="20" t="s">
        <v>143</v>
      </c>
      <c r="E61" s="22"/>
      <c r="F61" s="23"/>
      <c r="G61" s="20" t="s">
        <v>41</v>
      </c>
      <c r="H61" s="24"/>
    </row>
    <row r="62" spans="1:8" x14ac:dyDescent="0.2">
      <c r="A62" s="20" t="s">
        <v>142</v>
      </c>
      <c r="B62" s="21" t="s">
        <v>132</v>
      </c>
      <c r="C62" s="20">
        <v>42</v>
      </c>
      <c r="D62" s="20" t="s">
        <v>143</v>
      </c>
      <c r="E62" s="22"/>
      <c r="F62" s="23"/>
      <c r="G62" s="20" t="s">
        <v>41</v>
      </c>
      <c r="H62" s="24"/>
    </row>
    <row r="63" spans="1:8" x14ac:dyDescent="0.2">
      <c r="A63" s="20" t="s">
        <v>144</v>
      </c>
      <c r="B63" s="21" t="s">
        <v>132</v>
      </c>
      <c r="C63" s="20">
        <v>1</v>
      </c>
      <c r="D63" s="20" t="s">
        <v>145</v>
      </c>
      <c r="E63" s="22"/>
      <c r="F63" s="23"/>
      <c r="G63" s="20" t="s">
        <v>41</v>
      </c>
      <c r="H63" s="24"/>
    </row>
    <row r="64" spans="1:8" x14ac:dyDescent="0.2">
      <c r="A64" s="20" t="s">
        <v>146</v>
      </c>
      <c r="B64" s="21" t="s">
        <v>132</v>
      </c>
      <c r="C64" s="20">
        <v>41</v>
      </c>
      <c r="D64" s="20" t="s">
        <v>147</v>
      </c>
      <c r="E64" s="22"/>
      <c r="F64" s="23"/>
      <c r="G64" s="20" t="s">
        <v>41</v>
      </c>
      <c r="H64" s="24"/>
    </row>
    <row r="65" spans="1:8" x14ac:dyDescent="0.2">
      <c r="A65" s="20" t="s">
        <v>148</v>
      </c>
      <c r="B65" s="21" t="s">
        <v>132</v>
      </c>
      <c r="C65" s="20">
        <v>1</v>
      </c>
      <c r="D65" s="20" t="s">
        <v>149</v>
      </c>
      <c r="E65" s="22"/>
      <c r="F65" s="23"/>
      <c r="G65" s="20" t="s">
        <v>41</v>
      </c>
      <c r="H65" s="24"/>
    </row>
    <row r="66" spans="1:8" x14ac:dyDescent="0.2">
      <c r="A66" s="20" t="s">
        <v>150</v>
      </c>
      <c r="B66" s="21" t="s">
        <v>132</v>
      </c>
      <c r="C66" s="20">
        <v>41</v>
      </c>
      <c r="D66" s="20" t="s">
        <v>151</v>
      </c>
      <c r="E66" s="22"/>
      <c r="F66" s="23"/>
      <c r="G66" s="20" t="s">
        <v>41</v>
      </c>
      <c r="H66" s="24"/>
    </row>
    <row r="67" spans="1:8" x14ac:dyDescent="0.2">
      <c r="A67" s="20" t="s">
        <v>150</v>
      </c>
      <c r="B67" s="21" t="s">
        <v>132</v>
      </c>
      <c r="C67" s="20">
        <v>42</v>
      </c>
      <c r="D67" s="20" t="s">
        <v>151</v>
      </c>
      <c r="E67" s="22"/>
      <c r="F67" s="23"/>
      <c r="G67" s="20" t="s">
        <v>41</v>
      </c>
      <c r="H67" s="24"/>
    </row>
    <row r="68" spans="1:8" x14ac:dyDescent="0.2">
      <c r="A68" s="20" t="s">
        <v>152</v>
      </c>
      <c r="B68" s="21" t="s">
        <v>132</v>
      </c>
      <c r="C68" s="20">
        <v>1</v>
      </c>
      <c r="D68" s="20" t="s">
        <v>153</v>
      </c>
      <c r="E68" s="22"/>
      <c r="F68" s="23"/>
      <c r="G68" s="20" t="s">
        <v>41</v>
      </c>
      <c r="H68" s="24"/>
    </row>
    <row r="69" spans="1:8" x14ac:dyDescent="0.2">
      <c r="A69" s="20" t="s">
        <v>154</v>
      </c>
      <c r="B69" s="21" t="s">
        <v>132</v>
      </c>
      <c r="C69" s="20">
        <v>41</v>
      </c>
      <c r="D69" s="20" t="s">
        <v>155</v>
      </c>
      <c r="E69" s="22"/>
      <c r="F69" s="23"/>
      <c r="G69" s="20" t="s">
        <v>41</v>
      </c>
      <c r="H69" s="24"/>
    </row>
    <row r="70" spans="1:8" x14ac:dyDescent="0.2">
      <c r="A70" s="20" t="s">
        <v>154</v>
      </c>
      <c r="B70" s="21" t="s">
        <v>132</v>
      </c>
      <c r="C70" s="20">
        <v>1</v>
      </c>
      <c r="D70" s="20" t="s">
        <v>155</v>
      </c>
      <c r="E70" s="22"/>
      <c r="F70" s="23"/>
      <c r="G70" s="20" t="s">
        <v>41</v>
      </c>
      <c r="H70" s="24"/>
    </row>
    <row r="71" spans="1:8" x14ac:dyDescent="0.2">
      <c r="A71" s="20" t="s">
        <v>156</v>
      </c>
      <c r="B71" s="21" t="s">
        <v>132</v>
      </c>
      <c r="C71" s="20">
        <v>1</v>
      </c>
      <c r="D71" s="20" t="s">
        <v>157</v>
      </c>
      <c r="E71" s="22"/>
      <c r="F71" s="23"/>
      <c r="G71" s="20" t="s">
        <v>41</v>
      </c>
      <c r="H71" s="24"/>
    </row>
    <row r="72" spans="1:8" x14ac:dyDescent="0.2">
      <c r="A72" s="20" t="s">
        <v>158</v>
      </c>
      <c r="B72" s="21" t="s">
        <v>132</v>
      </c>
      <c r="C72" s="20">
        <v>41</v>
      </c>
      <c r="D72" s="20" t="s">
        <v>159</v>
      </c>
      <c r="E72" s="22"/>
      <c r="F72" s="23"/>
      <c r="G72" s="20" t="s">
        <v>41</v>
      </c>
      <c r="H72" s="24"/>
    </row>
    <row r="73" spans="1:8" x14ac:dyDescent="0.2">
      <c r="A73" s="20" t="s">
        <v>160</v>
      </c>
      <c r="B73" s="21" t="s">
        <v>132</v>
      </c>
      <c r="C73" s="20">
        <v>1</v>
      </c>
      <c r="D73" s="20" t="s">
        <v>161</v>
      </c>
      <c r="E73" s="22"/>
      <c r="F73" s="23"/>
      <c r="G73" s="20" t="s">
        <v>41</v>
      </c>
      <c r="H73" s="24"/>
    </row>
    <row r="74" spans="1:8" x14ac:dyDescent="0.2">
      <c r="A74" s="20" t="s">
        <v>162</v>
      </c>
      <c r="B74" s="21" t="s">
        <v>132</v>
      </c>
      <c r="C74" s="20">
        <v>45</v>
      </c>
      <c r="D74" s="20" t="s">
        <v>163</v>
      </c>
      <c r="E74" s="22"/>
      <c r="F74" s="23"/>
      <c r="G74" s="20" t="s">
        <v>41</v>
      </c>
      <c r="H74" s="24"/>
    </row>
    <row r="75" spans="1:8" x14ac:dyDescent="0.2">
      <c r="A75" s="20" t="s">
        <v>162</v>
      </c>
      <c r="B75" s="21" t="s">
        <v>132</v>
      </c>
      <c r="C75" s="20">
        <v>41</v>
      </c>
      <c r="D75" s="20" t="s">
        <v>163</v>
      </c>
      <c r="E75" s="22"/>
      <c r="F75" s="23"/>
      <c r="G75" s="20" t="s">
        <v>41</v>
      </c>
      <c r="H75" s="24"/>
    </row>
    <row r="76" spans="1:8" x14ac:dyDescent="0.2">
      <c r="A76" s="20" t="s">
        <v>164</v>
      </c>
      <c r="B76" s="21" t="s">
        <v>132</v>
      </c>
      <c r="C76" s="20">
        <v>1</v>
      </c>
      <c r="D76" s="20" t="s">
        <v>165</v>
      </c>
      <c r="E76" s="22"/>
      <c r="F76" s="23"/>
      <c r="G76" s="20" t="s">
        <v>41</v>
      </c>
      <c r="H76" s="24"/>
    </row>
    <row r="77" spans="1:8" x14ac:dyDescent="0.2">
      <c r="A77" s="20" t="s">
        <v>166</v>
      </c>
      <c r="B77" s="21" t="s">
        <v>132</v>
      </c>
      <c r="C77" s="20">
        <v>41</v>
      </c>
      <c r="D77" s="20" t="s">
        <v>167</v>
      </c>
      <c r="E77" s="22"/>
      <c r="F77" s="23"/>
      <c r="G77" s="20" t="s">
        <v>41</v>
      </c>
      <c r="H77" s="24"/>
    </row>
    <row r="78" spans="1:8" x14ac:dyDescent="0.2">
      <c r="A78" s="20" t="s">
        <v>168</v>
      </c>
      <c r="B78" s="21" t="s">
        <v>132</v>
      </c>
      <c r="C78" s="20">
        <v>1</v>
      </c>
      <c r="D78" s="20" t="s">
        <v>169</v>
      </c>
      <c r="E78" s="22"/>
      <c r="F78" s="23"/>
      <c r="G78" s="20" t="s">
        <v>41</v>
      </c>
      <c r="H78" s="24"/>
    </row>
    <row r="79" spans="1:8" x14ac:dyDescent="0.2">
      <c r="A79" s="20" t="s">
        <v>170</v>
      </c>
      <c r="B79" s="21" t="s">
        <v>132</v>
      </c>
      <c r="C79" s="20">
        <v>41</v>
      </c>
      <c r="D79" s="20" t="s">
        <v>171</v>
      </c>
      <c r="E79" s="22"/>
      <c r="F79" s="23"/>
      <c r="G79" s="20" t="s">
        <v>41</v>
      </c>
      <c r="H79" s="24"/>
    </row>
    <row r="80" spans="1:8" x14ac:dyDescent="0.2">
      <c r="A80" s="20" t="s">
        <v>172</v>
      </c>
      <c r="B80" s="21" t="s">
        <v>132</v>
      </c>
      <c r="C80" s="20">
        <v>1</v>
      </c>
      <c r="D80" s="20" t="s">
        <v>173</v>
      </c>
      <c r="E80" s="22"/>
      <c r="F80" s="23"/>
      <c r="G80" s="20" t="s">
        <v>41</v>
      </c>
      <c r="H80" s="24"/>
    </row>
    <row r="81" spans="1:8" x14ac:dyDescent="0.2">
      <c r="A81" s="20" t="s">
        <v>174</v>
      </c>
      <c r="B81" s="21" t="s">
        <v>132</v>
      </c>
      <c r="C81" s="20">
        <v>41</v>
      </c>
      <c r="D81" s="20" t="s">
        <v>175</v>
      </c>
      <c r="E81" s="22"/>
      <c r="F81" s="23"/>
      <c r="G81" s="20" t="s">
        <v>41</v>
      </c>
      <c r="H81" s="24"/>
    </row>
    <row r="82" spans="1:8" x14ac:dyDescent="0.2">
      <c r="A82" s="20" t="s">
        <v>176</v>
      </c>
      <c r="B82" s="21" t="s">
        <v>132</v>
      </c>
      <c r="C82" s="20">
        <v>1</v>
      </c>
      <c r="D82" s="20" t="s">
        <v>177</v>
      </c>
      <c r="E82" s="22"/>
      <c r="F82" s="23"/>
      <c r="G82" s="20" t="s">
        <v>41</v>
      </c>
      <c r="H82" s="24"/>
    </row>
    <row r="83" spans="1:8" x14ac:dyDescent="0.2">
      <c r="A83" s="20" t="s">
        <v>178</v>
      </c>
      <c r="B83" s="21" t="s">
        <v>132</v>
      </c>
      <c r="C83" s="20">
        <v>41</v>
      </c>
      <c r="D83" s="20" t="s">
        <v>179</v>
      </c>
      <c r="E83" s="22"/>
      <c r="F83" s="23"/>
      <c r="G83" s="20" t="s">
        <v>41</v>
      </c>
      <c r="H83" s="24"/>
    </row>
    <row r="84" spans="1:8" x14ac:dyDescent="0.2">
      <c r="A84" s="20" t="s">
        <v>180</v>
      </c>
      <c r="B84" s="21" t="s">
        <v>132</v>
      </c>
      <c r="C84" s="20">
        <v>1</v>
      </c>
      <c r="D84" s="20" t="s">
        <v>181</v>
      </c>
      <c r="E84" s="22"/>
      <c r="F84" s="23"/>
      <c r="G84" s="20" t="s">
        <v>41</v>
      </c>
      <c r="H84" s="24"/>
    </row>
    <row r="85" spans="1:8" x14ac:dyDescent="0.2">
      <c r="A85" s="20" t="s">
        <v>182</v>
      </c>
      <c r="B85" s="21" t="s">
        <v>132</v>
      </c>
      <c r="C85" s="20">
        <v>41</v>
      </c>
      <c r="D85" s="20" t="s">
        <v>183</v>
      </c>
      <c r="E85" s="22"/>
      <c r="F85" s="23"/>
      <c r="G85" s="20" t="s">
        <v>41</v>
      </c>
      <c r="H85" s="24"/>
    </row>
    <row r="86" spans="1:8" x14ac:dyDescent="0.2">
      <c r="A86" s="20" t="s">
        <v>184</v>
      </c>
      <c r="B86" s="21" t="s">
        <v>132</v>
      </c>
      <c r="C86" s="20">
        <v>1</v>
      </c>
      <c r="D86" s="20" t="s">
        <v>185</v>
      </c>
      <c r="E86" s="22"/>
      <c r="F86" s="23"/>
      <c r="G86" s="20" t="s">
        <v>41</v>
      </c>
      <c r="H86" s="24"/>
    </row>
    <row r="87" spans="1:8" x14ac:dyDescent="0.2">
      <c r="A87" s="20" t="s">
        <v>186</v>
      </c>
      <c r="B87" s="21" t="s">
        <v>132</v>
      </c>
      <c r="C87" s="20">
        <v>41</v>
      </c>
      <c r="D87" s="20" t="s">
        <v>187</v>
      </c>
      <c r="E87" s="22"/>
      <c r="F87" s="23"/>
      <c r="G87" s="20" t="s">
        <v>41</v>
      </c>
      <c r="H87" s="24"/>
    </row>
    <row r="88" spans="1:8" x14ac:dyDescent="0.2">
      <c r="A88" s="25" t="s">
        <v>188</v>
      </c>
      <c r="B88" s="26" t="s">
        <v>189</v>
      </c>
      <c r="C88" s="25">
        <v>1</v>
      </c>
      <c r="D88" s="25" t="s">
        <v>190</v>
      </c>
      <c r="E88" s="27"/>
      <c r="F88" s="28"/>
      <c r="G88" s="25" t="s">
        <v>41</v>
      </c>
      <c r="H88" s="29"/>
    </row>
  </sheetData>
  <pageMargins left="0.7" right="0.7" top="0.75" bottom="0.75" header="0.3" footer="0.3"/>
  <pageSetup paperSize="9" scale="70" orientation="landscape" horizontalDpi="150" verticalDpi="0" r:id="rId1"/>
  <headerFooter>
    <oddFooter>&amp;LOns Middelbaar Onderwijs optimalisatie                      
CONCEPT PER 01-03-2021&amp;ROpmaakdatum: 18-03-2021
Intexso - De Start 5 - Leusden
+31 (33) 2778485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2E5D1-EB1E-4335-8412-15DBDF595D3F}">
  <dimension ref="A1:N66"/>
  <sheetViews>
    <sheetView tabSelected="1" workbookViewId="0"/>
  </sheetViews>
  <sheetFormatPr defaultRowHeight="12.6" x14ac:dyDescent="0.2"/>
  <cols>
    <col min="1" max="1" width="7.6328125" customWidth="1"/>
    <col min="2" max="2" width="6.6328125" customWidth="1"/>
    <col min="3" max="3" width="12.6328125" customWidth="1"/>
    <col min="4" max="4" width="35.6328125" customWidth="1"/>
    <col min="5" max="5" width="12.6328125" customWidth="1"/>
    <col min="6" max="8" width="11.6328125" customWidth="1"/>
    <col min="9" max="9" width="9.6328125" customWidth="1"/>
    <col min="10" max="12" width="11.6328125" customWidth="1"/>
    <col min="13" max="13" width="12.6328125" customWidth="1"/>
    <col min="14" max="14" width="14.6328125" customWidth="1"/>
  </cols>
  <sheetData>
    <row r="1" spans="1:14" x14ac:dyDescent="0.2">
      <c r="A1" s="1" t="str">
        <f>CONCATENATE("Bijlage G6.2: ",tabeltype," regulier werk")</f>
        <v>Bijlage G6.2: Invultabel regulier werk</v>
      </c>
    </row>
    <row r="3" spans="1:14" ht="37.799999999999997" x14ac:dyDescent="0.2">
      <c r="A3" s="8" t="s">
        <v>191</v>
      </c>
      <c r="B3" s="8" t="s">
        <v>7</v>
      </c>
      <c r="C3" s="8" t="s">
        <v>192</v>
      </c>
      <c r="D3" s="8" t="s">
        <v>32</v>
      </c>
      <c r="E3" s="8" t="s">
        <v>193</v>
      </c>
      <c r="F3" s="8" t="s">
        <v>194</v>
      </c>
      <c r="G3" s="8" t="s">
        <v>33</v>
      </c>
      <c r="H3" s="8" t="s">
        <v>34</v>
      </c>
      <c r="I3" s="8" t="s">
        <v>35</v>
      </c>
      <c r="J3" s="8" t="s">
        <v>36</v>
      </c>
      <c r="K3" s="8" t="s">
        <v>195</v>
      </c>
      <c r="L3" s="8" t="s">
        <v>196</v>
      </c>
      <c r="M3" s="8" t="s">
        <v>197</v>
      </c>
      <c r="N3" s="8" t="s">
        <v>198</v>
      </c>
    </row>
    <row r="4" spans="1:14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1"/>
    </row>
    <row r="5" spans="1:14" x14ac:dyDescent="0.2">
      <c r="A5" s="12" t="s">
        <v>37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4"/>
    </row>
    <row r="6" spans="1:14" x14ac:dyDescent="0.2">
      <c r="A6" s="15" t="s">
        <v>199</v>
      </c>
      <c r="B6" s="15" t="s">
        <v>12</v>
      </c>
      <c r="C6" s="15" t="s">
        <v>200</v>
      </c>
      <c r="D6" s="15" t="s">
        <v>201</v>
      </c>
      <c r="E6" s="30">
        <v>246.6</v>
      </c>
      <c r="F6" s="30">
        <f>E6*VLOOKUP(B6,dagsoorttabel1,2,FALSE)</f>
        <v>198.24705882352941</v>
      </c>
      <c r="G6" s="31">
        <f>IF(AND(catpn_1_BKHB_1&gt;0,catpn_1_BKHV_41&gt;0),(dagenperjaar1*VLOOKUP(B6,dagsoorttabel1,2,FALSE))/(((dagenperjaar1*VLOOKUP(B6,dagsoorttabel1,2,FALSE))-catfd_1_BKHV_41)/catpn_1_BKHB_1+catfd_1_BKHV_41/catpn_1_BKHV_41),0)</f>
        <v>0</v>
      </c>
      <c r="H6" s="32">
        <f>IF(AND(catpn_1_BKHB_1&gt;0,catpn_1_BKHV_41&gt;0),(catdw_1_BKHB_1*((dagenperjaar1-VLOOKUP(B6,dagsoorttabel1,2,FALSE))-catfd_1_BKHV_41)/catpn_1_BKHB_1+catdw_1_BKHV_41*catfd_1_BKHV_41/catpn_1_BKHV_41)/(((dagenperjaar1-VLOOKUP(B6,dagsoorttabel1,2,FALSE))-catfd_1_BKHV_41)/catpn_1_BKHB_1+catfd_1_BKHV_41/catpn_1_BKHV_41),0)</f>
        <v>0</v>
      </c>
      <c r="I6" s="15" t="s">
        <v>41</v>
      </c>
      <c r="J6" s="33">
        <f>IF(AND(catpn_1_BKHB_1&gt;0,catpn_1_BKHV_41&gt;0),(cattf_1_BKHB_1*((dagenperjaar1*VLOOKUP(B6,dagsoorttabel1,2,FALSE))-catfd_1_BKHV_41)/catpn_1_BKHB_1+cattf_1_BKHV_41*catfd_1_BKHV_41/catpn_1_BKHV_41)/(((dagenperjaar1*VLOOKUP(B6,dagsoorttabel1,2,FALSE))-catfd_1_BKHV_41)/catpn_1_BKHB_1+catfd_1_BKHV_41/catpn_1_BKHV_41),0)</f>
        <v>0</v>
      </c>
      <c r="K6" s="30">
        <f>IF(OR(ISBLANK(G6),G6=0),0,F6/ROUND(G6,4))</f>
        <v>0</v>
      </c>
      <c r="L6" s="33">
        <f>ROUND(J6,2)*K6</f>
        <v>0</v>
      </c>
      <c r="M6" s="30">
        <f>K6*dagenperjaar1</f>
        <v>0</v>
      </c>
      <c r="N6" s="33">
        <f>M6*ROUND(J6,2)</f>
        <v>0</v>
      </c>
    </row>
    <row r="7" spans="1:14" x14ac:dyDescent="0.2">
      <c r="A7" s="20" t="s">
        <v>199</v>
      </c>
      <c r="B7" s="20" t="s">
        <v>11</v>
      </c>
      <c r="C7" s="20" t="s">
        <v>200</v>
      </c>
      <c r="D7" s="20" t="s">
        <v>201</v>
      </c>
      <c r="E7" s="34">
        <v>30</v>
      </c>
      <c r="F7" s="34">
        <f>E7*VLOOKUP(B7,dagsoorttabel1,2,FALSE)</f>
        <v>24.705882352941174</v>
      </c>
      <c r="G7" s="35">
        <f>IF(AND(catpn_1_BKHB_1&gt;0,catpn_1_BKHV_42&gt;0),(dagenperjaar1*VLOOKUP(B7,dagsoorttabel1,2,FALSE))/(((dagenperjaar1*VLOOKUP(B7,dagsoorttabel1,2,FALSE))-catfd_1_BKHV_42)/catpn_1_BKHB_1+catfd_1_BKHV_42/catpn_1_BKHV_42),0)</f>
        <v>0</v>
      </c>
      <c r="H7" s="36">
        <f>IF(AND(catpn_1_BKHB_1&gt;0,catpn_1_BKHV_42&gt;0),(catdw_1_BKHB_1*((dagenperjaar1-VLOOKUP(B7,dagsoorttabel1,2,FALSE))-catfd_1_BKHV_42)/catpn_1_BKHB_1+catdw_1_BKHV_42*catfd_1_BKHV_42/catpn_1_BKHV_42)/(((dagenperjaar1-VLOOKUP(B7,dagsoorttabel1,2,FALSE))-catfd_1_BKHV_42)/catpn_1_BKHB_1+catfd_1_BKHV_42/catpn_1_BKHV_42),0)</f>
        <v>0</v>
      </c>
      <c r="I7" s="20" t="s">
        <v>41</v>
      </c>
      <c r="J7" s="37">
        <f>IF(AND(catpn_1_BKHB_1&gt;0,catpn_1_BKHV_42&gt;0),(cattf_1_BKHB_1*((dagenperjaar1*VLOOKUP(B7,dagsoorttabel1,2,FALSE))-catfd_1_BKHV_42)/catpn_1_BKHB_1+cattf_1_BKHV_42*catfd_1_BKHV_42/catpn_1_BKHV_42)/(((dagenperjaar1*VLOOKUP(B7,dagsoorttabel1,2,FALSE))-catfd_1_BKHV_42)/catpn_1_BKHB_1+catfd_1_BKHV_42/catpn_1_BKHV_42),0)</f>
        <v>0</v>
      </c>
      <c r="K7" s="34">
        <f>IF(OR(ISBLANK(G7),G7=0),0,F7/ROUND(G7,4))</f>
        <v>0</v>
      </c>
      <c r="L7" s="37">
        <f>ROUND(J7,2)*K7</f>
        <v>0</v>
      </c>
      <c r="M7" s="34">
        <f>K7*dagenperjaar1</f>
        <v>0</v>
      </c>
      <c r="N7" s="37">
        <f>M7*ROUND(J7,2)</f>
        <v>0</v>
      </c>
    </row>
    <row r="8" spans="1:14" x14ac:dyDescent="0.2">
      <c r="A8" s="20" t="s">
        <v>202</v>
      </c>
      <c r="B8" s="20" t="s">
        <v>12</v>
      </c>
      <c r="C8" s="20" t="s">
        <v>200</v>
      </c>
      <c r="D8" s="20" t="s">
        <v>203</v>
      </c>
      <c r="E8" s="34">
        <v>471.03000000000003</v>
      </c>
      <c r="F8" s="34">
        <f>E8*VLOOKUP(B8,dagsoorttabel1,2,FALSE)</f>
        <v>378.67117647058825</v>
      </c>
      <c r="G8" s="35">
        <f>IF(AND(catpn_1_BKZB_1&gt;0,catpn_1_BKZV_41&gt;0),(dagenperjaar1*VLOOKUP(B8,dagsoorttabel1,2,FALSE))/(((dagenperjaar1*VLOOKUP(B8,dagsoorttabel1,2,FALSE))-catfd_1_BKZV_41)/catpn_1_BKZB_1+catfd_1_BKZV_41/catpn_1_BKZV_41),0)</f>
        <v>0</v>
      </c>
      <c r="H8" s="36">
        <f>IF(AND(catpn_1_BKZB_1&gt;0,catpn_1_BKZV_41&gt;0),(catdw_1_BKZB_1*((dagenperjaar1-VLOOKUP(B8,dagsoorttabel1,2,FALSE))-catfd_1_BKZV_41)/catpn_1_BKZB_1+catdw_1_BKZV_41*catfd_1_BKZV_41/catpn_1_BKZV_41)/(((dagenperjaar1-VLOOKUP(B8,dagsoorttabel1,2,FALSE))-catfd_1_BKZV_41)/catpn_1_BKZB_1+catfd_1_BKZV_41/catpn_1_BKZV_41),0)</f>
        <v>0</v>
      </c>
      <c r="I8" s="20" t="s">
        <v>41</v>
      </c>
      <c r="J8" s="37">
        <f>IF(AND(catpn_1_BKZB_1&gt;0,catpn_1_BKZV_41&gt;0),(cattf_1_BKZB_1*((dagenperjaar1*VLOOKUP(B8,dagsoorttabel1,2,FALSE))-catfd_1_BKZV_41)/catpn_1_BKZB_1+cattf_1_BKZV_41*catfd_1_BKZV_41/catpn_1_BKZV_41)/(((dagenperjaar1*VLOOKUP(B8,dagsoorttabel1,2,FALSE))-catfd_1_BKZV_41)/catpn_1_BKZB_1+catfd_1_BKZV_41/catpn_1_BKZV_41),0)</f>
        <v>0</v>
      </c>
      <c r="K8" s="34">
        <f>IF(OR(ISBLANK(G8),G8=0),0,F8/ROUND(G8,4))</f>
        <v>0</v>
      </c>
      <c r="L8" s="37">
        <f>ROUND(J8,2)*K8</f>
        <v>0</v>
      </c>
      <c r="M8" s="34">
        <f>K8*dagenperjaar1</f>
        <v>0</v>
      </c>
      <c r="N8" s="37">
        <f>M8*ROUND(J8,2)</f>
        <v>0</v>
      </c>
    </row>
    <row r="9" spans="1:14" x14ac:dyDescent="0.2">
      <c r="A9" s="20" t="s">
        <v>202</v>
      </c>
      <c r="B9" s="20" t="s">
        <v>11</v>
      </c>
      <c r="C9" s="20" t="s">
        <v>200</v>
      </c>
      <c r="D9" s="20" t="s">
        <v>203</v>
      </c>
      <c r="E9" s="34">
        <v>66</v>
      </c>
      <c r="F9" s="34">
        <f>E9*VLOOKUP(B9,dagsoorttabel1,2,FALSE)</f>
        <v>54.352941176470587</v>
      </c>
      <c r="G9" s="35">
        <f>IF(AND(catpn_1_BKZB_1&gt;0,catpn_1_BKZV_42&gt;0),(dagenperjaar1*VLOOKUP(B9,dagsoorttabel1,2,FALSE))/(((dagenperjaar1*VLOOKUP(B9,dagsoorttabel1,2,FALSE))-catfd_1_BKZV_42)/catpn_1_BKZB_1+catfd_1_BKZV_42/catpn_1_BKZV_42),0)</f>
        <v>0</v>
      </c>
      <c r="H9" s="36">
        <f>IF(AND(catpn_1_BKZB_1&gt;0,catpn_1_BKZV_42&gt;0),(catdw_1_BKZB_1*((dagenperjaar1-VLOOKUP(B9,dagsoorttabel1,2,FALSE))-catfd_1_BKZV_42)/catpn_1_BKZB_1+catdw_1_BKZV_42*catfd_1_BKZV_42/catpn_1_BKZV_42)/(((dagenperjaar1-VLOOKUP(B9,dagsoorttabel1,2,FALSE))-catfd_1_BKZV_42)/catpn_1_BKZB_1+catfd_1_BKZV_42/catpn_1_BKZV_42),0)</f>
        <v>0</v>
      </c>
      <c r="I9" s="20" t="s">
        <v>41</v>
      </c>
      <c r="J9" s="37">
        <f>IF(AND(catpn_1_BKZB_1&gt;0,catpn_1_BKZV_42&gt;0),(cattf_1_BKZB_1*((dagenperjaar1*VLOOKUP(B9,dagsoorttabel1,2,FALSE))-catfd_1_BKZV_42)/catpn_1_BKZB_1+cattf_1_BKZV_42*catfd_1_BKZV_42/catpn_1_BKZV_42)/(((dagenperjaar1*VLOOKUP(B9,dagsoorttabel1,2,FALSE))-catfd_1_BKZV_42)/catpn_1_BKZB_1+catfd_1_BKZV_42/catpn_1_BKZV_42),0)</f>
        <v>0</v>
      </c>
      <c r="K9" s="34">
        <f>IF(OR(ISBLANK(G9),G9=0),0,F9/ROUND(G9,4))</f>
        <v>0</v>
      </c>
      <c r="L9" s="37">
        <f>ROUND(J9,2)*K9</f>
        <v>0</v>
      </c>
      <c r="M9" s="34">
        <f>K9*dagenperjaar1</f>
        <v>0</v>
      </c>
      <c r="N9" s="37">
        <f>M9*ROUND(J9,2)</f>
        <v>0</v>
      </c>
    </row>
    <row r="10" spans="1:14" x14ac:dyDescent="0.2">
      <c r="A10" s="20" t="s">
        <v>204</v>
      </c>
      <c r="B10" s="20" t="s">
        <v>12</v>
      </c>
      <c r="C10" s="20" t="s">
        <v>200</v>
      </c>
      <c r="D10" s="20" t="s">
        <v>205</v>
      </c>
      <c r="E10" s="34">
        <v>589</v>
      </c>
      <c r="F10" s="34">
        <f>E10*VLOOKUP(B10,dagsoorttabel1,2,FALSE)</f>
        <v>473.50980392156862</v>
      </c>
      <c r="G10" s="35">
        <f>IF(AND(catpn_1_GSHB_1&gt;0,catpn_1_GSHV_41&gt;0),(dagenperjaar1*VLOOKUP(B10,dagsoorttabel1,2,FALSE))/(((dagenperjaar1*VLOOKUP(B10,dagsoorttabel1,2,FALSE))-catfd_1_GSHV_41)/catpn_1_GSHB_1+catfd_1_GSHV_41/catpn_1_GSHV_41),0)</f>
        <v>0</v>
      </c>
      <c r="H10" s="36">
        <f>IF(AND(catpn_1_GSHB_1&gt;0,catpn_1_GSHV_41&gt;0),(catdw_1_GSHB_1*((dagenperjaar1-VLOOKUP(B10,dagsoorttabel1,2,FALSE))-catfd_1_GSHV_41)/catpn_1_GSHB_1+catdw_1_GSHV_41*catfd_1_GSHV_41/catpn_1_GSHV_41)/(((dagenperjaar1-VLOOKUP(B10,dagsoorttabel1,2,FALSE))-catfd_1_GSHV_41)/catpn_1_GSHB_1+catfd_1_GSHV_41/catpn_1_GSHV_41),0)</f>
        <v>0</v>
      </c>
      <c r="I10" s="20" t="s">
        <v>41</v>
      </c>
      <c r="J10" s="37">
        <f>IF(AND(catpn_1_GSHB_1&gt;0,catpn_1_GSHV_41&gt;0),(cattf_1_GSHB_1*((dagenperjaar1*VLOOKUP(B10,dagsoorttabel1,2,FALSE))-catfd_1_GSHV_41)/catpn_1_GSHB_1+cattf_1_GSHV_41*catfd_1_GSHV_41/catpn_1_GSHV_41)/(((dagenperjaar1*VLOOKUP(B10,dagsoorttabel1,2,FALSE))-catfd_1_GSHV_41)/catpn_1_GSHB_1+catfd_1_GSHV_41/catpn_1_GSHV_41),0)</f>
        <v>0</v>
      </c>
      <c r="K10" s="34">
        <f>IF(OR(ISBLANK(G10),G10=0),0,F10/ROUND(G10,4))</f>
        <v>0</v>
      </c>
      <c r="L10" s="37">
        <f>ROUND(J10,2)*K10</f>
        <v>0</v>
      </c>
      <c r="M10" s="34">
        <f>K10*dagenperjaar1</f>
        <v>0</v>
      </c>
      <c r="N10" s="37">
        <f>M10*ROUND(J10,2)</f>
        <v>0</v>
      </c>
    </row>
    <row r="11" spans="1:14" x14ac:dyDescent="0.2">
      <c r="A11" s="20" t="s">
        <v>204</v>
      </c>
      <c r="B11" s="20" t="s">
        <v>19</v>
      </c>
      <c r="C11" s="20" t="s">
        <v>200</v>
      </c>
      <c r="D11" s="20" t="s">
        <v>205</v>
      </c>
      <c r="E11" s="34">
        <v>140</v>
      </c>
      <c r="F11" s="34">
        <f>E11*VLOOKUP(B11,dagsoorttabel1,2,FALSE)</f>
        <v>22.509803921568629</v>
      </c>
      <c r="G11" s="35">
        <f>IF(AND(catpn_1_GSHB_1&gt;0,catpn_1_GSHV_41&gt;0),(dagenperjaar1*VLOOKUP(B11,dagsoorttabel1,2,FALSE))/(((dagenperjaar1*VLOOKUP(B11,dagsoorttabel1,2,FALSE))-catfd_1_GSHV_41)/catpn_1_GSHB_1+catfd_1_GSHV_41/catpn_1_GSHV_41),0)</f>
        <v>0</v>
      </c>
      <c r="H11" s="36">
        <f>IF(AND(catpn_1_GSHB_1&gt;0,catpn_1_GSHV_41&gt;0),(catdw_1_GSHB_1*((dagenperjaar1-VLOOKUP(B11,dagsoorttabel1,2,FALSE))-catfd_1_GSHV_41)/catpn_1_GSHB_1+catdw_1_GSHV_41*catfd_1_GSHV_41/catpn_1_GSHV_41)/(((dagenperjaar1-VLOOKUP(B11,dagsoorttabel1,2,FALSE))-catfd_1_GSHV_41)/catpn_1_GSHB_1+catfd_1_GSHV_41/catpn_1_GSHV_41),0)</f>
        <v>0</v>
      </c>
      <c r="I11" s="20" t="s">
        <v>41</v>
      </c>
      <c r="J11" s="37">
        <f>IF(AND(catpn_1_GSHB_1&gt;0,catpn_1_GSHV_41&gt;0),(cattf_1_GSHB_1*((dagenperjaar1*VLOOKUP(B11,dagsoorttabel1,2,FALSE))-catfd_1_GSHV_41)/catpn_1_GSHB_1+cattf_1_GSHV_41*catfd_1_GSHV_41/catpn_1_GSHV_41)/(((dagenperjaar1*VLOOKUP(B11,dagsoorttabel1,2,FALSE))-catfd_1_GSHV_41)/catpn_1_GSHB_1+catfd_1_GSHV_41/catpn_1_GSHV_41),0)</f>
        <v>0</v>
      </c>
      <c r="K11" s="34">
        <f>IF(OR(ISBLANK(G11),G11=0),0,F11/ROUND(G11,4))</f>
        <v>0</v>
      </c>
      <c r="L11" s="37">
        <f>ROUND(J11,2)*K11</f>
        <v>0</v>
      </c>
      <c r="M11" s="34">
        <f>K11*dagenperjaar1</f>
        <v>0</v>
      </c>
      <c r="N11" s="37">
        <f>M11*ROUND(J11,2)</f>
        <v>0</v>
      </c>
    </row>
    <row r="12" spans="1:14" x14ac:dyDescent="0.2">
      <c r="A12" s="20" t="s">
        <v>204</v>
      </c>
      <c r="B12" s="20" t="s">
        <v>18</v>
      </c>
      <c r="C12" s="20" t="s">
        <v>200</v>
      </c>
      <c r="D12" s="20" t="s">
        <v>205</v>
      </c>
      <c r="E12" s="34">
        <v>1207</v>
      </c>
      <c r="F12" s="34">
        <f>E12*VLOOKUP(B12,dagsoorttabel1,2,FALSE)</f>
        <v>213</v>
      </c>
      <c r="G12" s="35">
        <f>IF(AND(catpn_1_GSHB_1&gt;0,catpn_1_GSHV_45&gt;0),(dagenperjaar1*VLOOKUP(B12,dagsoorttabel1,2,FALSE))/(((dagenperjaar1*VLOOKUP(B12,dagsoorttabel1,2,FALSE))-catfd_1_GSHV_45)/catpn_1_GSHB_1+catfd_1_GSHV_45/catpn_1_GSHV_45),0)</f>
        <v>0</v>
      </c>
      <c r="H12" s="36">
        <f>IF(AND(catpn_1_GSHB_1&gt;0,catpn_1_GSHV_45&gt;0),(catdw_1_GSHB_1*((dagenperjaar1-VLOOKUP(B12,dagsoorttabel1,2,FALSE))-catfd_1_GSHV_45)/catpn_1_GSHB_1+catdw_1_GSHV_45*catfd_1_GSHV_45/catpn_1_GSHV_45)/(((dagenperjaar1-VLOOKUP(B12,dagsoorttabel1,2,FALSE))-catfd_1_GSHV_45)/catpn_1_GSHB_1+catfd_1_GSHV_45/catpn_1_GSHV_45),0)</f>
        <v>0</v>
      </c>
      <c r="I12" s="20" t="s">
        <v>41</v>
      </c>
      <c r="J12" s="37">
        <f>IF(AND(catpn_1_GSHB_1&gt;0,catpn_1_GSHV_45&gt;0),(cattf_1_GSHB_1*((dagenperjaar1*VLOOKUP(B12,dagsoorttabel1,2,FALSE))-catfd_1_GSHV_45)/catpn_1_GSHB_1+cattf_1_GSHV_45*catfd_1_GSHV_45/catpn_1_GSHV_45)/(((dagenperjaar1*VLOOKUP(B12,dagsoorttabel1,2,FALSE))-catfd_1_GSHV_45)/catpn_1_GSHB_1+catfd_1_GSHV_45/catpn_1_GSHV_45),0)</f>
        <v>0</v>
      </c>
      <c r="K12" s="34">
        <f>IF(OR(ISBLANK(G12),G12=0),0,F12/ROUND(G12,4))</f>
        <v>0</v>
      </c>
      <c r="L12" s="37">
        <f>ROUND(J12,2)*K12</f>
        <v>0</v>
      </c>
      <c r="M12" s="34">
        <f>K12*dagenperjaar1</f>
        <v>0</v>
      </c>
      <c r="N12" s="37">
        <f>M12*ROUND(J12,2)</f>
        <v>0</v>
      </c>
    </row>
    <row r="13" spans="1:14" x14ac:dyDescent="0.2">
      <c r="A13" s="20" t="s">
        <v>206</v>
      </c>
      <c r="B13" s="20" t="s">
        <v>12</v>
      </c>
      <c r="C13" s="20" t="s">
        <v>200</v>
      </c>
      <c r="D13" s="20" t="s">
        <v>207</v>
      </c>
      <c r="E13" s="34">
        <v>51</v>
      </c>
      <c r="F13" s="34">
        <f>E13*VLOOKUP(B13,dagsoorttabel1,2,FALSE)</f>
        <v>41</v>
      </c>
      <c r="G13" s="35">
        <f>IF(AND(catpn_1_GTHB_1&gt;0,catpn_1_GTHV_41&gt;0),(dagenperjaar1*VLOOKUP(B13,dagsoorttabel1,2,FALSE))/(((dagenperjaar1*VLOOKUP(B13,dagsoorttabel1,2,FALSE))-catfd_1_GTHV_41)/catpn_1_GTHB_1+catfd_1_GTHV_41/catpn_1_GTHV_41),0)</f>
        <v>0</v>
      </c>
      <c r="H13" s="36">
        <f>IF(AND(catpn_1_GTHB_1&gt;0,catpn_1_GTHV_41&gt;0),(catdw_1_GTHB_1*((dagenperjaar1-VLOOKUP(B13,dagsoorttabel1,2,FALSE))-catfd_1_GTHV_41)/catpn_1_GTHB_1+catdw_1_GTHV_41*catfd_1_GTHV_41/catpn_1_GTHV_41)/(((dagenperjaar1-VLOOKUP(B13,dagsoorttabel1,2,FALSE))-catfd_1_GTHV_41)/catpn_1_GTHB_1+catfd_1_GTHV_41/catpn_1_GTHV_41),0)</f>
        <v>0</v>
      </c>
      <c r="I13" s="20" t="s">
        <v>41</v>
      </c>
      <c r="J13" s="37">
        <f>IF(AND(catpn_1_GTHB_1&gt;0,catpn_1_GTHV_41&gt;0),(cattf_1_GTHB_1*((dagenperjaar1*VLOOKUP(B13,dagsoorttabel1,2,FALSE))-catfd_1_GTHV_41)/catpn_1_GTHB_1+cattf_1_GTHV_41*catfd_1_GTHV_41/catpn_1_GTHV_41)/(((dagenperjaar1*VLOOKUP(B13,dagsoorttabel1,2,FALSE))-catfd_1_GTHV_41)/catpn_1_GTHB_1+catfd_1_GTHV_41/catpn_1_GTHV_41),0)</f>
        <v>0</v>
      </c>
      <c r="K13" s="34">
        <f>IF(OR(ISBLANK(G13),G13=0),0,F13/ROUND(G13,4))</f>
        <v>0</v>
      </c>
      <c r="L13" s="37">
        <f>ROUND(J13,2)*K13</f>
        <v>0</v>
      </c>
      <c r="M13" s="34">
        <f>K13*dagenperjaar1</f>
        <v>0</v>
      </c>
      <c r="N13" s="37">
        <f>M13*ROUND(J13,2)</f>
        <v>0</v>
      </c>
    </row>
    <row r="14" spans="1:14" x14ac:dyDescent="0.2">
      <c r="A14" s="20" t="s">
        <v>208</v>
      </c>
      <c r="B14" s="20" t="s">
        <v>12</v>
      </c>
      <c r="C14" s="20" t="s">
        <v>200</v>
      </c>
      <c r="D14" s="20" t="s">
        <v>209</v>
      </c>
      <c r="E14" s="34">
        <v>1339</v>
      </c>
      <c r="F14" s="34">
        <f>E14*VLOOKUP(B14,dagsoorttabel1,2,FALSE)</f>
        <v>1076.4509803921569</v>
      </c>
      <c r="G14" s="35">
        <f>IF(AND(catpn_1_KAHB_1&gt;0,catpn_1_KAHV_41&gt;0),(dagenperjaar1*VLOOKUP(B14,dagsoorttabel1,2,FALSE))/(((dagenperjaar1*VLOOKUP(B14,dagsoorttabel1,2,FALSE))-catfd_1_KAHV_41)/catpn_1_KAHB_1+catfd_1_KAHV_41/catpn_1_KAHV_41),0)</f>
        <v>0</v>
      </c>
      <c r="H14" s="36">
        <f>IF(AND(catpn_1_KAHB_1&gt;0,catpn_1_KAHV_41&gt;0),(catdw_1_KAHB_1*((dagenperjaar1-VLOOKUP(B14,dagsoorttabel1,2,FALSE))-catfd_1_KAHV_41)/catpn_1_KAHB_1+catdw_1_KAHV_41*catfd_1_KAHV_41/catpn_1_KAHV_41)/(((dagenperjaar1-VLOOKUP(B14,dagsoorttabel1,2,FALSE))-catfd_1_KAHV_41)/catpn_1_KAHB_1+catfd_1_KAHV_41/catpn_1_KAHV_41),0)</f>
        <v>0</v>
      </c>
      <c r="I14" s="20" t="s">
        <v>41</v>
      </c>
      <c r="J14" s="37">
        <f>IF(AND(catpn_1_KAHB_1&gt;0,catpn_1_KAHV_41&gt;0),(cattf_1_KAHB_1*((dagenperjaar1*VLOOKUP(B14,dagsoorttabel1,2,FALSE))-catfd_1_KAHV_41)/catpn_1_KAHB_1+cattf_1_KAHV_41*catfd_1_KAHV_41/catpn_1_KAHV_41)/(((dagenperjaar1*VLOOKUP(B14,dagsoorttabel1,2,FALSE))-catfd_1_KAHV_41)/catpn_1_KAHB_1+catfd_1_KAHV_41/catpn_1_KAHV_41),0)</f>
        <v>0</v>
      </c>
      <c r="K14" s="34">
        <f>IF(OR(ISBLANK(G14),G14=0),0,F14/ROUND(G14,4))</f>
        <v>0</v>
      </c>
      <c r="L14" s="37">
        <f>ROUND(J14,2)*K14</f>
        <v>0</v>
      </c>
      <c r="M14" s="34">
        <f>K14*dagenperjaar1</f>
        <v>0</v>
      </c>
      <c r="N14" s="37">
        <f>M14*ROUND(J14,2)</f>
        <v>0</v>
      </c>
    </row>
    <row r="15" spans="1:14" x14ac:dyDescent="0.2">
      <c r="A15" s="20" t="s">
        <v>208</v>
      </c>
      <c r="B15" s="20" t="s">
        <v>11</v>
      </c>
      <c r="C15" s="20" t="s">
        <v>200</v>
      </c>
      <c r="D15" s="20" t="s">
        <v>209</v>
      </c>
      <c r="E15" s="34">
        <v>130</v>
      </c>
      <c r="F15" s="34">
        <f>E15*VLOOKUP(B15,dagsoorttabel1,2,FALSE)</f>
        <v>107.05882352941175</v>
      </c>
      <c r="G15" s="35">
        <f>IF(AND(catpn_1_KAHB_1&gt;0,catpn_1_KAHV_42&gt;0),(dagenperjaar1*VLOOKUP(B15,dagsoorttabel1,2,FALSE))/(((dagenperjaar1*VLOOKUP(B15,dagsoorttabel1,2,FALSE))-catfd_1_KAHV_42)/catpn_1_KAHB_1+catfd_1_KAHV_42/catpn_1_KAHV_42),0)</f>
        <v>0</v>
      </c>
      <c r="H15" s="36">
        <f>IF(AND(catpn_1_KAHB_1&gt;0,catpn_1_KAHV_42&gt;0),(catdw_1_KAHB_1*((dagenperjaar1-VLOOKUP(B15,dagsoorttabel1,2,FALSE))-catfd_1_KAHV_42)/catpn_1_KAHB_1+catdw_1_KAHV_42*catfd_1_KAHV_42/catpn_1_KAHV_42)/(((dagenperjaar1-VLOOKUP(B15,dagsoorttabel1,2,FALSE))-catfd_1_KAHV_42)/catpn_1_KAHB_1+catfd_1_KAHV_42/catpn_1_KAHV_42),0)</f>
        <v>0</v>
      </c>
      <c r="I15" s="20" t="s">
        <v>41</v>
      </c>
      <c r="J15" s="37">
        <f>IF(AND(catpn_1_KAHB_1&gt;0,catpn_1_KAHV_42&gt;0),(cattf_1_KAHB_1*((dagenperjaar1*VLOOKUP(B15,dagsoorttabel1,2,FALSE))-catfd_1_KAHV_42)/catpn_1_KAHB_1+cattf_1_KAHV_42*catfd_1_KAHV_42/catpn_1_KAHV_42)/(((dagenperjaar1*VLOOKUP(B15,dagsoorttabel1,2,FALSE))-catfd_1_KAHV_42)/catpn_1_KAHB_1+catfd_1_KAHV_42/catpn_1_KAHV_42),0)</f>
        <v>0</v>
      </c>
      <c r="K15" s="34">
        <f>IF(OR(ISBLANK(G15),G15=0),0,F15/ROUND(G15,4))</f>
        <v>0</v>
      </c>
      <c r="L15" s="37">
        <f>ROUND(J15,2)*K15</f>
        <v>0</v>
      </c>
      <c r="M15" s="34">
        <f>K15*dagenperjaar1</f>
        <v>0</v>
      </c>
      <c r="N15" s="37">
        <f>M15*ROUND(J15,2)</f>
        <v>0</v>
      </c>
    </row>
    <row r="16" spans="1:14" x14ac:dyDescent="0.2">
      <c r="A16" s="20" t="s">
        <v>210</v>
      </c>
      <c r="B16" s="20" t="s">
        <v>12</v>
      </c>
      <c r="C16" s="20" t="s">
        <v>200</v>
      </c>
      <c r="D16" s="20" t="s">
        <v>211</v>
      </c>
      <c r="E16" s="34">
        <v>131.69999999999999</v>
      </c>
      <c r="F16" s="34">
        <f>E16*VLOOKUP(B16,dagsoorttabel1,2,FALSE)</f>
        <v>105.87647058823529</v>
      </c>
      <c r="G16" s="35">
        <f>IF(AND(catpn_1_KDHB_1&gt;0,catpn_1_KDHV_41&gt;0),(dagenperjaar1*VLOOKUP(B16,dagsoorttabel1,2,FALSE))/(((dagenperjaar1*VLOOKUP(B16,dagsoorttabel1,2,FALSE))-catfd_1_KDHV_41)/catpn_1_KDHB_1+catfd_1_KDHV_41/catpn_1_KDHV_41),0)</f>
        <v>0</v>
      </c>
      <c r="H16" s="36">
        <f>IF(AND(catpn_1_KDHB_1&gt;0,catpn_1_KDHV_41&gt;0),(catdw_1_KDHB_1*((dagenperjaar1-VLOOKUP(B16,dagsoorttabel1,2,FALSE))-catfd_1_KDHV_41)/catpn_1_KDHB_1+catdw_1_KDHV_41*catfd_1_KDHV_41/catpn_1_KDHV_41)/(((dagenperjaar1-VLOOKUP(B16,dagsoorttabel1,2,FALSE))-catfd_1_KDHV_41)/catpn_1_KDHB_1+catfd_1_KDHV_41/catpn_1_KDHV_41),0)</f>
        <v>0</v>
      </c>
      <c r="I16" s="20" t="s">
        <v>41</v>
      </c>
      <c r="J16" s="37">
        <f>IF(AND(catpn_1_KDHB_1&gt;0,catpn_1_KDHV_41&gt;0),(cattf_1_KDHB_1*((dagenperjaar1*VLOOKUP(B16,dagsoorttabel1,2,FALSE))-catfd_1_KDHV_41)/catpn_1_KDHB_1+cattf_1_KDHV_41*catfd_1_KDHV_41/catpn_1_KDHV_41)/(((dagenperjaar1*VLOOKUP(B16,dagsoorttabel1,2,FALSE))-catfd_1_KDHV_41)/catpn_1_KDHB_1+catfd_1_KDHV_41/catpn_1_KDHV_41),0)</f>
        <v>0</v>
      </c>
      <c r="K16" s="34">
        <f>IF(OR(ISBLANK(G16),G16=0),0,F16/ROUND(G16,4))</f>
        <v>0</v>
      </c>
      <c r="L16" s="37">
        <f>ROUND(J16,2)*K16</f>
        <v>0</v>
      </c>
      <c r="M16" s="34">
        <f>K16*dagenperjaar1</f>
        <v>0</v>
      </c>
      <c r="N16" s="37">
        <f>M16*ROUND(J16,2)</f>
        <v>0</v>
      </c>
    </row>
    <row r="17" spans="1:14" x14ac:dyDescent="0.2">
      <c r="A17" s="20" t="s">
        <v>212</v>
      </c>
      <c r="B17" s="20" t="s">
        <v>12</v>
      </c>
      <c r="C17" s="20" t="s">
        <v>200</v>
      </c>
      <c r="D17" s="20" t="s">
        <v>213</v>
      </c>
      <c r="E17" s="34">
        <v>172.75</v>
      </c>
      <c r="F17" s="34">
        <f>E17*VLOOKUP(B17,dagsoorttabel1,2,FALSE)</f>
        <v>138.87745098039215</v>
      </c>
      <c r="G17" s="35">
        <f>IF(AND(catpn_1_KDZB_1&gt;0,catpn_1_KDZV_41&gt;0),(dagenperjaar1*VLOOKUP(B17,dagsoorttabel1,2,FALSE))/(((dagenperjaar1*VLOOKUP(B17,dagsoorttabel1,2,FALSE))-catfd_1_KDZV_41)/catpn_1_KDZB_1+catfd_1_KDZV_41/catpn_1_KDZV_41),0)</f>
        <v>0</v>
      </c>
      <c r="H17" s="36">
        <f>IF(AND(catpn_1_KDZB_1&gt;0,catpn_1_KDZV_41&gt;0),(catdw_1_KDZB_1*((dagenperjaar1-VLOOKUP(B17,dagsoorttabel1,2,FALSE))-catfd_1_KDZV_41)/catpn_1_KDZB_1+catdw_1_KDZV_41*catfd_1_KDZV_41/catpn_1_KDZV_41)/(((dagenperjaar1-VLOOKUP(B17,dagsoorttabel1,2,FALSE))-catfd_1_KDZV_41)/catpn_1_KDZB_1+catfd_1_KDZV_41/catpn_1_KDZV_41),0)</f>
        <v>0</v>
      </c>
      <c r="I17" s="20" t="s">
        <v>41</v>
      </c>
      <c r="J17" s="37">
        <f>IF(AND(catpn_1_KDZB_1&gt;0,catpn_1_KDZV_41&gt;0),(cattf_1_KDZB_1*((dagenperjaar1*VLOOKUP(B17,dagsoorttabel1,2,FALSE))-catfd_1_KDZV_41)/catpn_1_KDZB_1+cattf_1_KDZV_41*catfd_1_KDZV_41/catpn_1_KDZV_41)/(((dagenperjaar1*VLOOKUP(B17,dagsoorttabel1,2,FALSE))-catfd_1_KDZV_41)/catpn_1_KDZB_1+catfd_1_KDZV_41/catpn_1_KDZV_41),0)</f>
        <v>0</v>
      </c>
      <c r="K17" s="34">
        <f>IF(OR(ISBLANK(G17),G17=0),0,F17/ROUND(G17,4))</f>
        <v>0</v>
      </c>
      <c r="L17" s="37">
        <f>ROUND(J17,2)*K17</f>
        <v>0</v>
      </c>
      <c r="M17" s="34">
        <f>K17*dagenperjaar1</f>
        <v>0</v>
      </c>
      <c r="N17" s="37">
        <f>M17*ROUND(J17,2)</f>
        <v>0</v>
      </c>
    </row>
    <row r="18" spans="1:14" x14ac:dyDescent="0.2">
      <c r="A18" s="20" t="s">
        <v>212</v>
      </c>
      <c r="B18" s="20" t="s">
        <v>11</v>
      </c>
      <c r="C18" s="20" t="s">
        <v>200</v>
      </c>
      <c r="D18" s="20" t="s">
        <v>213</v>
      </c>
      <c r="E18" s="34">
        <v>130</v>
      </c>
      <c r="F18" s="34">
        <f>E18*VLOOKUP(B18,dagsoorttabel1,2,FALSE)</f>
        <v>107.05882352941175</v>
      </c>
      <c r="G18" s="35">
        <f>IF(AND(catpn_1_KDZB_1&gt;0,catpn_1_KDZV_42&gt;0),(dagenperjaar1*VLOOKUP(B18,dagsoorttabel1,2,FALSE))/(((dagenperjaar1*VLOOKUP(B18,dagsoorttabel1,2,FALSE))-catfd_1_KDZV_42)/catpn_1_KDZB_1+catfd_1_KDZV_42/catpn_1_KDZV_42),0)</f>
        <v>0</v>
      </c>
      <c r="H18" s="36">
        <f>IF(AND(catpn_1_KDZB_1&gt;0,catpn_1_KDZV_42&gt;0),(catdw_1_KDZB_1*((dagenperjaar1-VLOOKUP(B18,dagsoorttabel1,2,FALSE))-catfd_1_KDZV_42)/catpn_1_KDZB_1+catdw_1_KDZV_42*catfd_1_KDZV_42/catpn_1_KDZV_42)/(((dagenperjaar1-VLOOKUP(B18,dagsoorttabel1,2,FALSE))-catfd_1_KDZV_42)/catpn_1_KDZB_1+catfd_1_KDZV_42/catpn_1_KDZV_42),0)</f>
        <v>0</v>
      </c>
      <c r="I18" s="20" t="s">
        <v>41</v>
      </c>
      <c r="J18" s="37">
        <f>IF(AND(catpn_1_KDZB_1&gt;0,catpn_1_KDZV_42&gt;0),(cattf_1_KDZB_1*((dagenperjaar1*VLOOKUP(B18,dagsoorttabel1,2,FALSE))-catfd_1_KDZV_42)/catpn_1_KDZB_1+cattf_1_KDZV_42*catfd_1_KDZV_42/catpn_1_KDZV_42)/(((dagenperjaar1*VLOOKUP(B18,dagsoorttabel1,2,FALSE))-catfd_1_KDZV_42)/catpn_1_KDZB_1+catfd_1_KDZV_42/catpn_1_KDZV_42),0)</f>
        <v>0</v>
      </c>
      <c r="K18" s="34">
        <f>IF(OR(ISBLANK(G18),G18=0),0,F18/ROUND(G18,4))</f>
        <v>0</v>
      </c>
      <c r="L18" s="37">
        <f>ROUND(J18,2)*K18</f>
        <v>0</v>
      </c>
      <c r="M18" s="34">
        <f>K18*dagenperjaar1</f>
        <v>0</v>
      </c>
      <c r="N18" s="37">
        <f>M18*ROUND(J18,2)</f>
        <v>0</v>
      </c>
    </row>
    <row r="19" spans="1:14" x14ac:dyDescent="0.2">
      <c r="A19" s="20" t="s">
        <v>214</v>
      </c>
      <c r="B19" s="20" t="s">
        <v>12</v>
      </c>
      <c r="C19" s="20" t="s">
        <v>200</v>
      </c>
      <c r="D19" s="20" t="s">
        <v>215</v>
      </c>
      <c r="E19" s="34">
        <v>49.8</v>
      </c>
      <c r="F19" s="34">
        <f>E19*VLOOKUP(B19,dagsoorttabel1,2,FALSE)</f>
        <v>40.035294117647055</v>
      </c>
      <c r="G19" s="35">
        <f>IF(AND(catpn_1_KKHB_1&gt;0,catpn_1_KKHV_41&gt;0),(dagenperjaar1*VLOOKUP(B19,dagsoorttabel1,2,FALSE))/(((dagenperjaar1*VLOOKUP(B19,dagsoorttabel1,2,FALSE))-catfd_1_KKHV_41)/catpn_1_KKHB_1+catfd_1_KKHV_41/catpn_1_KKHV_41),0)</f>
        <v>0</v>
      </c>
      <c r="H19" s="36">
        <f>IF(AND(catpn_1_KKHB_1&gt;0,catpn_1_KKHV_41&gt;0),(catdw_1_KKHB_1*((dagenperjaar1-VLOOKUP(B19,dagsoorttabel1,2,FALSE))-catfd_1_KKHV_41)/catpn_1_KKHB_1+catdw_1_KKHV_41*catfd_1_KKHV_41/catpn_1_KKHV_41)/(((dagenperjaar1-VLOOKUP(B19,dagsoorttabel1,2,FALSE))-catfd_1_KKHV_41)/catpn_1_KKHB_1+catfd_1_KKHV_41/catpn_1_KKHV_41),0)</f>
        <v>0</v>
      </c>
      <c r="I19" s="20" t="s">
        <v>41</v>
      </c>
      <c r="J19" s="37">
        <f>IF(AND(catpn_1_KKHB_1&gt;0,catpn_1_KKHV_41&gt;0),(cattf_1_KKHB_1*((dagenperjaar1*VLOOKUP(B19,dagsoorttabel1,2,FALSE))-catfd_1_KKHV_41)/catpn_1_KKHB_1+cattf_1_KKHV_41*catfd_1_KKHV_41/catpn_1_KKHV_41)/(((dagenperjaar1*VLOOKUP(B19,dagsoorttabel1,2,FALSE))-catfd_1_KKHV_41)/catpn_1_KKHB_1+catfd_1_KKHV_41/catpn_1_KKHV_41),0)</f>
        <v>0</v>
      </c>
      <c r="K19" s="34">
        <f>IF(OR(ISBLANK(G19),G19=0),0,F19/ROUND(G19,4))</f>
        <v>0</v>
      </c>
      <c r="L19" s="37">
        <f>ROUND(J19,2)*K19</f>
        <v>0</v>
      </c>
      <c r="M19" s="34">
        <f>K19*dagenperjaar1</f>
        <v>0</v>
      </c>
      <c r="N19" s="37">
        <f>M19*ROUND(J19,2)</f>
        <v>0</v>
      </c>
    </row>
    <row r="20" spans="1:14" x14ac:dyDescent="0.2">
      <c r="A20" s="20" t="s">
        <v>216</v>
      </c>
      <c r="B20" s="20" t="s">
        <v>12</v>
      </c>
      <c r="C20" s="20" t="s">
        <v>200</v>
      </c>
      <c r="D20" s="20" t="s">
        <v>217</v>
      </c>
      <c r="E20" s="34">
        <v>17.399999999999999</v>
      </c>
      <c r="F20" s="34">
        <f>E20*VLOOKUP(B20,dagsoorttabel1,2,FALSE)</f>
        <v>13.988235294117647</v>
      </c>
      <c r="G20" s="35">
        <f>IF(AND(catpn_1_KPHB_1&gt;0,catpn_1_KPHV_41&gt;0),(dagenperjaar1*VLOOKUP(B20,dagsoorttabel1,2,FALSE))/(((dagenperjaar1*VLOOKUP(B20,dagsoorttabel1,2,FALSE))-catfd_1_KPHV_41)/catpn_1_KPHB_1+catfd_1_KPHV_41/catpn_1_KPHV_41),0)</f>
        <v>0</v>
      </c>
      <c r="H20" s="36">
        <f>IF(AND(catpn_1_KPHB_1&gt;0,catpn_1_KPHV_41&gt;0),(catdw_1_KPHB_1*((dagenperjaar1-VLOOKUP(B20,dagsoorttabel1,2,FALSE))-catfd_1_KPHV_41)/catpn_1_KPHB_1+catdw_1_KPHV_41*catfd_1_KPHV_41/catpn_1_KPHV_41)/(((dagenperjaar1-VLOOKUP(B20,dagsoorttabel1,2,FALSE))-catfd_1_KPHV_41)/catpn_1_KPHB_1+catfd_1_KPHV_41/catpn_1_KPHV_41),0)</f>
        <v>0</v>
      </c>
      <c r="I20" s="20" t="s">
        <v>41</v>
      </c>
      <c r="J20" s="37">
        <f>IF(AND(catpn_1_KPHB_1&gt;0,catpn_1_KPHV_41&gt;0),(cattf_1_KPHB_1*((dagenperjaar1*VLOOKUP(B20,dagsoorttabel1,2,FALSE))-catfd_1_KPHV_41)/catpn_1_KPHB_1+cattf_1_KPHV_41*catfd_1_KPHV_41/catpn_1_KPHV_41)/(((dagenperjaar1*VLOOKUP(B20,dagsoorttabel1,2,FALSE))-catfd_1_KPHV_41)/catpn_1_KPHB_1+catfd_1_KPHV_41/catpn_1_KPHV_41),0)</f>
        <v>0</v>
      </c>
      <c r="K20" s="34">
        <f>IF(OR(ISBLANK(G20),G20=0),0,F20/ROUND(G20,4))</f>
        <v>0</v>
      </c>
      <c r="L20" s="37">
        <f>ROUND(J20,2)*K20</f>
        <v>0</v>
      </c>
      <c r="M20" s="34">
        <f>K20*dagenperjaar1</f>
        <v>0</v>
      </c>
      <c r="N20" s="37">
        <f>M20*ROUND(J20,2)</f>
        <v>0</v>
      </c>
    </row>
    <row r="21" spans="1:14" x14ac:dyDescent="0.2">
      <c r="A21" s="20" t="s">
        <v>216</v>
      </c>
      <c r="B21" s="20" t="s">
        <v>11</v>
      </c>
      <c r="C21" s="20" t="s">
        <v>200</v>
      </c>
      <c r="D21" s="20" t="s">
        <v>217</v>
      </c>
      <c r="E21" s="34">
        <v>18</v>
      </c>
      <c r="F21" s="34">
        <f>E21*VLOOKUP(B21,dagsoorttabel1,2,FALSE)</f>
        <v>14.823529411764705</v>
      </c>
      <c r="G21" s="35">
        <f>IF(AND(catpn_1_KPHB_1&gt;0,catpn_1_KPHV_42&gt;0),(dagenperjaar1*VLOOKUP(B21,dagsoorttabel1,2,FALSE))/(((dagenperjaar1*VLOOKUP(B21,dagsoorttabel1,2,FALSE))-catfd_1_KPHV_42)/catpn_1_KPHB_1+catfd_1_KPHV_42/catpn_1_KPHV_42),0)</f>
        <v>0</v>
      </c>
      <c r="H21" s="36">
        <f>IF(AND(catpn_1_KPHB_1&gt;0,catpn_1_KPHV_42&gt;0),(catdw_1_KPHB_1*((dagenperjaar1-VLOOKUP(B21,dagsoorttabel1,2,FALSE))-catfd_1_KPHV_42)/catpn_1_KPHB_1+catdw_1_KPHV_42*catfd_1_KPHV_42/catpn_1_KPHV_42)/(((dagenperjaar1-VLOOKUP(B21,dagsoorttabel1,2,FALSE))-catfd_1_KPHV_42)/catpn_1_KPHB_1+catfd_1_KPHV_42/catpn_1_KPHV_42),0)</f>
        <v>0</v>
      </c>
      <c r="I21" s="20" t="s">
        <v>41</v>
      </c>
      <c r="J21" s="37">
        <f>IF(AND(catpn_1_KPHB_1&gt;0,catpn_1_KPHV_42&gt;0),(cattf_1_KPHB_1*((dagenperjaar1*VLOOKUP(B21,dagsoorttabel1,2,FALSE))-catfd_1_KPHV_42)/catpn_1_KPHB_1+cattf_1_KPHV_42*catfd_1_KPHV_42/catpn_1_KPHV_42)/(((dagenperjaar1*VLOOKUP(B21,dagsoorttabel1,2,FALSE))-catfd_1_KPHV_42)/catpn_1_KPHB_1+catfd_1_KPHV_42/catpn_1_KPHV_42),0)</f>
        <v>0</v>
      </c>
      <c r="K21" s="34">
        <f>IF(OR(ISBLANK(G21),G21=0),0,F21/ROUND(G21,4))</f>
        <v>0</v>
      </c>
      <c r="L21" s="37">
        <f>ROUND(J21,2)*K21</f>
        <v>0</v>
      </c>
      <c r="M21" s="34">
        <f>K21*dagenperjaar1</f>
        <v>0</v>
      </c>
      <c r="N21" s="37">
        <f>M21*ROUND(J21,2)</f>
        <v>0</v>
      </c>
    </row>
    <row r="22" spans="1:14" x14ac:dyDescent="0.2">
      <c r="A22" s="20" t="s">
        <v>218</v>
      </c>
      <c r="B22" s="20" t="s">
        <v>12</v>
      </c>
      <c r="C22" s="20" t="s">
        <v>200</v>
      </c>
      <c r="D22" s="20" t="s">
        <v>219</v>
      </c>
      <c r="E22" s="34">
        <v>3197.7999999999997</v>
      </c>
      <c r="F22" s="34">
        <f>E22*VLOOKUP(B22,dagsoorttabel1,2,FALSE)</f>
        <v>2570.7803921568625</v>
      </c>
      <c r="G22" s="35">
        <f>IF(AND(catpn_1_LLHB_1&gt;0,catpn_1_LLHV_41&gt;0),(dagenperjaar1*VLOOKUP(B22,dagsoorttabel1,2,FALSE))/(((dagenperjaar1*VLOOKUP(B22,dagsoorttabel1,2,FALSE))-catfd_1_LLHV_41)/catpn_1_LLHB_1+catfd_1_LLHV_41/catpn_1_LLHV_41),0)</f>
        <v>0</v>
      </c>
      <c r="H22" s="36">
        <f>IF(AND(catpn_1_LLHB_1&gt;0,catpn_1_LLHV_41&gt;0),(catdw_1_LLHB_1*((dagenperjaar1-VLOOKUP(B22,dagsoorttabel1,2,FALSE))-catfd_1_LLHV_41)/catpn_1_LLHB_1+catdw_1_LLHV_41*catfd_1_LLHV_41/catpn_1_LLHV_41)/(((dagenperjaar1-VLOOKUP(B22,dagsoorttabel1,2,FALSE))-catfd_1_LLHV_41)/catpn_1_LLHB_1+catfd_1_LLHV_41/catpn_1_LLHV_41),0)</f>
        <v>0</v>
      </c>
      <c r="I22" s="20" t="s">
        <v>41</v>
      </c>
      <c r="J22" s="37">
        <f>IF(AND(catpn_1_LLHB_1&gt;0,catpn_1_LLHV_41&gt;0),(cattf_1_LLHB_1*((dagenperjaar1*VLOOKUP(B22,dagsoorttabel1,2,FALSE))-catfd_1_LLHV_41)/catpn_1_LLHB_1+cattf_1_LLHV_41*catfd_1_LLHV_41/catpn_1_LLHV_41)/(((dagenperjaar1*VLOOKUP(B22,dagsoorttabel1,2,FALSE))-catfd_1_LLHV_41)/catpn_1_LLHB_1+catfd_1_LLHV_41/catpn_1_LLHV_41),0)</f>
        <v>0</v>
      </c>
      <c r="K22" s="34">
        <f>IF(OR(ISBLANK(G22),G22=0),0,F22/ROUND(G22,4))</f>
        <v>0</v>
      </c>
      <c r="L22" s="37">
        <f>ROUND(J22,2)*K22</f>
        <v>0</v>
      </c>
      <c r="M22" s="34">
        <f>K22*dagenperjaar1</f>
        <v>0</v>
      </c>
      <c r="N22" s="37">
        <f>M22*ROUND(J22,2)</f>
        <v>0</v>
      </c>
    </row>
    <row r="23" spans="1:14" x14ac:dyDescent="0.2">
      <c r="A23" s="20" t="s">
        <v>218</v>
      </c>
      <c r="B23" s="20" t="s">
        <v>19</v>
      </c>
      <c r="C23" s="20" t="s">
        <v>200</v>
      </c>
      <c r="D23" s="20" t="s">
        <v>219</v>
      </c>
      <c r="E23" s="34">
        <v>53</v>
      </c>
      <c r="F23" s="34">
        <f>E23*VLOOKUP(B23,dagsoorttabel1,2,FALSE)</f>
        <v>8.5215686274509803</v>
      </c>
      <c r="G23" s="35">
        <f>IF(AND(catpn_1_LLHB_1&gt;0,catpn_1_LLHV_41&gt;0),(dagenperjaar1*VLOOKUP(B23,dagsoorttabel1,2,FALSE))/(((dagenperjaar1*VLOOKUP(B23,dagsoorttabel1,2,FALSE))-catfd_1_LLHV_41)/catpn_1_LLHB_1+catfd_1_LLHV_41/catpn_1_LLHV_41),0)</f>
        <v>0</v>
      </c>
      <c r="H23" s="36">
        <f>IF(AND(catpn_1_LLHB_1&gt;0,catpn_1_LLHV_41&gt;0),(catdw_1_LLHB_1*((dagenperjaar1-VLOOKUP(B23,dagsoorttabel1,2,FALSE))-catfd_1_LLHV_41)/catpn_1_LLHB_1+catdw_1_LLHV_41*catfd_1_LLHV_41/catpn_1_LLHV_41)/(((dagenperjaar1-VLOOKUP(B23,dagsoorttabel1,2,FALSE))-catfd_1_LLHV_41)/catpn_1_LLHB_1+catfd_1_LLHV_41/catpn_1_LLHV_41),0)</f>
        <v>0</v>
      </c>
      <c r="I23" s="20" t="s">
        <v>41</v>
      </c>
      <c r="J23" s="37">
        <f>IF(AND(catpn_1_LLHB_1&gt;0,catpn_1_LLHV_41&gt;0),(cattf_1_LLHB_1*((dagenperjaar1*VLOOKUP(B23,dagsoorttabel1,2,FALSE))-catfd_1_LLHV_41)/catpn_1_LLHB_1+cattf_1_LLHV_41*catfd_1_LLHV_41/catpn_1_LLHV_41)/(((dagenperjaar1*VLOOKUP(B23,dagsoorttabel1,2,FALSE))-catfd_1_LLHV_41)/catpn_1_LLHB_1+catfd_1_LLHV_41/catpn_1_LLHV_41),0)</f>
        <v>0</v>
      </c>
      <c r="K23" s="34">
        <f>IF(OR(ISBLANK(G23),G23=0),0,F23/ROUND(G23,4))</f>
        <v>0</v>
      </c>
      <c r="L23" s="37">
        <f>ROUND(J23,2)*K23</f>
        <v>0</v>
      </c>
      <c r="M23" s="34">
        <f>K23*dagenperjaar1</f>
        <v>0</v>
      </c>
      <c r="N23" s="37">
        <f>M23*ROUND(J23,2)</f>
        <v>0</v>
      </c>
    </row>
    <row r="24" spans="1:14" x14ac:dyDescent="0.2">
      <c r="A24" s="20" t="s">
        <v>220</v>
      </c>
      <c r="B24" s="20" t="s">
        <v>12</v>
      </c>
      <c r="C24" s="20" t="s">
        <v>200</v>
      </c>
      <c r="D24" s="20" t="s">
        <v>221</v>
      </c>
      <c r="E24" s="34">
        <v>50.6</v>
      </c>
      <c r="F24" s="34">
        <f>E24*VLOOKUP(B24,dagsoorttabel1,2,FALSE)</f>
        <v>40.678431372549021</v>
      </c>
      <c r="G24" s="35">
        <f>IF(AND(catpn_1_LLZB_1&gt;0,catpn_1_LLZV_41&gt;0),(dagenperjaar1*VLOOKUP(B24,dagsoorttabel1,2,FALSE))/(((dagenperjaar1*VLOOKUP(B24,dagsoorttabel1,2,FALSE))-catfd_1_LLZV_41)/catpn_1_LLZB_1+catfd_1_LLZV_41/catpn_1_LLZV_41),0)</f>
        <v>0</v>
      </c>
      <c r="H24" s="36">
        <f>IF(AND(catpn_1_LLZB_1&gt;0,catpn_1_LLZV_41&gt;0),(catdw_1_LLZB_1*((dagenperjaar1-VLOOKUP(B24,dagsoorttabel1,2,FALSE))-catfd_1_LLZV_41)/catpn_1_LLZB_1+catdw_1_LLZV_41*catfd_1_LLZV_41/catpn_1_LLZV_41)/(((dagenperjaar1-VLOOKUP(B24,dagsoorttabel1,2,FALSE))-catfd_1_LLZV_41)/catpn_1_LLZB_1+catfd_1_LLZV_41/catpn_1_LLZV_41),0)</f>
        <v>0</v>
      </c>
      <c r="I24" s="20" t="s">
        <v>41</v>
      </c>
      <c r="J24" s="37">
        <f>IF(AND(catpn_1_LLZB_1&gt;0,catpn_1_LLZV_41&gt;0),(cattf_1_LLZB_1*((dagenperjaar1*VLOOKUP(B24,dagsoorttabel1,2,FALSE))-catfd_1_LLZV_41)/catpn_1_LLZB_1+cattf_1_LLZV_41*catfd_1_LLZV_41/catpn_1_LLZV_41)/(((dagenperjaar1*VLOOKUP(B24,dagsoorttabel1,2,FALSE))-catfd_1_LLZV_41)/catpn_1_LLZB_1+catfd_1_LLZV_41/catpn_1_LLZV_41),0)</f>
        <v>0</v>
      </c>
      <c r="K24" s="34">
        <f>IF(OR(ISBLANK(G24),G24=0),0,F24/ROUND(G24,4))</f>
        <v>0</v>
      </c>
      <c r="L24" s="37">
        <f>ROUND(J24,2)*K24</f>
        <v>0</v>
      </c>
      <c r="M24" s="34">
        <f>K24*dagenperjaar1</f>
        <v>0</v>
      </c>
      <c r="N24" s="37">
        <f>M24*ROUND(J24,2)</f>
        <v>0</v>
      </c>
    </row>
    <row r="25" spans="1:14" x14ac:dyDescent="0.2">
      <c r="A25" s="20" t="s">
        <v>220</v>
      </c>
      <c r="B25" s="20" t="s">
        <v>11</v>
      </c>
      <c r="C25" s="20" t="s">
        <v>200</v>
      </c>
      <c r="D25" s="20" t="s">
        <v>221</v>
      </c>
      <c r="E25" s="34">
        <v>56</v>
      </c>
      <c r="F25" s="34">
        <f>E25*VLOOKUP(B25,dagsoorttabel1,2,FALSE)</f>
        <v>46.117647058823529</v>
      </c>
      <c r="G25" s="35">
        <f>IF(AND(catpn_1_LLZB_1&gt;0,catpn_1_LLZV_42&gt;0),(dagenperjaar1*VLOOKUP(B25,dagsoorttabel1,2,FALSE))/(((dagenperjaar1*VLOOKUP(B25,dagsoorttabel1,2,FALSE))-catfd_1_LLZV_42)/catpn_1_LLZB_1+catfd_1_LLZV_42/catpn_1_LLZV_42),0)</f>
        <v>0</v>
      </c>
      <c r="H25" s="36">
        <f>IF(AND(catpn_1_LLZB_1&gt;0,catpn_1_LLZV_42&gt;0),(catdw_1_LLZB_1*((dagenperjaar1-VLOOKUP(B25,dagsoorttabel1,2,FALSE))-catfd_1_LLZV_42)/catpn_1_LLZB_1+catdw_1_LLZV_42*catfd_1_LLZV_42/catpn_1_LLZV_42)/(((dagenperjaar1-VLOOKUP(B25,dagsoorttabel1,2,FALSE))-catfd_1_LLZV_42)/catpn_1_LLZB_1+catfd_1_LLZV_42/catpn_1_LLZV_42),0)</f>
        <v>0</v>
      </c>
      <c r="I25" s="20" t="s">
        <v>41</v>
      </c>
      <c r="J25" s="37">
        <f>IF(AND(catpn_1_LLZB_1&gt;0,catpn_1_LLZV_42&gt;0),(cattf_1_LLZB_1*((dagenperjaar1*VLOOKUP(B25,dagsoorttabel1,2,FALSE))-catfd_1_LLZV_42)/catpn_1_LLZB_1+cattf_1_LLZV_42*catfd_1_LLZV_42/catpn_1_LLZV_42)/(((dagenperjaar1*VLOOKUP(B25,dagsoorttabel1,2,FALSE))-catfd_1_LLZV_42)/catpn_1_LLZB_1+catfd_1_LLZV_42/catpn_1_LLZV_42),0)</f>
        <v>0</v>
      </c>
      <c r="K25" s="34">
        <f>IF(OR(ISBLANK(G25),G25=0),0,F25/ROUND(G25,4))</f>
        <v>0</v>
      </c>
      <c r="L25" s="37">
        <f>ROUND(J25,2)*K25</f>
        <v>0</v>
      </c>
      <c r="M25" s="34">
        <f>K25*dagenperjaar1</f>
        <v>0</v>
      </c>
      <c r="N25" s="37">
        <f>M25*ROUND(J25,2)</f>
        <v>0</v>
      </c>
    </row>
    <row r="26" spans="1:14" x14ac:dyDescent="0.2">
      <c r="A26" s="20" t="s">
        <v>222</v>
      </c>
      <c r="B26" s="20" t="s">
        <v>12</v>
      </c>
      <c r="C26" s="20" t="s">
        <v>200</v>
      </c>
      <c r="D26" s="20" t="s">
        <v>223</v>
      </c>
      <c r="E26" s="34">
        <v>1980.7</v>
      </c>
      <c r="F26" s="34">
        <f>E26*VLOOKUP(B26,dagsoorttabel1,2,FALSE)</f>
        <v>1592.3274509803923</v>
      </c>
      <c r="G26" s="35">
        <f>IF(AND(catpn_1_LOHB_1&gt;0,catpn_1_LOHV_41&gt;0),(dagenperjaar1*VLOOKUP(B26,dagsoorttabel1,2,FALSE))/(((dagenperjaar1*VLOOKUP(B26,dagsoorttabel1,2,FALSE))-catfd_1_LOHV_41)/catpn_1_LOHB_1+catfd_1_LOHV_41/catpn_1_LOHV_41),0)</f>
        <v>0</v>
      </c>
      <c r="H26" s="36">
        <f>IF(AND(catpn_1_LOHB_1&gt;0,catpn_1_LOHV_41&gt;0),(catdw_1_LOHB_1*((dagenperjaar1-VLOOKUP(B26,dagsoorttabel1,2,FALSE))-catfd_1_LOHV_41)/catpn_1_LOHB_1+catdw_1_LOHV_41*catfd_1_LOHV_41/catpn_1_LOHV_41)/(((dagenperjaar1-VLOOKUP(B26,dagsoorttabel1,2,FALSE))-catfd_1_LOHV_41)/catpn_1_LOHB_1+catfd_1_LOHV_41/catpn_1_LOHV_41),0)</f>
        <v>0</v>
      </c>
      <c r="I26" s="20" t="s">
        <v>41</v>
      </c>
      <c r="J26" s="37">
        <f>IF(AND(catpn_1_LOHB_1&gt;0,catpn_1_LOHV_41&gt;0),(cattf_1_LOHB_1*((dagenperjaar1*VLOOKUP(B26,dagsoorttabel1,2,FALSE))-catfd_1_LOHV_41)/catpn_1_LOHB_1+cattf_1_LOHV_41*catfd_1_LOHV_41/catpn_1_LOHV_41)/(((dagenperjaar1*VLOOKUP(B26,dagsoorttabel1,2,FALSE))-catfd_1_LOHV_41)/catpn_1_LOHB_1+catfd_1_LOHV_41/catpn_1_LOHV_41),0)</f>
        <v>0</v>
      </c>
      <c r="K26" s="34">
        <f>IF(OR(ISBLANK(G26),G26=0),0,F26/ROUND(G26,4))</f>
        <v>0</v>
      </c>
      <c r="L26" s="37">
        <f>ROUND(J26,2)*K26</f>
        <v>0</v>
      </c>
      <c r="M26" s="34">
        <f>K26*dagenperjaar1</f>
        <v>0</v>
      </c>
      <c r="N26" s="37">
        <f>M26*ROUND(J26,2)</f>
        <v>0</v>
      </c>
    </row>
    <row r="27" spans="1:14" x14ac:dyDescent="0.2">
      <c r="A27" s="20" t="s">
        <v>224</v>
      </c>
      <c r="B27" s="20" t="s">
        <v>12</v>
      </c>
      <c r="C27" s="20" t="s">
        <v>200</v>
      </c>
      <c r="D27" s="20" t="s">
        <v>225</v>
      </c>
      <c r="E27" s="34">
        <v>60</v>
      </c>
      <c r="F27" s="34">
        <f>E27*VLOOKUP(B27,dagsoorttabel1,2,FALSE)</f>
        <v>48.235294117647058</v>
      </c>
      <c r="G27" s="35">
        <f>IF(AND(catpn_1_LOZB_1&gt;0,catpn_1_LOZV_41&gt;0),(dagenperjaar1*VLOOKUP(B27,dagsoorttabel1,2,FALSE))/(((dagenperjaar1*VLOOKUP(B27,dagsoorttabel1,2,FALSE))-catfd_1_LOZV_41)/catpn_1_LOZB_1+catfd_1_LOZV_41/catpn_1_LOZV_41),0)</f>
        <v>0</v>
      </c>
      <c r="H27" s="36">
        <f>IF(AND(catpn_1_LOZB_1&gt;0,catpn_1_LOZV_41&gt;0),(catdw_1_LOZB_1*((dagenperjaar1-VLOOKUP(B27,dagsoorttabel1,2,FALSE))-catfd_1_LOZV_41)/catpn_1_LOZB_1+catdw_1_LOZV_41*catfd_1_LOZV_41/catpn_1_LOZV_41)/(((dagenperjaar1-VLOOKUP(B27,dagsoorttabel1,2,FALSE))-catfd_1_LOZV_41)/catpn_1_LOZB_1+catfd_1_LOZV_41/catpn_1_LOZV_41),0)</f>
        <v>0</v>
      </c>
      <c r="I27" s="20" t="s">
        <v>41</v>
      </c>
      <c r="J27" s="37">
        <f>IF(AND(catpn_1_LOZB_1&gt;0,catpn_1_LOZV_41&gt;0),(cattf_1_LOZB_1*((dagenperjaar1*VLOOKUP(B27,dagsoorttabel1,2,FALSE))-catfd_1_LOZV_41)/catpn_1_LOZB_1+cattf_1_LOZV_41*catfd_1_LOZV_41/catpn_1_LOZV_41)/(((dagenperjaar1*VLOOKUP(B27,dagsoorttabel1,2,FALSE))-catfd_1_LOZV_41)/catpn_1_LOZB_1+catfd_1_LOZV_41/catpn_1_LOZV_41),0)</f>
        <v>0</v>
      </c>
      <c r="K27" s="34">
        <f>IF(OR(ISBLANK(G27),G27=0),0,F27/ROUND(G27,4))</f>
        <v>0</v>
      </c>
      <c r="L27" s="37">
        <f>ROUND(J27,2)*K27</f>
        <v>0</v>
      </c>
      <c r="M27" s="34">
        <f>K27*dagenperjaar1</f>
        <v>0</v>
      </c>
      <c r="N27" s="37">
        <f>M27*ROUND(J27,2)</f>
        <v>0</v>
      </c>
    </row>
    <row r="28" spans="1:14" x14ac:dyDescent="0.2">
      <c r="A28" s="20" t="s">
        <v>226</v>
      </c>
      <c r="B28" s="20" t="s">
        <v>12</v>
      </c>
      <c r="C28" s="20" t="s">
        <v>200</v>
      </c>
      <c r="D28" s="20" t="s">
        <v>227</v>
      </c>
      <c r="E28" s="34">
        <v>62.9</v>
      </c>
      <c r="F28" s="34">
        <f>E28*VLOOKUP(B28,dagsoorttabel1,2,FALSE)</f>
        <v>50.56666666666667</v>
      </c>
      <c r="G28" s="35">
        <f>IF(AND(catpn_1_MAHB_1&gt;0,catpn_1_MAHV_41&gt;0),(dagenperjaar1*VLOOKUP(B28,dagsoorttabel1,2,FALSE))/(((dagenperjaar1*VLOOKUP(B28,dagsoorttabel1,2,FALSE))-catfd_1_MAHV_41)/catpn_1_MAHB_1+catfd_1_MAHV_41/catpn_1_MAHV_41),0)</f>
        <v>0</v>
      </c>
      <c r="H28" s="36">
        <f>IF(AND(catpn_1_MAHB_1&gt;0,catpn_1_MAHV_41&gt;0),(catdw_1_MAHB_1*((dagenperjaar1-VLOOKUP(B28,dagsoorttabel1,2,FALSE))-catfd_1_MAHV_41)/catpn_1_MAHB_1+catdw_1_MAHV_41*catfd_1_MAHV_41/catpn_1_MAHV_41)/(((dagenperjaar1-VLOOKUP(B28,dagsoorttabel1,2,FALSE))-catfd_1_MAHV_41)/catpn_1_MAHB_1+catfd_1_MAHV_41/catpn_1_MAHV_41),0)</f>
        <v>0</v>
      </c>
      <c r="I28" s="20" t="s">
        <v>41</v>
      </c>
      <c r="J28" s="37">
        <f>IF(AND(catpn_1_MAHB_1&gt;0,catpn_1_MAHV_41&gt;0),(cattf_1_MAHB_1*((dagenperjaar1*VLOOKUP(B28,dagsoorttabel1,2,FALSE))-catfd_1_MAHV_41)/catpn_1_MAHB_1+cattf_1_MAHV_41*catfd_1_MAHV_41/catpn_1_MAHV_41)/(((dagenperjaar1*VLOOKUP(B28,dagsoorttabel1,2,FALSE))-catfd_1_MAHV_41)/catpn_1_MAHB_1+catfd_1_MAHV_41/catpn_1_MAHV_41),0)</f>
        <v>0</v>
      </c>
      <c r="K28" s="34">
        <f>IF(OR(ISBLANK(G28),G28=0),0,F28/ROUND(G28,4))</f>
        <v>0</v>
      </c>
      <c r="L28" s="37">
        <f>ROUND(J28,2)*K28</f>
        <v>0</v>
      </c>
      <c r="M28" s="34">
        <f>K28*dagenperjaar1</f>
        <v>0</v>
      </c>
      <c r="N28" s="37">
        <f>M28*ROUND(J28,2)</f>
        <v>0</v>
      </c>
    </row>
    <row r="29" spans="1:14" x14ac:dyDescent="0.2">
      <c r="A29" s="20" t="s">
        <v>228</v>
      </c>
      <c r="B29" s="20" t="s">
        <v>12</v>
      </c>
      <c r="C29" s="20" t="s">
        <v>200</v>
      </c>
      <c r="D29" s="20" t="s">
        <v>229</v>
      </c>
      <c r="E29" s="34">
        <v>117.2</v>
      </c>
      <c r="F29" s="34">
        <f>E29*VLOOKUP(B29,dagsoorttabel1,2,FALSE)</f>
        <v>94.219607843137254</v>
      </c>
      <c r="G29" s="35">
        <f>IF(AND(catpn_1_MAZB_1&gt;0,catpn_1_MAZV_41&gt;0),(dagenperjaar1*VLOOKUP(B29,dagsoorttabel1,2,FALSE))/(((dagenperjaar1*VLOOKUP(B29,dagsoorttabel1,2,FALSE))-catfd_1_MAZV_41)/catpn_1_MAZB_1+catfd_1_MAZV_41/catpn_1_MAZV_41),0)</f>
        <v>0</v>
      </c>
      <c r="H29" s="36">
        <f>IF(AND(catpn_1_MAZB_1&gt;0,catpn_1_MAZV_41&gt;0),(catdw_1_MAZB_1*((dagenperjaar1-VLOOKUP(B29,dagsoorttabel1,2,FALSE))-catfd_1_MAZV_41)/catpn_1_MAZB_1+catdw_1_MAZV_41*catfd_1_MAZV_41/catpn_1_MAZV_41)/(((dagenperjaar1-VLOOKUP(B29,dagsoorttabel1,2,FALSE))-catfd_1_MAZV_41)/catpn_1_MAZB_1+catfd_1_MAZV_41/catpn_1_MAZV_41),0)</f>
        <v>0</v>
      </c>
      <c r="I29" s="20" t="s">
        <v>41</v>
      </c>
      <c r="J29" s="37">
        <f>IF(AND(catpn_1_MAZB_1&gt;0,catpn_1_MAZV_41&gt;0),(cattf_1_MAZB_1*((dagenperjaar1*VLOOKUP(B29,dagsoorttabel1,2,FALSE))-catfd_1_MAZV_41)/catpn_1_MAZB_1+cattf_1_MAZV_41*catfd_1_MAZV_41/catpn_1_MAZV_41)/(((dagenperjaar1*VLOOKUP(B29,dagsoorttabel1,2,FALSE))-catfd_1_MAZV_41)/catpn_1_MAZB_1+catfd_1_MAZV_41/catpn_1_MAZV_41),0)</f>
        <v>0</v>
      </c>
      <c r="K29" s="34">
        <f>IF(OR(ISBLANK(G29),G29=0),0,F29/ROUND(G29,4))</f>
        <v>0</v>
      </c>
      <c r="L29" s="37">
        <f>ROUND(J29,2)*K29</f>
        <v>0</v>
      </c>
      <c r="M29" s="34">
        <f>K29*dagenperjaar1</f>
        <v>0</v>
      </c>
      <c r="N29" s="37">
        <f>M29*ROUND(J29,2)</f>
        <v>0</v>
      </c>
    </row>
    <row r="30" spans="1:14" x14ac:dyDescent="0.2">
      <c r="A30" s="20" t="s">
        <v>230</v>
      </c>
      <c r="B30" s="20" t="s">
        <v>26</v>
      </c>
      <c r="C30" s="20" t="s">
        <v>200</v>
      </c>
      <c r="D30" s="20" t="s">
        <v>231</v>
      </c>
      <c r="E30" s="34">
        <v>79</v>
      </c>
      <c r="F30" s="34">
        <f>E30*VLOOKUP(B30,dagsoorttabel1,2,FALSE)</f>
        <v>0.30980392156862746</v>
      </c>
      <c r="G30" s="35">
        <f>IF(AND(catpn_1_OAHB_1&gt;0,catpn_1_OAHV_1&gt;0),(dagenperjaar1*VLOOKUP(B30,dagsoorttabel1,2,FALSE))/(((dagenperjaar1*VLOOKUP(B30,dagsoorttabel1,2,FALSE))-catfd_1_OAHV_1)/catpn_1_OAHB_1+catfd_1_OAHV_1/catpn_1_OAHV_1),0)</f>
        <v>0</v>
      </c>
      <c r="H30" s="36">
        <f>IF(AND(catpn_1_OAHB_1&gt;0,catpn_1_OAHV_1&gt;0),(catdw_1_OAHB_1*((dagenperjaar1-VLOOKUP(B30,dagsoorttabel1,2,FALSE))-catfd_1_OAHV_1)/catpn_1_OAHB_1+catdw_1_OAHV_1*catfd_1_OAHV_1/catpn_1_OAHV_1)/(((dagenperjaar1-VLOOKUP(B30,dagsoorttabel1,2,FALSE))-catfd_1_OAHV_1)/catpn_1_OAHB_1+catfd_1_OAHV_1/catpn_1_OAHV_1),0)</f>
        <v>0</v>
      </c>
      <c r="I30" s="20" t="s">
        <v>41</v>
      </c>
      <c r="J30" s="37">
        <f>IF(AND(catpn_1_OAHB_1&gt;0,catpn_1_OAHV_1&gt;0),(cattf_1_OAHB_1*((dagenperjaar1*VLOOKUP(B30,dagsoorttabel1,2,FALSE))-catfd_1_OAHV_1)/catpn_1_OAHB_1+cattf_1_OAHV_1*catfd_1_OAHV_1/catpn_1_OAHV_1)/(((dagenperjaar1*VLOOKUP(B30,dagsoorttabel1,2,FALSE))-catfd_1_OAHV_1)/catpn_1_OAHB_1+catfd_1_OAHV_1/catpn_1_OAHV_1),0)</f>
        <v>0</v>
      </c>
      <c r="K30" s="34">
        <f>IF(OR(ISBLANK(G30),G30=0),0,F30/ROUND(G30,4))</f>
        <v>0</v>
      </c>
      <c r="L30" s="37">
        <f>ROUND(J30,2)*K30</f>
        <v>0</v>
      </c>
      <c r="M30" s="34">
        <f>K30*dagenperjaar1</f>
        <v>0</v>
      </c>
      <c r="N30" s="37">
        <f>M30*ROUND(J30,2)</f>
        <v>0</v>
      </c>
    </row>
    <row r="31" spans="1:14" x14ac:dyDescent="0.2">
      <c r="A31" s="20" t="s">
        <v>230</v>
      </c>
      <c r="B31" s="20" t="s">
        <v>19</v>
      </c>
      <c r="C31" s="20" t="s">
        <v>200</v>
      </c>
      <c r="D31" s="20" t="s">
        <v>231</v>
      </c>
      <c r="E31" s="34">
        <v>125.69999999999999</v>
      </c>
      <c r="F31" s="34">
        <f>E31*VLOOKUP(B31,dagsoorttabel1,2,FALSE)</f>
        <v>20.210588235294118</v>
      </c>
      <c r="G31" s="35">
        <f>IF(AND(catpn_1_OAHB_1&gt;0,catpn_1_OAHV_41&gt;0),(dagenperjaar1*VLOOKUP(B31,dagsoorttabel1,2,FALSE))/(((dagenperjaar1*VLOOKUP(B31,dagsoorttabel1,2,FALSE))-catfd_1_OAHV_41)/catpn_1_OAHB_1+catfd_1_OAHV_41/catpn_1_OAHV_41),0)</f>
        <v>0</v>
      </c>
      <c r="H31" s="36">
        <f>IF(AND(catpn_1_OAHB_1&gt;0,catpn_1_OAHV_41&gt;0),(catdw_1_OAHB_1*((dagenperjaar1-VLOOKUP(B31,dagsoorttabel1,2,FALSE))-catfd_1_OAHV_41)/catpn_1_OAHB_1+catdw_1_OAHV_41*catfd_1_OAHV_41/catpn_1_OAHV_41)/(((dagenperjaar1-VLOOKUP(B31,dagsoorttabel1,2,FALSE))-catfd_1_OAHV_41)/catpn_1_OAHB_1+catfd_1_OAHV_41/catpn_1_OAHV_41),0)</f>
        <v>0</v>
      </c>
      <c r="I31" s="20" t="s">
        <v>41</v>
      </c>
      <c r="J31" s="37">
        <f>IF(AND(catpn_1_OAHB_1&gt;0,catpn_1_OAHV_41&gt;0),(cattf_1_OAHB_1*((dagenperjaar1*VLOOKUP(B31,dagsoorttabel1,2,FALSE))-catfd_1_OAHV_41)/catpn_1_OAHB_1+cattf_1_OAHV_41*catfd_1_OAHV_41/catpn_1_OAHV_41)/(((dagenperjaar1*VLOOKUP(B31,dagsoorttabel1,2,FALSE))-catfd_1_OAHV_41)/catpn_1_OAHB_1+catfd_1_OAHV_41/catpn_1_OAHV_41),0)</f>
        <v>0</v>
      </c>
      <c r="K31" s="34">
        <f>IF(OR(ISBLANK(G31),G31=0),0,F31/ROUND(G31,4))</f>
        <v>0</v>
      </c>
      <c r="L31" s="37">
        <f>ROUND(J31,2)*K31</f>
        <v>0</v>
      </c>
      <c r="M31" s="34">
        <f>K31*dagenperjaar1</f>
        <v>0</v>
      </c>
      <c r="N31" s="37">
        <f>M31*ROUND(J31,2)</f>
        <v>0</v>
      </c>
    </row>
    <row r="32" spans="1:14" x14ac:dyDescent="0.2">
      <c r="A32" s="20" t="s">
        <v>232</v>
      </c>
      <c r="B32" s="20" t="s">
        <v>12</v>
      </c>
      <c r="C32" s="20" t="s">
        <v>200</v>
      </c>
      <c r="D32" s="20" t="s">
        <v>233</v>
      </c>
      <c r="E32" s="34">
        <v>259</v>
      </c>
      <c r="F32" s="34">
        <f>E32*VLOOKUP(B32,dagsoorttabel1,2,FALSE)</f>
        <v>208.21568627450981</v>
      </c>
      <c r="G32" s="35">
        <f>IF(AND(catpn_1_PAHB_1&gt;0,catpn_1_PAHV_41&gt;0),(dagenperjaar1*VLOOKUP(B32,dagsoorttabel1,2,FALSE))/(((dagenperjaar1*VLOOKUP(B32,dagsoorttabel1,2,FALSE))-catfd_1_PAHV_41)/catpn_1_PAHB_1+catfd_1_PAHV_41/catpn_1_PAHV_41),0)</f>
        <v>0</v>
      </c>
      <c r="H32" s="36">
        <f>IF(AND(catpn_1_PAHB_1&gt;0,catpn_1_PAHV_41&gt;0),(catdw_1_PAHB_1*((dagenperjaar1-VLOOKUP(B32,dagsoorttabel1,2,FALSE))-catfd_1_PAHV_41)/catpn_1_PAHB_1+catdw_1_PAHV_41*catfd_1_PAHV_41/catpn_1_PAHV_41)/(((dagenperjaar1-VLOOKUP(B32,dagsoorttabel1,2,FALSE))-catfd_1_PAHV_41)/catpn_1_PAHB_1+catfd_1_PAHV_41/catpn_1_PAHV_41),0)</f>
        <v>0</v>
      </c>
      <c r="I32" s="20" t="s">
        <v>41</v>
      </c>
      <c r="J32" s="37">
        <f>IF(AND(catpn_1_PAHB_1&gt;0,catpn_1_PAHV_41&gt;0),(cattf_1_PAHB_1*((dagenperjaar1*VLOOKUP(B32,dagsoorttabel1,2,FALSE))-catfd_1_PAHV_41)/catpn_1_PAHB_1+cattf_1_PAHV_41*catfd_1_PAHV_41/catpn_1_PAHV_41)/(((dagenperjaar1*VLOOKUP(B32,dagsoorttabel1,2,FALSE))-catfd_1_PAHV_41)/catpn_1_PAHB_1+catfd_1_PAHV_41/catpn_1_PAHV_41),0)</f>
        <v>0</v>
      </c>
      <c r="K32" s="34">
        <f>IF(OR(ISBLANK(G32),G32=0),0,F32/ROUND(G32,4))</f>
        <v>0</v>
      </c>
      <c r="L32" s="37">
        <f>ROUND(J32,2)*K32</f>
        <v>0</v>
      </c>
      <c r="M32" s="34">
        <f>K32*dagenperjaar1</f>
        <v>0</v>
      </c>
      <c r="N32" s="37">
        <f>M32*ROUND(J32,2)</f>
        <v>0</v>
      </c>
    </row>
    <row r="33" spans="1:14" x14ac:dyDescent="0.2">
      <c r="A33" s="20" t="s">
        <v>234</v>
      </c>
      <c r="B33" s="20" t="s">
        <v>12</v>
      </c>
      <c r="C33" s="20" t="s">
        <v>200</v>
      </c>
      <c r="D33" s="20" t="s">
        <v>235</v>
      </c>
      <c r="E33" s="34">
        <v>192.3</v>
      </c>
      <c r="F33" s="34">
        <f>E33*VLOOKUP(B33,dagsoorttabel1,2,FALSE)</f>
        <v>154.59411764705885</v>
      </c>
      <c r="G33" s="35">
        <f>IF(AND(catpn_1_PKHB_1&gt;0,catpn_1_PKHV_41&gt;0),(dagenperjaar1*VLOOKUP(B33,dagsoorttabel1,2,FALSE))/(((dagenperjaar1*VLOOKUP(B33,dagsoorttabel1,2,FALSE))-catfd_1_PKHV_41)/catpn_1_PKHB_1+catfd_1_PKHV_41/catpn_1_PKHV_41),0)</f>
        <v>0</v>
      </c>
      <c r="H33" s="36">
        <f>IF(AND(catpn_1_PKHB_1&gt;0,catpn_1_PKHV_41&gt;0),(catdw_1_PKHB_1*((dagenperjaar1-VLOOKUP(B33,dagsoorttabel1,2,FALSE))-catfd_1_PKHV_41)/catpn_1_PKHB_1+catdw_1_PKHV_41*catfd_1_PKHV_41/catpn_1_PKHV_41)/(((dagenperjaar1-VLOOKUP(B33,dagsoorttabel1,2,FALSE))-catfd_1_PKHV_41)/catpn_1_PKHB_1+catfd_1_PKHV_41/catpn_1_PKHV_41),0)</f>
        <v>0</v>
      </c>
      <c r="I33" s="20" t="s">
        <v>41</v>
      </c>
      <c r="J33" s="37">
        <f>IF(AND(catpn_1_PKHB_1&gt;0,catpn_1_PKHV_41&gt;0),(cattf_1_PKHB_1*((dagenperjaar1*VLOOKUP(B33,dagsoorttabel1,2,FALSE))-catfd_1_PKHV_41)/catpn_1_PKHB_1+cattf_1_PKHV_41*catfd_1_PKHV_41/catpn_1_PKHV_41)/(((dagenperjaar1*VLOOKUP(B33,dagsoorttabel1,2,FALSE))-catfd_1_PKHV_41)/catpn_1_PKHB_1+catfd_1_PKHV_41/catpn_1_PKHV_41),0)</f>
        <v>0</v>
      </c>
      <c r="K33" s="34">
        <f>IF(OR(ISBLANK(G33),G33=0),0,F33/ROUND(G33,4))</f>
        <v>0</v>
      </c>
      <c r="L33" s="37">
        <f>ROUND(J33,2)*K33</f>
        <v>0</v>
      </c>
      <c r="M33" s="34">
        <f>K33*dagenperjaar1</f>
        <v>0</v>
      </c>
      <c r="N33" s="37">
        <f>M33*ROUND(J33,2)</f>
        <v>0</v>
      </c>
    </row>
    <row r="34" spans="1:14" x14ac:dyDescent="0.2">
      <c r="A34" s="20" t="s">
        <v>236</v>
      </c>
      <c r="B34" s="20" t="s">
        <v>12</v>
      </c>
      <c r="C34" s="20" t="s">
        <v>200</v>
      </c>
      <c r="D34" s="20" t="s">
        <v>237</v>
      </c>
      <c r="E34" s="34">
        <v>66</v>
      </c>
      <c r="F34" s="34">
        <f>E34*VLOOKUP(B34,dagsoorttabel1,2,FALSE)</f>
        <v>53.058823529411768</v>
      </c>
      <c r="G34" s="35">
        <f>IF(AND(catpn_1_PKZB_1&gt;0,catpn_1_PKZV_41&gt;0),(dagenperjaar1*VLOOKUP(B34,dagsoorttabel1,2,FALSE))/(((dagenperjaar1*VLOOKUP(B34,dagsoorttabel1,2,FALSE))-catfd_1_PKZV_41)/catpn_1_PKZB_1+catfd_1_PKZV_41/catpn_1_PKZV_41),0)</f>
        <v>0</v>
      </c>
      <c r="H34" s="36">
        <f>IF(AND(catpn_1_PKZB_1&gt;0,catpn_1_PKZV_41&gt;0),(catdw_1_PKZB_1*((dagenperjaar1-VLOOKUP(B34,dagsoorttabel1,2,FALSE))-catfd_1_PKZV_41)/catpn_1_PKZB_1+catdw_1_PKZV_41*catfd_1_PKZV_41/catpn_1_PKZV_41)/(((dagenperjaar1-VLOOKUP(B34,dagsoorttabel1,2,FALSE))-catfd_1_PKZV_41)/catpn_1_PKZB_1+catfd_1_PKZV_41/catpn_1_PKZV_41),0)</f>
        <v>0</v>
      </c>
      <c r="I34" s="20" t="s">
        <v>41</v>
      </c>
      <c r="J34" s="37">
        <f>IF(AND(catpn_1_PKZB_1&gt;0,catpn_1_PKZV_41&gt;0),(cattf_1_PKZB_1*((dagenperjaar1*VLOOKUP(B34,dagsoorttabel1,2,FALSE))-catfd_1_PKZV_41)/catpn_1_PKZB_1+cattf_1_PKZV_41*catfd_1_PKZV_41/catpn_1_PKZV_41)/(((dagenperjaar1*VLOOKUP(B34,dagsoorttabel1,2,FALSE))-catfd_1_PKZV_41)/catpn_1_PKZB_1+catfd_1_PKZV_41/catpn_1_PKZV_41),0)</f>
        <v>0</v>
      </c>
      <c r="K34" s="34">
        <f>IF(OR(ISBLANK(G34),G34=0),0,F34/ROUND(G34,4))</f>
        <v>0</v>
      </c>
      <c r="L34" s="37">
        <f>ROUND(J34,2)*K34</f>
        <v>0</v>
      </c>
      <c r="M34" s="34">
        <f>K34*dagenperjaar1</f>
        <v>0</v>
      </c>
      <c r="N34" s="37">
        <f>M34*ROUND(J34,2)</f>
        <v>0</v>
      </c>
    </row>
    <row r="35" spans="1:14" x14ac:dyDescent="0.2">
      <c r="A35" s="20" t="s">
        <v>238</v>
      </c>
      <c r="B35" s="20" t="s">
        <v>12</v>
      </c>
      <c r="C35" s="20" t="s">
        <v>200</v>
      </c>
      <c r="D35" s="20" t="s">
        <v>239</v>
      </c>
      <c r="E35" s="34">
        <v>503</v>
      </c>
      <c r="F35" s="34">
        <f>E35*VLOOKUP(B35,dagsoorttabel1,2,FALSE)</f>
        <v>404.37254901960785</v>
      </c>
      <c r="G35" s="35">
        <f>IF(AND(catpn_1_PLHB_1&gt;0,catpn_1_PLHV_41&gt;0),(dagenperjaar1*VLOOKUP(B35,dagsoorttabel1,2,FALSE))/(((dagenperjaar1*VLOOKUP(B35,dagsoorttabel1,2,FALSE))-catfd_1_PLHV_41)/catpn_1_PLHB_1+catfd_1_PLHV_41/catpn_1_PLHV_41),0)</f>
        <v>0</v>
      </c>
      <c r="H35" s="36">
        <f>IF(AND(catpn_1_PLHB_1&gt;0,catpn_1_PLHV_41&gt;0),(catdw_1_PLHB_1*((dagenperjaar1-VLOOKUP(B35,dagsoorttabel1,2,FALSE))-catfd_1_PLHV_41)/catpn_1_PLHB_1+catdw_1_PLHV_41*catfd_1_PLHV_41/catpn_1_PLHV_41)/(((dagenperjaar1-VLOOKUP(B35,dagsoorttabel1,2,FALSE))-catfd_1_PLHV_41)/catpn_1_PLHB_1+catfd_1_PLHV_41/catpn_1_PLHV_41),0)</f>
        <v>0</v>
      </c>
      <c r="I35" s="20" t="s">
        <v>41</v>
      </c>
      <c r="J35" s="37">
        <f>IF(AND(catpn_1_PLHB_1&gt;0,catpn_1_PLHV_41&gt;0),(cattf_1_PLHB_1*((dagenperjaar1*VLOOKUP(B35,dagsoorttabel1,2,FALSE))-catfd_1_PLHV_41)/catpn_1_PLHB_1+cattf_1_PLHV_41*catfd_1_PLHV_41/catpn_1_PLHV_41)/(((dagenperjaar1*VLOOKUP(B35,dagsoorttabel1,2,FALSE))-catfd_1_PLHV_41)/catpn_1_PLHB_1+catfd_1_PLHV_41/catpn_1_PLHV_41),0)</f>
        <v>0</v>
      </c>
      <c r="K35" s="34">
        <f>IF(OR(ISBLANK(G35),G35=0),0,F35/ROUND(G35,4))</f>
        <v>0</v>
      </c>
      <c r="L35" s="37">
        <f>ROUND(J35,2)*K35</f>
        <v>0</v>
      </c>
      <c r="M35" s="34">
        <f>K35*dagenperjaar1</f>
        <v>0</v>
      </c>
      <c r="N35" s="37">
        <f>M35*ROUND(J35,2)</f>
        <v>0</v>
      </c>
    </row>
    <row r="36" spans="1:14" x14ac:dyDescent="0.2">
      <c r="A36" s="20" t="s">
        <v>240</v>
      </c>
      <c r="B36" s="20" t="s">
        <v>12</v>
      </c>
      <c r="C36" s="20" t="s">
        <v>200</v>
      </c>
      <c r="D36" s="20" t="s">
        <v>241</v>
      </c>
      <c r="E36" s="34">
        <v>1122.5</v>
      </c>
      <c r="F36" s="34">
        <f>E36*VLOOKUP(B36,dagsoorttabel1,2,FALSE)</f>
        <v>902.40196078431381</v>
      </c>
      <c r="G36" s="35">
        <f>IF(AND(catpn_1_PSHB_1&gt;0,catpn_1_PSHV_41&gt;0),(dagenperjaar1*VLOOKUP(B36,dagsoorttabel1,2,FALSE))/(((dagenperjaar1*VLOOKUP(B36,dagsoorttabel1,2,FALSE))-catfd_1_PSHV_41)/catpn_1_PSHB_1+catfd_1_PSHV_41/catpn_1_PSHV_41),0)</f>
        <v>0</v>
      </c>
      <c r="H36" s="36">
        <f>IF(AND(catpn_1_PSHB_1&gt;0,catpn_1_PSHV_41&gt;0),(catdw_1_PSHB_1*((dagenperjaar1-VLOOKUP(B36,dagsoorttabel1,2,FALSE))-catfd_1_PSHV_41)/catpn_1_PSHB_1+catdw_1_PSHV_41*catfd_1_PSHV_41/catpn_1_PSHV_41)/(((dagenperjaar1-VLOOKUP(B36,dagsoorttabel1,2,FALSE))-catfd_1_PSHV_41)/catpn_1_PSHB_1+catfd_1_PSHV_41/catpn_1_PSHV_41),0)</f>
        <v>0</v>
      </c>
      <c r="I36" s="20" t="s">
        <v>41</v>
      </c>
      <c r="J36" s="37">
        <f>IF(AND(catpn_1_PSHB_1&gt;0,catpn_1_PSHV_41&gt;0),(cattf_1_PSHB_1*((dagenperjaar1*VLOOKUP(B36,dagsoorttabel1,2,FALSE))-catfd_1_PSHV_41)/catpn_1_PSHB_1+cattf_1_PSHV_41*catfd_1_PSHV_41/catpn_1_PSHV_41)/(((dagenperjaar1*VLOOKUP(B36,dagsoorttabel1,2,FALSE))-catfd_1_PSHV_41)/catpn_1_PSHB_1+catfd_1_PSHV_41/catpn_1_PSHV_41),0)</f>
        <v>0</v>
      </c>
      <c r="K36" s="34">
        <f>IF(OR(ISBLANK(G36),G36=0),0,F36/ROUND(G36,4))</f>
        <v>0</v>
      </c>
      <c r="L36" s="37">
        <f>ROUND(J36,2)*K36</f>
        <v>0</v>
      </c>
      <c r="M36" s="34">
        <f>K36*dagenperjaar1</f>
        <v>0</v>
      </c>
      <c r="N36" s="37">
        <f>M36*ROUND(J36,2)</f>
        <v>0</v>
      </c>
    </row>
    <row r="37" spans="1:14" x14ac:dyDescent="0.2">
      <c r="A37" s="20" t="s">
        <v>242</v>
      </c>
      <c r="B37" s="20" t="s">
        <v>12</v>
      </c>
      <c r="C37" s="20" t="s">
        <v>200</v>
      </c>
      <c r="D37" s="20" t="s">
        <v>243</v>
      </c>
      <c r="E37" s="34">
        <v>76.8</v>
      </c>
      <c r="F37" s="34">
        <f>E37*VLOOKUP(B37,dagsoorttabel1,2,FALSE)</f>
        <v>61.741176470588236</v>
      </c>
      <c r="G37" s="35">
        <f>IF(AND(catpn_1_PSZB_1&gt;0,catpn_1_PSZV_41&gt;0),(dagenperjaar1*VLOOKUP(B37,dagsoorttabel1,2,FALSE))/(((dagenperjaar1*VLOOKUP(B37,dagsoorttabel1,2,FALSE))-catfd_1_PSZV_41)/catpn_1_PSZB_1+catfd_1_PSZV_41/catpn_1_PSZV_41),0)</f>
        <v>0</v>
      </c>
      <c r="H37" s="36">
        <f>IF(AND(catpn_1_PSZB_1&gt;0,catpn_1_PSZV_41&gt;0),(catdw_1_PSZB_1*((dagenperjaar1-VLOOKUP(B37,dagsoorttabel1,2,FALSE))-catfd_1_PSZV_41)/catpn_1_PSZB_1+catdw_1_PSZV_41*catfd_1_PSZV_41/catpn_1_PSZV_41)/(((dagenperjaar1-VLOOKUP(B37,dagsoorttabel1,2,FALSE))-catfd_1_PSZV_41)/catpn_1_PSZB_1+catfd_1_PSZV_41/catpn_1_PSZV_41),0)</f>
        <v>0</v>
      </c>
      <c r="I37" s="20" t="s">
        <v>41</v>
      </c>
      <c r="J37" s="37">
        <f>IF(AND(catpn_1_PSZB_1&gt;0,catpn_1_PSZV_41&gt;0),(cattf_1_PSZB_1*((dagenperjaar1*VLOOKUP(B37,dagsoorttabel1,2,FALSE))-catfd_1_PSZV_41)/catpn_1_PSZB_1+cattf_1_PSZV_41*catfd_1_PSZV_41/catpn_1_PSZV_41)/(((dagenperjaar1*VLOOKUP(B37,dagsoorttabel1,2,FALSE))-catfd_1_PSZV_41)/catpn_1_PSZB_1+catfd_1_PSZV_41/catpn_1_PSZV_41),0)</f>
        <v>0</v>
      </c>
      <c r="K37" s="34">
        <f>IF(OR(ISBLANK(G37),G37=0),0,F37/ROUND(G37,4))</f>
        <v>0</v>
      </c>
      <c r="L37" s="37">
        <f>ROUND(J37,2)*K37</f>
        <v>0</v>
      </c>
      <c r="M37" s="34">
        <f>K37*dagenperjaar1</f>
        <v>0</v>
      </c>
      <c r="N37" s="37">
        <f>M37*ROUND(J37,2)</f>
        <v>0</v>
      </c>
    </row>
    <row r="38" spans="1:14" x14ac:dyDescent="0.2">
      <c r="A38" s="20" t="s">
        <v>244</v>
      </c>
      <c r="B38" s="20" t="s">
        <v>26</v>
      </c>
      <c r="C38" s="20" t="s">
        <v>200</v>
      </c>
      <c r="D38" s="20" t="s">
        <v>245</v>
      </c>
      <c r="E38" s="34">
        <v>1321.1499999999999</v>
      </c>
      <c r="F38" s="34">
        <f>E38*VLOOKUP(B38,dagsoorttabel1,2,FALSE)</f>
        <v>5.1809803921568625</v>
      </c>
      <c r="G38" s="35">
        <f>IF(AND(catpn_1_PWHB_1&gt;0,catpn_1_PWHV_1&gt;0),(dagenperjaar1*VLOOKUP(B38,dagsoorttabel1,2,FALSE))/(((dagenperjaar1*VLOOKUP(B38,dagsoorttabel1,2,FALSE))-catfd_1_PWHV_1)/catpn_1_PWHB_1+catfd_1_PWHV_1/catpn_1_PWHV_1),0)</f>
        <v>0</v>
      </c>
      <c r="H38" s="36">
        <f>IF(AND(catpn_1_PWHB_1&gt;0,catpn_1_PWHV_1&gt;0),(catdw_1_PWHB_1*((dagenperjaar1-VLOOKUP(B38,dagsoorttabel1,2,FALSE))-catfd_1_PWHV_1)/catpn_1_PWHB_1+catdw_1_PWHV_1*catfd_1_PWHV_1/catpn_1_PWHV_1)/(((dagenperjaar1-VLOOKUP(B38,dagsoorttabel1,2,FALSE))-catfd_1_PWHV_1)/catpn_1_PWHB_1+catfd_1_PWHV_1/catpn_1_PWHV_1),0)</f>
        <v>0</v>
      </c>
      <c r="I38" s="20" t="s">
        <v>41</v>
      </c>
      <c r="J38" s="37">
        <f>IF(AND(catpn_1_PWHB_1&gt;0,catpn_1_PWHV_1&gt;0),(cattf_1_PWHB_1*((dagenperjaar1*VLOOKUP(B38,dagsoorttabel1,2,FALSE))-catfd_1_PWHV_1)/catpn_1_PWHB_1+cattf_1_PWHV_1*catfd_1_PWHV_1/catpn_1_PWHV_1)/(((dagenperjaar1*VLOOKUP(B38,dagsoorttabel1,2,FALSE))-catfd_1_PWHV_1)/catpn_1_PWHB_1+catfd_1_PWHV_1/catpn_1_PWHV_1),0)</f>
        <v>0</v>
      </c>
      <c r="K38" s="34">
        <f>IF(OR(ISBLANK(G38),G38=0),0,F38/ROUND(G38,4))</f>
        <v>0</v>
      </c>
      <c r="L38" s="37">
        <f>ROUND(J38,2)*K38</f>
        <v>0</v>
      </c>
      <c r="M38" s="34">
        <f>K38*dagenperjaar1</f>
        <v>0</v>
      </c>
      <c r="N38" s="37">
        <f>M38*ROUND(J38,2)</f>
        <v>0</v>
      </c>
    </row>
    <row r="39" spans="1:14" x14ac:dyDescent="0.2">
      <c r="A39" s="20" t="s">
        <v>246</v>
      </c>
      <c r="B39" s="20" t="s">
        <v>10</v>
      </c>
      <c r="C39" s="20" t="s">
        <v>200</v>
      </c>
      <c r="D39" s="20" t="s">
        <v>247</v>
      </c>
      <c r="E39" s="34">
        <v>43.300000000000004</v>
      </c>
      <c r="F39" s="34">
        <f>E39*VLOOKUP(B39,dagsoorttabel1,2,FALSE)</f>
        <v>38.205882352941181</v>
      </c>
      <c r="G39" s="35">
        <f>IF(AND(catpn_1_SDHB_1&gt;0,catpn_1_SDHV_45&gt;0),(dagenperjaar1*VLOOKUP(B39,dagsoorttabel1,2,FALSE))/(((dagenperjaar1*VLOOKUP(B39,dagsoorttabel1,2,FALSE))-catfd_1_SDHV_45)/catpn_1_SDHB_1+catfd_1_SDHV_45/catpn_1_SDHV_45),0)</f>
        <v>0</v>
      </c>
      <c r="H39" s="36">
        <f>IF(AND(catpn_1_SDHB_1&gt;0,catpn_1_SDHV_45&gt;0),(catdw_1_SDHB_1*((dagenperjaar1-VLOOKUP(B39,dagsoorttabel1,2,FALSE))-catfd_1_SDHV_45)/catpn_1_SDHB_1+catdw_1_SDHV_45*catfd_1_SDHV_45/catpn_1_SDHV_45)/(((dagenperjaar1-VLOOKUP(B39,dagsoorttabel1,2,FALSE))-catfd_1_SDHV_45)/catpn_1_SDHB_1+catfd_1_SDHV_45/catpn_1_SDHV_45),0)</f>
        <v>0</v>
      </c>
      <c r="I39" s="20" t="s">
        <v>41</v>
      </c>
      <c r="J39" s="37">
        <f>IF(AND(catpn_1_SDHB_1&gt;0,catpn_1_SDHV_45&gt;0),(cattf_1_SDHB_1*((dagenperjaar1*VLOOKUP(B39,dagsoorttabel1,2,FALSE))-catfd_1_SDHV_45)/catpn_1_SDHB_1+cattf_1_SDHV_45*catfd_1_SDHV_45/catpn_1_SDHV_45)/(((dagenperjaar1*VLOOKUP(B39,dagsoorttabel1,2,FALSE))-catfd_1_SDHV_45)/catpn_1_SDHB_1+catfd_1_SDHV_45/catpn_1_SDHV_45),0)</f>
        <v>0</v>
      </c>
      <c r="K39" s="34">
        <f>IF(OR(ISBLANK(G39),G39=0),0,F39/ROUND(G39,4))</f>
        <v>0</v>
      </c>
      <c r="L39" s="37">
        <f>ROUND(J39,2)*K39</f>
        <v>0</v>
      </c>
      <c r="M39" s="34">
        <f>K39*dagenperjaar1</f>
        <v>0</v>
      </c>
      <c r="N39" s="37">
        <f>M39*ROUND(J39,2)</f>
        <v>0</v>
      </c>
    </row>
    <row r="40" spans="1:14" x14ac:dyDescent="0.2">
      <c r="A40" s="20" t="s">
        <v>248</v>
      </c>
      <c r="B40" s="20" t="s">
        <v>12</v>
      </c>
      <c r="C40" s="20" t="s">
        <v>200</v>
      </c>
      <c r="D40" s="20" t="s">
        <v>249</v>
      </c>
      <c r="E40" s="34">
        <v>126</v>
      </c>
      <c r="F40" s="34">
        <f>E40*VLOOKUP(B40,dagsoorttabel1,2,FALSE)</f>
        <v>101.29411764705883</v>
      </c>
      <c r="G40" s="35">
        <f>IF(AND(catpn_1_SKHB_1&gt;0,catpn_1_SKHV_41&gt;0),(dagenperjaar1*VLOOKUP(B40,dagsoorttabel1,2,FALSE))/(((dagenperjaar1*VLOOKUP(B40,dagsoorttabel1,2,FALSE))-catfd_1_SKHV_41)/catpn_1_SKHB_1+catfd_1_SKHV_41/catpn_1_SKHV_41),0)</f>
        <v>0</v>
      </c>
      <c r="H40" s="36">
        <f>IF(AND(catpn_1_SKHB_1&gt;0,catpn_1_SKHV_41&gt;0),(catdw_1_SKHB_1*((dagenperjaar1-VLOOKUP(B40,dagsoorttabel1,2,FALSE))-catfd_1_SKHV_41)/catpn_1_SKHB_1+catdw_1_SKHV_41*catfd_1_SKHV_41/catpn_1_SKHV_41)/(((dagenperjaar1-VLOOKUP(B40,dagsoorttabel1,2,FALSE))-catfd_1_SKHV_41)/catpn_1_SKHB_1+catfd_1_SKHV_41/catpn_1_SKHV_41),0)</f>
        <v>0</v>
      </c>
      <c r="I40" s="20" t="s">
        <v>41</v>
      </c>
      <c r="J40" s="37">
        <f>IF(AND(catpn_1_SKHB_1&gt;0,catpn_1_SKHV_41&gt;0),(cattf_1_SKHB_1*((dagenperjaar1*VLOOKUP(B40,dagsoorttabel1,2,FALSE))-catfd_1_SKHV_41)/catpn_1_SKHB_1+cattf_1_SKHV_41*catfd_1_SKHV_41/catpn_1_SKHV_41)/(((dagenperjaar1*VLOOKUP(B40,dagsoorttabel1,2,FALSE))-catfd_1_SKHV_41)/catpn_1_SKHB_1+catfd_1_SKHV_41/catpn_1_SKHV_41),0)</f>
        <v>0</v>
      </c>
      <c r="K40" s="34">
        <f>IF(OR(ISBLANK(G40),G40=0),0,F40/ROUND(G40,4))</f>
        <v>0</v>
      </c>
      <c r="L40" s="37">
        <f>ROUND(J40,2)*K40</f>
        <v>0</v>
      </c>
      <c r="M40" s="34">
        <f>K40*dagenperjaar1</f>
        <v>0</v>
      </c>
      <c r="N40" s="37">
        <f>M40*ROUND(J40,2)</f>
        <v>0</v>
      </c>
    </row>
    <row r="41" spans="1:14" x14ac:dyDescent="0.2">
      <c r="A41" s="20" t="s">
        <v>248</v>
      </c>
      <c r="B41" s="20" t="s">
        <v>10</v>
      </c>
      <c r="C41" s="20" t="s">
        <v>200</v>
      </c>
      <c r="D41" s="20" t="s">
        <v>249</v>
      </c>
      <c r="E41" s="34">
        <v>102</v>
      </c>
      <c r="F41" s="34">
        <f>E41*VLOOKUP(B41,dagsoorttabel1,2,FALSE)</f>
        <v>90</v>
      </c>
      <c r="G41" s="35">
        <f>IF(AND(catpn_1_SKHB_1&gt;0,catpn_1_SKHV_45&gt;0),(dagenperjaar1*VLOOKUP(B41,dagsoorttabel1,2,FALSE))/(((dagenperjaar1*VLOOKUP(B41,dagsoorttabel1,2,FALSE))-catfd_1_SKHV_45)/catpn_1_SKHB_1+catfd_1_SKHV_45/catpn_1_SKHV_45),0)</f>
        <v>0</v>
      </c>
      <c r="H41" s="36">
        <f>IF(AND(catpn_1_SKHB_1&gt;0,catpn_1_SKHV_45&gt;0),(catdw_1_SKHB_1*((dagenperjaar1-VLOOKUP(B41,dagsoorttabel1,2,FALSE))-catfd_1_SKHV_45)/catpn_1_SKHB_1+catdw_1_SKHV_45*catfd_1_SKHV_45/catpn_1_SKHV_45)/(((dagenperjaar1-VLOOKUP(B41,dagsoorttabel1,2,FALSE))-catfd_1_SKHV_45)/catpn_1_SKHB_1+catfd_1_SKHV_45/catpn_1_SKHV_45),0)</f>
        <v>0</v>
      </c>
      <c r="I41" s="20" t="s">
        <v>41</v>
      </c>
      <c r="J41" s="37">
        <f>IF(AND(catpn_1_SKHB_1&gt;0,catpn_1_SKHV_45&gt;0),(cattf_1_SKHB_1*((dagenperjaar1*VLOOKUP(B41,dagsoorttabel1,2,FALSE))-catfd_1_SKHV_45)/catpn_1_SKHB_1+cattf_1_SKHV_45*catfd_1_SKHV_45/catpn_1_SKHV_45)/(((dagenperjaar1*VLOOKUP(B41,dagsoorttabel1,2,FALSE))-catfd_1_SKHV_45)/catpn_1_SKHB_1+catfd_1_SKHV_45/catpn_1_SKHV_45),0)</f>
        <v>0</v>
      </c>
      <c r="K41" s="34">
        <f>IF(OR(ISBLANK(G41),G41=0),0,F41/ROUND(G41,4))</f>
        <v>0</v>
      </c>
      <c r="L41" s="37">
        <f>ROUND(J41,2)*K41</f>
        <v>0</v>
      </c>
      <c r="M41" s="34">
        <f>K41*dagenperjaar1</f>
        <v>0</v>
      </c>
      <c r="N41" s="37">
        <f>M41*ROUND(J41,2)</f>
        <v>0</v>
      </c>
    </row>
    <row r="42" spans="1:14" x14ac:dyDescent="0.2">
      <c r="A42" s="20" t="s">
        <v>250</v>
      </c>
      <c r="B42" s="20" t="s">
        <v>12</v>
      </c>
      <c r="C42" s="20" t="s">
        <v>200</v>
      </c>
      <c r="D42" s="20" t="s">
        <v>251</v>
      </c>
      <c r="E42" s="34">
        <v>317.76</v>
      </c>
      <c r="F42" s="34">
        <f>E42*VLOOKUP(B42,dagsoorttabel1,2,FALSE)</f>
        <v>255.45411764705884</v>
      </c>
      <c r="G42" s="35">
        <f>IF(AND(catpn_1_STHB_1&gt;0,catpn_1_STHV_41&gt;0),(dagenperjaar1*VLOOKUP(B42,dagsoorttabel1,2,FALSE))/(((dagenperjaar1*VLOOKUP(B42,dagsoorttabel1,2,FALSE))-catfd_1_STHV_41)/catpn_1_STHB_1+catfd_1_STHV_41/catpn_1_STHV_41),0)</f>
        <v>0</v>
      </c>
      <c r="H42" s="36">
        <f>IF(AND(catpn_1_STHB_1&gt;0,catpn_1_STHV_41&gt;0),(catdw_1_STHB_1*((dagenperjaar1-VLOOKUP(B42,dagsoorttabel1,2,FALSE))-catfd_1_STHV_41)/catpn_1_STHB_1+catdw_1_STHV_41*catfd_1_STHV_41/catpn_1_STHV_41)/(((dagenperjaar1-VLOOKUP(B42,dagsoorttabel1,2,FALSE))-catfd_1_STHV_41)/catpn_1_STHB_1+catfd_1_STHV_41/catpn_1_STHV_41),0)</f>
        <v>0</v>
      </c>
      <c r="I42" s="20" t="s">
        <v>41</v>
      </c>
      <c r="J42" s="37">
        <f>IF(AND(catpn_1_STHB_1&gt;0,catpn_1_STHV_41&gt;0),(cattf_1_STHB_1*((dagenperjaar1*VLOOKUP(B42,dagsoorttabel1,2,FALSE))-catfd_1_STHV_41)/catpn_1_STHB_1+cattf_1_STHV_41*catfd_1_STHV_41/catpn_1_STHV_41)/(((dagenperjaar1*VLOOKUP(B42,dagsoorttabel1,2,FALSE))-catfd_1_STHV_41)/catpn_1_STHB_1+catfd_1_STHV_41/catpn_1_STHV_41),0)</f>
        <v>0</v>
      </c>
      <c r="K42" s="34">
        <f>IF(OR(ISBLANK(G42),G42=0),0,F42/ROUND(G42,4))</f>
        <v>0</v>
      </c>
      <c r="L42" s="37">
        <f>ROUND(J42,2)*K42</f>
        <v>0</v>
      </c>
      <c r="M42" s="34">
        <f>K42*dagenperjaar1</f>
        <v>0</v>
      </c>
      <c r="N42" s="37">
        <f>M42*ROUND(J42,2)</f>
        <v>0</v>
      </c>
    </row>
    <row r="43" spans="1:14" x14ac:dyDescent="0.2">
      <c r="A43" s="20" t="s">
        <v>250</v>
      </c>
      <c r="B43" s="20" t="s">
        <v>11</v>
      </c>
      <c r="C43" s="20" t="s">
        <v>200</v>
      </c>
      <c r="D43" s="20" t="s">
        <v>251</v>
      </c>
      <c r="E43" s="34">
        <v>10</v>
      </c>
      <c r="F43" s="34">
        <f>E43*VLOOKUP(B43,dagsoorttabel1,2,FALSE)</f>
        <v>8.235294117647058</v>
      </c>
      <c r="G43" s="35">
        <f>IF(AND(catpn_1_STHB_1&gt;0,catpn_1_STHV_42&gt;0),(dagenperjaar1*VLOOKUP(B43,dagsoorttabel1,2,FALSE))/(((dagenperjaar1*VLOOKUP(B43,dagsoorttabel1,2,FALSE))-catfd_1_STHV_42)/catpn_1_STHB_1+catfd_1_STHV_42/catpn_1_STHV_42),0)</f>
        <v>0</v>
      </c>
      <c r="H43" s="36">
        <f>IF(AND(catpn_1_STHB_1&gt;0,catpn_1_STHV_42&gt;0),(catdw_1_STHB_1*((dagenperjaar1-VLOOKUP(B43,dagsoorttabel1,2,FALSE))-catfd_1_STHV_42)/catpn_1_STHB_1+catdw_1_STHV_42*catfd_1_STHV_42/catpn_1_STHV_42)/(((dagenperjaar1-VLOOKUP(B43,dagsoorttabel1,2,FALSE))-catfd_1_STHV_42)/catpn_1_STHB_1+catfd_1_STHV_42/catpn_1_STHV_42),0)</f>
        <v>0</v>
      </c>
      <c r="I43" s="20" t="s">
        <v>41</v>
      </c>
      <c r="J43" s="37">
        <f>IF(AND(catpn_1_STHB_1&gt;0,catpn_1_STHV_42&gt;0),(cattf_1_STHB_1*((dagenperjaar1*VLOOKUP(B43,dagsoorttabel1,2,FALSE))-catfd_1_STHV_42)/catpn_1_STHB_1+cattf_1_STHV_42*catfd_1_STHV_42/catpn_1_STHV_42)/(((dagenperjaar1*VLOOKUP(B43,dagsoorttabel1,2,FALSE))-catfd_1_STHV_42)/catpn_1_STHB_1+catfd_1_STHV_42/catpn_1_STHV_42),0)</f>
        <v>0</v>
      </c>
      <c r="K43" s="34">
        <f>IF(OR(ISBLANK(G43),G43=0),0,F43/ROUND(G43,4))</f>
        <v>0</v>
      </c>
      <c r="L43" s="37">
        <f>ROUND(J43,2)*K43</f>
        <v>0</v>
      </c>
      <c r="M43" s="34">
        <f>K43*dagenperjaar1</f>
        <v>0</v>
      </c>
      <c r="N43" s="37">
        <f>M43*ROUND(J43,2)</f>
        <v>0</v>
      </c>
    </row>
    <row r="44" spans="1:14" x14ac:dyDescent="0.2">
      <c r="A44" s="20" t="s">
        <v>250</v>
      </c>
      <c r="B44" s="20" t="s">
        <v>10</v>
      </c>
      <c r="C44" s="20" t="s">
        <v>200</v>
      </c>
      <c r="D44" s="20" t="s">
        <v>251</v>
      </c>
      <c r="E44" s="34">
        <v>10.5</v>
      </c>
      <c r="F44" s="34">
        <f>E44*VLOOKUP(B44,dagsoorttabel1,2,FALSE)</f>
        <v>9.2647058823529402</v>
      </c>
      <c r="G44" s="35">
        <f>IF(AND(catpn_1_STHB_1&gt;0,catpn_1_STHV_45&gt;0),(dagenperjaar1*VLOOKUP(B44,dagsoorttabel1,2,FALSE))/(((dagenperjaar1*VLOOKUP(B44,dagsoorttabel1,2,FALSE))-catfd_1_STHV_45)/catpn_1_STHB_1+catfd_1_STHV_45/catpn_1_STHV_45),0)</f>
        <v>0</v>
      </c>
      <c r="H44" s="36">
        <f>IF(AND(catpn_1_STHB_1&gt;0,catpn_1_STHV_45&gt;0),(catdw_1_STHB_1*((dagenperjaar1-VLOOKUP(B44,dagsoorttabel1,2,FALSE))-catfd_1_STHV_45)/catpn_1_STHB_1+catdw_1_STHV_45*catfd_1_STHV_45/catpn_1_STHV_45)/(((dagenperjaar1-VLOOKUP(B44,dagsoorttabel1,2,FALSE))-catfd_1_STHV_45)/catpn_1_STHB_1+catfd_1_STHV_45/catpn_1_STHV_45),0)</f>
        <v>0</v>
      </c>
      <c r="I44" s="20" t="s">
        <v>41</v>
      </c>
      <c r="J44" s="37">
        <f>IF(AND(catpn_1_STHB_1&gt;0,catpn_1_STHV_45&gt;0),(cattf_1_STHB_1*((dagenperjaar1*VLOOKUP(B44,dagsoorttabel1,2,FALSE))-catfd_1_STHV_45)/catpn_1_STHB_1+cattf_1_STHV_45*catfd_1_STHV_45/catpn_1_STHV_45)/(((dagenperjaar1*VLOOKUP(B44,dagsoorttabel1,2,FALSE))-catfd_1_STHV_45)/catpn_1_STHB_1+catfd_1_STHV_45/catpn_1_STHV_45),0)</f>
        <v>0</v>
      </c>
      <c r="K44" s="34">
        <f>IF(OR(ISBLANK(G44),G44=0),0,F44/ROUND(G44,4))</f>
        <v>0</v>
      </c>
      <c r="L44" s="37">
        <f>ROUND(J44,2)*K44</f>
        <v>0</v>
      </c>
      <c r="M44" s="34">
        <f>K44*dagenperjaar1</f>
        <v>0</v>
      </c>
      <c r="N44" s="37">
        <f>M44*ROUND(J44,2)</f>
        <v>0</v>
      </c>
    </row>
    <row r="45" spans="1:14" x14ac:dyDescent="0.2">
      <c r="A45" s="20" t="s">
        <v>250</v>
      </c>
      <c r="B45" s="20" t="s">
        <v>19</v>
      </c>
      <c r="C45" s="20" t="s">
        <v>200</v>
      </c>
      <c r="D45" s="20" t="s">
        <v>251</v>
      </c>
      <c r="E45" s="34">
        <v>20</v>
      </c>
      <c r="F45" s="34">
        <f>E45*VLOOKUP(B45,dagsoorttabel1,2,FALSE)</f>
        <v>3.215686274509804</v>
      </c>
      <c r="G45" s="35">
        <f>IF(AND(catpn_1_STHB_1&gt;0,catpn_1_STHV_41&gt;0),(dagenperjaar1*VLOOKUP(B45,dagsoorttabel1,2,FALSE))/(((dagenperjaar1*VLOOKUP(B45,dagsoorttabel1,2,FALSE))-catfd_1_STHV_41)/catpn_1_STHB_1+catfd_1_STHV_41/catpn_1_STHV_41),0)</f>
        <v>0</v>
      </c>
      <c r="H45" s="36">
        <f>IF(AND(catpn_1_STHB_1&gt;0,catpn_1_STHV_41&gt;0),(catdw_1_STHB_1*((dagenperjaar1-VLOOKUP(B45,dagsoorttabel1,2,FALSE))-catfd_1_STHV_41)/catpn_1_STHB_1+catdw_1_STHV_41*catfd_1_STHV_41/catpn_1_STHV_41)/(((dagenperjaar1-VLOOKUP(B45,dagsoorttabel1,2,FALSE))-catfd_1_STHV_41)/catpn_1_STHB_1+catfd_1_STHV_41/catpn_1_STHV_41),0)</f>
        <v>0</v>
      </c>
      <c r="I45" s="20" t="s">
        <v>41</v>
      </c>
      <c r="J45" s="37">
        <f>IF(AND(catpn_1_STHB_1&gt;0,catpn_1_STHV_41&gt;0),(cattf_1_STHB_1*((dagenperjaar1*VLOOKUP(B45,dagsoorttabel1,2,FALSE))-catfd_1_STHV_41)/catpn_1_STHB_1+cattf_1_STHV_41*catfd_1_STHV_41/catpn_1_STHV_41)/(((dagenperjaar1*VLOOKUP(B45,dagsoorttabel1,2,FALSE))-catfd_1_STHV_41)/catpn_1_STHB_1+catfd_1_STHV_41/catpn_1_STHV_41),0)</f>
        <v>0</v>
      </c>
      <c r="K45" s="34">
        <f>IF(OR(ISBLANK(G45),G45=0),0,F45/ROUND(G45,4))</f>
        <v>0</v>
      </c>
      <c r="L45" s="37">
        <f>ROUND(J45,2)*K45</f>
        <v>0</v>
      </c>
      <c r="M45" s="34">
        <f>K45*dagenperjaar1</f>
        <v>0</v>
      </c>
      <c r="N45" s="37">
        <f>M45*ROUND(J45,2)</f>
        <v>0</v>
      </c>
    </row>
    <row r="46" spans="1:14" x14ac:dyDescent="0.2">
      <c r="A46" s="20" t="s">
        <v>252</v>
      </c>
      <c r="B46" s="20" t="s">
        <v>12</v>
      </c>
      <c r="C46" s="20" t="s">
        <v>200</v>
      </c>
      <c r="D46" s="20" t="s">
        <v>253</v>
      </c>
      <c r="E46" s="34">
        <v>42</v>
      </c>
      <c r="F46" s="34">
        <f>E46*VLOOKUP(B46,dagsoorttabel1,2,FALSE)</f>
        <v>33.764705882352942</v>
      </c>
      <c r="G46" s="35">
        <f>IF(AND(catpn_1_SWHB_1&gt;0,catpn_1_SWHV_41&gt;0),(dagenperjaar1*VLOOKUP(B46,dagsoorttabel1,2,FALSE))/(((dagenperjaar1*VLOOKUP(B46,dagsoorttabel1,2,FALSE))-catfd_1_SWHV_41)/catpn_1_SWHB_1+catfd_1_SWHV_41/catpn_1_SWHV_41),0)</f>
        <v>0</v>
      </c>
      <c r="H46" s="36">
        <f>IF(AND(catpn_1_SWHB_1&gt;0,catpn_1_SWHV_41&gt;0),(catdw_1_SWHB_1*((dagenperjaar1-VLOOKUP(B46,dagsoorttabel1,2,FALSE))-catfd_1_SWHV_41)/catpn_1_SWHB_1+catdw_1_SWHV_41*catfd_1_SWHV_41/catpn_1_SWHV_41)/(((dagenperjaar1-VLOOKUP(B46,dagsoorttabel1,2,FALSE))-catfd_1_SWHV_41)/catpn_1_SWHB_1+catfd_1_SWHV_41/catpn_1_SWHV_41),0)</f>
        <v>0</v>
      </c>
      <c r="I46" s="20" t="s">
        <v>41</v>
      </c>
      <c r="J46" s="37">
        <f>IF(AND(catpn_1_SWHB_1&gt;0,catpn_1_SWHV_41&gt;0),(cattf_1_SWHB_1*((dagenperjaar1*VLOOKUP(B46,dagsoorttabel1,2,FALSE))-catfd_1_SWHV_41)/catpn_1_SWHB_1+cattf_1_SWHV_41*catfd_1_SWHV_41/catpn_1_SWHV_41)/(((dagenperjaar1*VLOOKUP(B46,dagsoorttabel1,2,FALSE))-catfd_1_SWHV_41)/catpn_1_SWHB_1+catfd_1_SWHV_41/catpn_1_SWHV_41),0)</f>
        <v>0</v>
      </c>
      <c r="K46" s="34">
        <f>IF(OR(ISBLANK(G46),G46=0),0,F46/ROUND(G46,4))</f>
        <v>0</v>
      </c>
      <c r="L46" s="37">
        <f>ROUND(J46,2)*K46</f>
        <v>0</v>
      </c>
      <c r="M46" s="34">
        <f>K46*dagenperjaar1</f>
        <v>0</v>
      </c>
      <c r="N46" s="37">
        <f>M46*ROUND(J46,2)</f>
        <v>0</v>
      </c>
    </row>
    <row r="47" spans="1:14" x14ac:dyDescent="0.2">
      <c r="A47" s="20" t="s">
        <v>254</v>
      </c>
      <c r="B47" s="20" t="s">
        <v>12</v>
      </c>
      <c r="C47" s="20" t="s">
        <v>200</v>
      </c>
      <c r="D47" s="20" t="s">
        <v>255</v>
      </c>
      <c r="E47" s="34">
        <v>2271.1800000000003</v>
      </c>
      <c r="F47" s="34">
        <f>E47*VLOOKUP(B47,dagsoorttabel1,2,FALSE)</f>
        <v>1825.8505882352945</v>
      </c>
      <c r="G47" s="35">
        <f>IF(AND(catpn_1_VAHB_1&gt;0,catpn_1_VAHV_41&gt;0),(dagenperjaar1*VLOOKUP(B47,dagsoorttabel1,2,FALSE))/(((dagenperjaar1*VLOOKUP(B47,dagsoorttabel1,2,FALSE))-catfd_1_VAHV_41)/catpn_1_VAHB_1+catfd_1_VAHV_41/catpn_1_VAHV_41),0)</f>
        <v>0</v>
      </c>
      <c r="H47" s="36">
        <f>IF(AND(catpn_1_VAHB_1&gt;0,catpn_1_VAHV_41&gt;0),(catdw_1_VAHB_1*((dagenperjaar1-VLOOKUP(B47,dagsoorttabel1,2,FALSE))-catfd_1_VAHV_41)/catpn_1_VAHB_1+catdw_1_VAHV_41*catfd_1_VAHV_41/catpn_1_VAHV_41)/(((dagenperjaar1-VLOOKUP(B47,dagsoorttabel1,2,FALSE))-catfd_1_VAHV_41)/catpn_1_VAHB_1+catfd_1_VAHV_41/catpn_1_VAHV_41),0)</f>
        <v>0</v>
      </c>
      <c r="I47" s="20" t="s">
        <v>41</v>
      </c>
      <c r="J47" s="37">
        <f>IF(AND(catpn_1_VAHB_1&gt;0,catpn_1_VAHV_41&gt;0),(cattf_1_VAHB_1*((dagenperjaar1*VLOOKUP(B47,dagsoorttabel1,2,FALSE))-catfd_1_VAHV_41)/catpn_1_VAHB_1+cattf_1_VAHV_41*catfd_1_VAHV_41/catpn_1_VAHV_41)/(((dagenperjaar1*VLOOKUP(B47,dagsoorttabel1,2,FALSE))-catfd_1_VAHV_41)/catpn_1_VAHB_1+catfd_1_VAHV_41/catpn_1_VAHV_41),0)</f>
        <v>0</v>
      </c>
      <c r="K47" s="34">
        <f>IF(OR(ISBLANK(G47),G47=0),0,F47/ROUND(G47,4))</f>
        <v>0</v>
      </c>
      <c r="L47" s="37">
        <f>ROUND(J47,2)*K47</f>
        <v>0</v>
      </c>
      <c r="M47" s="34">
        <f>K47*dagenperjaar1</f>
        <v>0</v>
      </c>
      <c r="N47" s="37">
        <f>M47*ROUND(J47,2)</f>
        <v>0</v>
      </c>
    </row>
    <row r="48" spans="1:14" x14ac:dyDescent="0.2">
      <c r="A48" s="20" t="s">
        <v>254</v>
      </c>
      <c r="B48" s="20" t="s">
        <v>19</v>
      </c>
      <c r="C48" s="20" t="s">
        <v>200</v>
      </c>
      <c r="D48" s="20" t="s">
        <v>255</v>
      </c>
      <c r="E48" s="34">
        <v>13.8</v>
      </c>
      <c r="F48" s="34">
        <f>E48*VLOOKUP(B48,dagsoorttabel1,2,FALSE)</f>
        <v>2.2188235294117651</v>
      </c>
      <c r="G48" s="35">
        <f>IF(AND(catpn_1_VAHB_1&gt;0,catpn_1_VAHV_41&gt;0),(dagenperjaar1*VLOOKUP(B48,dagsoorttabel1,2,FALSE))/(((dagenperjaar1*VLOOKUP(B48,dagsoorttabel1,2,FALSE))-catfd_1_VAHV_41)/catpn_1_VAHB_1+catfd_1_VAHV_41/catpn_1_VAHV_41),0)</f>
        <v>0</v>
      </c>
      <c r="H48" s="36">
        <f>IF(AND(catpn_1_VAHB_1&gt;0,catpn_1_VAHV_41&gt;0),(catdw_1_VAHB_1*((dagenperjaar1-VLOOKUP(B48,dagsoorttabel1,2,FALSE))-catfd_1_VAHV_41)/catpn_1_VAHB_1+catdw_1_VAHV_41*catfd_1_VAHV_41/catpn_1_VAHV_41)/(((dagenperjaar1-VLOOKUP(B48,dagsoorttabel1,2,FALSE))-catfd_1_VAHV_41)/catpn_1_VAHB_1+catfd_1_VAHV_41/catpn_1_VAHV_41),0)</f>
        <v>0</v>
      </c>
      <c r="I48" s="20" t="s">
        <v>41</v>
      </c>
      <c r="J48" s="37">
        <f>IF(AND(catpn_1_VAHB_1&gt;0,catpn_1_VAHV_41&gt;0),(cattf_1_VAHB_1*((dagenperjaar1*VLOOKUP(B48,dagsoorttabel1,2,FALSE))-catfd_1_VAHV_41)/catpn_1_VAHB_1+cattf_1_VAHV_41*catfd_1_VAHV_41/catpn_1_VAHV_41)/(((dagenperjaar1*VLOOKUP(B48,dagsoorttabel1,2,FALSE))-catfd_1_VAHV_41)/catpn_1_VAHB_1+catfd_1_VAHV_41/catpn_1_VAHV_41),0)</f>
        <v>0</v>
      </c>
      <c r="K48" s="34">
        <f>IF(OR(ISBLANK(G48),G48=0),0,F48/ROUND(G48,4))</f>
        <v>0</v>
      </c>
      <c r="L48" s="37">
        <f>ROUND(J48,2)*K48</f>
        <v>0</v>
      </c>
      <c r="M48" s="34">
        <f>K48*dagenperjaar1</f>
        <v>0</v>
      </c>
      <c r="N48" s="37">
        <f>M48*ROUND(J48,2)</f>
        <v>0</v>
      </c>
    </row>
    <row r="49" spans="1:14" x14ac:dyDescent="0.2">
      <c r="A49" s="20" t="s">
        <v>256</v>
      </c>
      <c r="B49" s="20" t="s">
        <v>12</v>
      </c>
      <c r="C49" s="20" t="s">
        <v>200</v>
      </c>
      <c r="D49" s="20" t="s">
        <v>257</v>
      </c>
      <c r="E49" s="34">
        <v>4</v>
      </c>
      <c r="F49" s="34">
        <f>E49*VLOOKUP(B49,dagsoorttabel1,2,FALSE)</f>
        <v>3.215686274509804</v>
      </c>
      <c r="G49" s="35">
        <f>IF(AND(catpn_1_VAZB_1&gt;0,catpn_1_VAZV_41&gt;0),(dagenperjaar1*VLOOKUP(B49,dagsoorttabel1,2,FALSE))/(((dagenperjaar1*VLOOKUP(B49,dagsoorttabel1,2,FALSE))-catfd_1_VAZV_41)/catpn_1_VAZB_1+catfd_1_VAZV_41/catpn_1_VAZV_41),0)</f>
        <v>0</v>
      </c>
      <c r="H49" s="36">
        <f>IF(AND(catpn_1_VAZB_1&gt;0,catpn_1_VAZV_41&gt;0),(catdw_1_VAZB_1*((dagenperjaar1-VLOOKUP(B49,dagsoorttabel1,2,FALSE))-catfd_1_VAZV_41)/catpn_1_VAZB_1+catdw_1_VAZV_41*catfd_1_VAZV_41/catpn_1_VAZV_41)/(((dagenperjaar1-VLOOKUP(B49,dagsoorttabel1,2,FALSE))-catfd_1_VAZV_41)/catpn_1_VAZB_1+catfd_1_VAZV_41/catpn_1_VAZV_41),0)</f>
        <v>0</v>
      </c>
      <c r="I49" s="20" t="s">
        <v>41</v>
      </c>
      <c r="J49" s="37">
        <f>IF(AND(catpn_1_VAZB_1&gt;0,catpn_1_VAZV_41&gt;0),(cattf_1_VAZB_1*((dagenperjaar1*VLOOKUP(B49,dagsoorttabel1,2,FALSE))-catfd_1_VAZV_41)/catpn_1_VAZB_1+cattf_1_VAZV_41*catfd_1_VAZV_41/catpn_1_VAZV_41)/(((dagenperjaar1*VLOOKUP(B49,dagsoorttabel1,2,FALSE))-catfd_1_VAZV_41)/catpn_1_VAZB_1+catfd_1_VAZV_41/catpn_1_VAZV_41),0)</f>
        <v>0</v>
      </c>
      <c r="K49" s="34">
        <f>IF(OR(ISBLANK(G49),G49=0),0,F49/ROUND(G49,4))</f>
        <v>0</v>
      </c>
      <c r="L49" s="37">
        <f>ROUND(J49,2)*K49</f>
        <v>0</v>
      </c>
      <c r="M49" s="34">
        <f>K49*dagenperjaar1</f>
        <v>0</v>
      </c>
      <c r="N49" s="37">
        <f>M49*ROUND(J49,2)</f>
        <v>0</v>
      </c>
    </row>
    <row r="50" spans="1:14" x14ac:dyDescent="0.2">
      <c r="A50" s="20" t="s">
        <v>256</v>
      </c>
      <c r="B50" s="20" t="s">
        <v>10</v>
      </c>
      <c r="C50" s="20" t="s">
        <v>200</v>
      </c>
      <c r="D50" s="20" t="s">
        <v>257</v>
      </c>
      <c r="E50" s="34">
        <v>4.5</v>
      </c>
      <c r="F50" s="34">
        <f>E50*VLOOKUP(B50,dagsoorttabel1,2,FALSE)</f>
        <v>3.9705882352941178</v>
      </c>
      <c r="G50" s="35">
        <f>IF(AND(catpn_1_VAZB_1&gt;0,catpn_1_VAZV_45&gt;0),(dagenperjaar1*VLOOKUP(B50,dagsoorttabel1,2,FALSE))/(((dagenperjaar1*VLOOKUP(B50,dagsoorttabel1,2,FALSE))-catfd_1_VAZV_45)/catpn_1_VAZB_1+catfd_1_VAZV_45/catpn_1_VAZV_45),0)</f>
        <v>0</v>
      </c>
      <c r="H50" s="36">
        <f>IF(AND(catpn_1_VAZB_1&gt;0,catpn_1_VAZV_45&gt;0),(catdw_1_VAZB_1*((dagenperjaar1-VLOOKUP(B50,dagsoorttabel1,2,FALSE))-catfd_1_VAZV_45)/catpn_1_VAZB_1+catdw_1_VAZV_45*catfd_1_VAZV_45/catpn_1_VAZV_45)/(((dagenperjaar1-VLOOKUP(B50,dagsoorttabel1,2,FALSE))-catfd_1_VAZV_45)/catpn_1_VAZB_1+catfd_1_VAZV_45/catpn_1_VAZV_45),0)</f>
        <v>0</v>
      </c>
      <c r="I50" s="20" t="s">
        <v>41</v>
      </c>
      <c r="J50" s="37">
        <f>IF(AND(catpn_1_VAZB_1&gt;0,catpn_1_VAZV_45&gt;0),(cattf_1_VAZB_1*((dagenperjaar1*VLOOKUP(B50,dagsoorttabel1,2,FALSE))-catfd_1_VAZV_45)/catpn_1_VAZB_1+cattf_1_VAZV_45*catfd_1_VAZV_45/catpn_1_VAZV_45)/(((dagenperjaar1*VLOOKUP(B50,dagsoorttabel1,2,FALSE))-catfd_1_VAZV_45)/catpn_1_VAZB_1+catfd_1_VAZV_45/catpn_1_VAZV_45),0)</f>
        <v>0</v>
      </c>
      <c r="K50" s="34">
        <f>IF(OR(ISBLANK(G50),G50=0),0,F50/ROUND(G50,4))</f>
        <v>0</v>
      </c>
      <c r="L50" s="37">
        <f>ROUND(J50,2)*K50</f>
        <v>0</v>
      </c>
      <c r="M50" s="34">
        <f>K50*dagenperjaar1</f>
        <v>0</v>
      </c>
      <c r="N50" s="37">
        <f>M50*ROUND(J50,2)</f>
        <v>0</v>
      </c>
    </row>
    <row r="51" spans="1:14" x14ac:dyDescent="0.2">
      <c r="A51" s="20" t="s">
        <v>258</v>
      </c>
      <c r="B51" s="20" t="s">
        <v>12</v>
      </c>
      <c r="C51" s="20" t="s">
        <v>200</v>
      </c>
      <c r="D51" s="20" t="s">
        <v>259</v>
      </c>
      <c r="E51" s="34">
        <v>8.8000000000000007</v>
      </c>
      <c r="F51" s="34">
        <f>E51*VLOOKUP(B51,dagsoorttabel1,2,FALSE)</f>
        <v>7.0745098039215693</v>
      </c>
      <c r="G51" s="35">
        <f>IF(AND(catpn_1_VEHB_1&gt;0,catpn_1_VEHV_41&gt;0),(dagenperjaar1*VLOOKUP(B51,dagsoorttabel1,2,FALSE))/(((dagenperjaar1*VLOOKUP(B51,dagsoorttabel1,2,FALSE))-catfd_1_VEHV_41)/catpn_1_VEHB_1+catfd_1_VEHV_41/catpn_1_VEHV_41),0)</f>
        <v>0</v>
      </c>
      <c r="H51" s="36">
        <f>IF(AND(catpn_1_VEHB_1&gt;0,catpn_1_VEHV_41&gt;0),(catdw_1_VEHB_1*((dagenperjaar1-VLOOKUP(B51,dagsoorttabel1,2,FALSE))-catfd_1_VEHV_41)/catpn_1_VEHB_1+catdw_1_VEHV_41*catfd_1_VEHV_41/catpn_1_VEHV_41)/(((dagenperjaar1-VLOOKUP(B51,dagsoorttabel1,2,FALSE))-catfd_1_VEHV_41)/catpn_1_VEHB_1+catfd_1_VEHV_41/catpn_1_VEHV_41),0)</f>
        <v>0</v>
      </c>
      <c r="I51" s="20" t="s">
        <v>41</v>
      </c>
      <c r="J51" s="37">
        <f>IF(AND(catpn_1_VEHB_1&gt;0,catpn_1_VEHV_41&gt;0),(cattf_1_VEHB_1*((dagenperjaar1*VLOOKUP(B51,dagsoorttabel1,2,FALSE))-catfd_1_VEHV_41)/catpn_1_VEHB_1+cattf_1_VEHV_41*catfd_1_VEHV_41/catpn_1_VEHV_41)/(((dagenperjaar1*VLOOKUP(B51,dagsoorttabel1,2,FALSE))-catfd_1_VEHV_41)/catpn_1_VEHB_1+catfd_1_VEHV_41/catpn_1_VEHV_41),0)</f>
        <v>0</v>
      </c>
      <c r="K51" s="34">
        <f>IF(OR(ISBLANK(G51),G51=0),0,F51/ROUND(G51,4))</f>
        <v>0</v>
      </c>
      <c r="L51" s="37">
        <f>ROUND(J51,2)*K51</f>
        <v>0</v>
      </c>
      <c r="M51" s="34">
        <f>K51*dagenperjaar1</f>
        <v>0</v>
      </c>
      <c r="N51" s="37">
        <f>M51*ROUND(J51,2)</f>
        <v>0</v>
      </c>
    </row>
    <row r="52" spans="1:14" x14ac:dyDescent="0.2">
      <c r="A52" s="20" t="s">
        <v>260</v>
      </c>
      <c r="B52" s="20" t="s">
        <v>12</v>
      </c>
      <c r="C52" s="20" t="s">
        <v>200</v>
      </c>
      <c r="D52" s="20" t="s">
        <v>261</v>
      </c>
      <c r="E52" s="34">
        <v>110.9</v>
      </c>
      <c r="F52" s="34">
        <f>E52*VLOOKUP(B52,dagsoorttabel1,2,FALSE)</f>
        <v>89.154901960784315</v>
      </c>
      <c r="G52" s="35">
        <f>IF(AND(catpn_1_VEZB_1&gt;0,catpn_1_VEZV_41&gt;0),(dagenperjaar1*VLOOKUP(B52,dagsoorttabel1,2,FALSE))/(((dagenperjaar1*VLOOKUP(B52,dagsoorttabel1,2,FALSE))-catfd_1_VEZV_41)/catpn_1_VEZB_1+catfd_1_VEZV_41/catpn_1_VEZV_41),0)</f>
        <v>0</v>
      </c>
      <c r="H52" s="36">
        <f>IF(AND(catpn_1_VEZB_1&gt;0,catpn_1_VEZV_41&gt;0),(catdw_1_VEZB_1*((dagenperjaar1-VLOOKUP(B52,dagsoorttabel1,2,FALSE))-catfd_1_VEZV_41)/catpn_1_VEZB_1+catdw_1_VEZV_41*catfd_1_VEZV_41/catpn_1_VEZV_41)/(((dagenperjaar1-VLOOKUP(B52,dagsoorttabel1,2,FALSE))-catfd_1_VEZV_41)/catpn_1_VEZB_1+catfd_1_VEZV_41/catpn_1_VEZV_41),0)</f>
        <v>0</v>
      </c>
      <c r="I52" s="20" t="s">
        <v>41</v>
      </c>
      <c r="J52" s="37">
        <f>IF(AND(catpn_1_VEZB_1&gt;0,catpn_1_VEZV_41&gt;0),(cattf_1_VEZB_1*((dagenperjaar1*VLOOKUP(B52,dagsoorttabel1,2,FALSE))-catfd_1_VEZV_41)/catpn_1_VEZB_1+cattf_1_VEZV_41*catfd_1_VEZV_41/catpn_1_VEZV_41)/(((dagenperjaar1*VLOOKUP(B52,dagsoorttabel1,2,FALSE))-catfd_1_VEZV_41)/catpn_1_VEZB_1+catfd_1_VEZV_41/catpn_1_VEZV_41),0)</f>
        <v>0</v>
      </c>
      <c r="K52" s="34">
        <f>IF(OR(ISBLANK(G52),G52=0),0,F52/ROUND(G52,4))</f>
        <v>0</v>
      </c>
      <c r="L52" s="37">
        <f>ROUND(J52,2)*K52</f>
        <v>0</v>
      </c>
      <c r="M52" s="34">
        <f>K52*dagenperjaar1</f>
        <v>0</v>
      </c>
      <c r="N52" s="37">
        <f>M52*ROUND(J52,2)</f>
        <v>0</v>
      </c>
    </row>
    <row r="53" spans="1:14" x14ac:dyDescent="0.2">
      <c r="A53" s="20" t="s">
        <v>262</v>
      </c>
      <c r="B53" s="20" t="s">
        <v>12</v>
      </c>
      <c r="C53" s="20" t="s">
        <v>200</v>
      </c>
      <c r="D53" s="20" t="s">
        <v>263</v>
      </c>
      <c r="E53" s="34">
        <v>97.6</v>
      </c>
      <c r="F53" s="34">
        <f>E53*VLOOKUP(B53,dagsoorttabel1,2,FALSE)</f>
        <v>78.462745098039221</v>
      </c>
      <c r="G53" s="35">
        <f>IF(AND(catpn_1_VLHB_1&gt;0,catpn_1_VLHV_41&gt;0),(dagenperjaar1*VLOOKUP(B53,dagsoorttabel1,2,FALSE))/(((dagenperjaar1*VLOOKUP(B53,dagsoorttabel1,2,FALSE))-catfd_1_VLHV_41)/catpn_1_VLHB_1+catfd_1_VLHV_41/catpn_1_VLHV_41),0)</f>
        <v>0</v>
      </c>
      <c r="H53" s="36">
        <f>IF(AND(catpn_1_VLHB_1&gt;0,catpn_1_VLHV_41&gt;0),(catdw_1_VLHB_1*((dagenperjaar1-VLOOKUP(B53,dagsoorttabel1,2,FALSE))-catfd_1_VLHV_41)/catpn_1_VLHB_1+catdw_1_VLHV_41*catfd_1_VLHV_41/catpn_1_VLHV_41)/(((dagenperjaar1-VLOOKUP(B53,dagsoorttabel1,2,FALSE))-catfd_1_VLHV_41)/catpn_1_VLHB_1+catfd_1_VLHV_41/catpn_1_VLHV_41),0)</f>
        <v>0</v>
      </c>
      <c r="I53" s="20" t="s">
        <v>41</v>
      </c>
      <c r="J53" s="37">
        <f>IF(AND(catpn_1_VLHB_1&gt;0,catpn_1_VLHV_41&gt;0),(cattf_1_VLHB_1*((dagenperjaar1*VLOOKUP(B53,dagsoorttabel1,2,FALSE))-catfd_1_VLHV_41)/catpn_1_VLHB_1+cattf_1_VLHV_41*catfd_1_VLHV_41/catpn_1_VLHV_41)/(((dagenperjaar1*VLOOKUP(B53,dagsoorttabel1,2,FALSE))-catfd_1_VLHV_41)/catpn_1_VLHB_1+catfd_1_VLHV_41/catpn_1_VLHV_41),0)</f>
        <v>0</v>
      </c>
      <c r="K53" s="34">
        <f>IF(OR(ISBLANK(G53),G53=0),0,F53/ROUND(G53,4))</f>
        <v>0</v>
      </c>
      <c r="L53" s="37">
        <f>ROUND(J53,2)*K53</f>
        <v>0</v>
      </c>
      <c r="M53" s="34">
        <f>K53*dagenperjaar1</f>
        <v>0</v>
      </c>
      <c r="N53" s="37">
        <f>M53*ROUND(J53,2)</f>
        <v>0</v>
      </c>
    </row>
    <row r="54" spans="1:14" x14ac:dyDescent="0.2">
      <c r="A54" s="20" t="s">
        <v>262</v>
      </c>
      <c r="B54" s="20" t="s">
        <v>19</v>
      </c>
      <c r="C54" s="20" t="s">
        <v>200</v>
      </c>
      <c r="D54" s="20" t="s">
        <v>263</v>
      </c>
      <c r="E54" s="34">
        <v>56</v>
      </c>
      <c r="F54" s="34">
        <f>E54*VLOOKUP(B54,dagsoorttabel1,2,FALSE)</f>
        <v>9.003921568627451</v>
      </c>
      <c r="G54" s="35">
        <f>IF(AND(catpn_1_VLHB_1&gt;0,catpn_1_VLHV_41&gt;0),(dagenperjaar1*VLOOKUP(B54,dagsoorttabel1,2,FALSE))/(((dagenperjaar1*VLOOKUP(B54,dagsoorttabel1,2,FALSE))-catfd_1_VLHV_41)/catpn_1_VLHB_1+catfd_1_VLHV_41/catpn_1_VLHV_41),0)</f>
        <v>0</v>
      </c>
      <c r="H54" s="36">
        <f>IF(AND(catpn_1_VLHB_1&gt;0,catpn_1_VLHV_41&gt;0),(catdw_1_VLHB_1*((dagenperjaar1-VLOOKUP(B54,dagsoorttabel1,2,FALSE))-catfd_1_VLHV_41)/catpn_1_VLHB_1+catdw_1_VLHV_41*catfd_1_VLHV_41/catpn_1_VLHV_41)/(((dagenperjaar1-VLOOKUP(B54,dagsoorttabel1,2,FALSE))-catfd_1_VLHV_41)/catpn_1_VLHB_1+catfd_1_VLHV_41/catpn_1_VLHV_41),0)</f>
        <v>0</v>
      </c>
      <c r="I54" s="20" t="s">
        <v>41</v>
      </c>
      <c r="J54" s="37">
        <f>IF(AND(catpn_1_VLHB_1&gt;0,catpn_1_VLHV_41&gt;0),(cattf_1_VLHB_1*((dagenperjaar1*VLOOKUP(B54,dagsoorttabel1,2,FALSE))-catfd_1_VLHV_41)/catpn_1_VLHB_1+cattf_1_VLHV_41*catfd_1_VLHV_41/catpn_1_VLHV_41)/(((dagenperjaar1*VLOOKUP(B54,dagsoorttabel1,2,FALSE))-catfd_1_VLHV_41)/catpn_1_VLHB_1+catfd_1_VLHV_41/catpn_1_VLHV_41),0)</f>
        <v>0</v>
      </c>
      <c r="K54" s="34">
        <f>IF(OR(ISBLANK(G54),G54=0),0,F54/ROUND(G54,4))</f>
        <v>0</v>
      </c>
      <c r="L54" s="37">
        <f>ROUND(J54,2)*K54</f>
        <v>0</v>
      </c>
      <c r="M54" s="34">
        <f>K54*dagenperjaar1</f>
        <v>0</v>
      </c>
      <c r="N54" s="37">
        <f>M54*ROUND(J54,2)</f>
        <v>0</v>
      </c>
    </row>
    <row r="55" spans="1:14" x14ac:dyDescent="0.2">
      <c r="A55" s="20" t="s">
        <v>264</v>
      </c>
      <c r="B55" s="20" t="s">
        <v>12</v>
      </c>
      <c r="C55" s="20" t="s">
        <v>200</v>
      </c>
      <c r="D55" s="20" t="s">
        <v>265</v>
      </c>
      <c r="E55" s="34">
        <v>179.1</v>
      </c>
      <c r="F55" s="34">
        <f>E55*VLOOKUP(B55,dagsoorttabel1,2,FALSE)</f>
        <v>143.98235294117646</v>
      </c>
      <c r="G55" s="35">
        <f>IF(AND(catpn_1_VOHB_1&gt;0,catpn_1_VOHV_41&gt;0),(dagenperjaar1*VLOOKUP(B55,dagsoorttabel1,2,FALSE))/(((dagenperjaar1*VLOOKUP(B55,dagsoorttabel1,2,FALSE))-catfd_1_VOHV_41)/catpn_1_VOHB_1+catfd_1_VOHV_41/catpn_1_VOHV_41),0)</f>
        <v>0</v>
      </c>
      <c r="H55" s="36">
        <f>IF(AND(catpn_1_VOHB_1&gt;0,catpn_1_VOHV_41&gt;0),(catdw_1_VOHB_1*((dagenperjaar1-VLOOKUP(B55,dagsoorttabel1,2,FALSE))-catfd_1_VOHV_41)/catpn_1_VOHB_1+catdw_1_VOHV_41*catfd_1_VOHV_41/catpn_1_VOHV_41)/(((dagenperjaar1-VLOOKUP(B55,dagsoorttabel1,2,FALSE))-catfd_1_VOHV_41)/catpn_1_VOHB_1+catfd_1_VOHV_41/catpn_1_VOHV_41),0)</f>
        <v>0</v>
      </c>
      <c r="I55" s="20" t="s">
        <v>41</v>
      </c>
      <c r="J55" s="37">
        <f>IF(AND(catpn_1_VOHB_1&gt;0,catpn_1_VOHV_41&gt;0),(cattf_1_VOHB_1*((dagenperjaar1*VLOOKUP(B55,dagsoorttabel1,2,FALSE))-catfd_1_VOHV_41)/catpn_1_VOHB_1+cattf_1_VOHV_41*catfd_1_VOHV_41/catpn_1_VOHV_41)/(((dagenperjaar1*VLOOKUP(B55,dagsoorttabel1,2,FALSE))-catfd_1_VOHV_41)/catpn_1_VOHB_1+catfd_1_VOHV_41/catpn_1_VOHV_41),0)</f>
        <v>0</v>
      </c>
      <c r="K55" s="34">
        <f>IF(OR(ISBLANK(G55),G55=0),0,F55/ROUND(G55,4))</f>
        <v>0</v>
      </c>
      <c r="L55" s="37">
        <f>ROUND(J55,2)*K55</f>
        <v>0</v>
      </c>
      <c r="M55" s="34">
        <f>K55*dagenperjaar1</f>
        <v>0</v>
      </c>
      <c r="N55" s="37">
        <f>M55*ROUND(J55,2)</f>
        <v>0</v>
      </c>
    </row>
    <row r="56" spans="1:14" x14ac:dyDescent="0.2">
      <c r="A56" s="20" t="s">
        <v>266</v>
      </c>
      <c r="B56" s="20" t="s">
        <v>12</v>
      </c>
      <c r="C56" s="20" t="s">
        <v>200</v>
      </c>
      <c r="D56" s="20" t="s">
        <v>267</v>
      </c>
      <c r="E56" s="34">
        <v>10</v>
      </c>
      <c r="F56" s="34">
        <f>E56*VLOOKUP(B56,dagsoorttabel1,2,FALSE)</f>
        <v>8.0392156862745097</v>
      </c>
      <c r="G56" s="35">
        <f>IF(AND(catpn_1_VOZB_1&gt;0,catpn_1_VOZV_41&gt;0),(dagenperjaar1*VLOOKUP(B56,dagsoorttabel1,2,FALSE))/(((dagenperjaar1*VLOOKUP(B56,dagsoorttabel1,2,FALSE))-catfd_1_VOZV_41)/catpn_1_VOZB_1+catfd_1_VOZV_41/catpn_1_VOZV_41),0)</f>
        <v>0</v>
      </c>
      <c r="H56" s="36">
        <f>IF(AND(catpn_1_VOZB_1&gt;0,catpn_1_VOZV_41&gt;0),(catdw_1_VOZB_1*((dagenperjaar1-VLOOKUP(B56,dagsoorttabel1,2,FALSE))-catfd_1_VOZV_41)/catpn_1_VOZB_1+catdw_1_VOZV_41*catfd_1_VOZV_41/catpn_1_VOZV_41)/(((dagenperjaar1-VLOOKUP(B56,dagsoorttabel1,2,FALSE))-catfd_1_VOZV_41)/catpn_1_VOZB_1+catfd_1_VOZV_41/catpn_1_VOZV_41),0)</f>
        <v>0</v>
      </c>
      <c r="I56" s="20" t="s">
        <v>41</v>
      </c>
      <c r="J56" s="37">
        <f>IF(AND(catpn_1_VOZB_1&gt;0,catpn_1_VOZV_41&gt;0),(cattf_1_VOZB_1*((dagenperjaar1*VLOOKUP(B56,dagsoorttabel1,2,FALSE))-catfd_1_VOZV_41)/catpn_1_VOZB_1+cattf_1_VOZV_41*catfd_1_VOZV_41/catpn_1_VOZV_41)/(((dagenperjaar1*VLOOKUP(B56,dagsoorttabel1,2,FALSE))-catfd_1_VOZV_41)/catpn_1_VOZB_1+catfd_1_VOZV_41/catpn_1_VOZV_41),0)</f>
        <v>0</v>
      </c>
      <c r="K56" s="34">
        <f>IF(OR(ISBLANK(G56),G56=0),0,F56/ROUND(G56,4))</f>
        <v>0</v>
      </c>
      <c r="L56" s="37">
        <f>ROUND(J56,2)*K56</f>
        <v>0</v>
      </c>
      <c r="M56" s="34">
        <f>K56*dagenperjaar1</f>
        <v>0</v>
      </c>
      <c r="N56" s="37">
        <f>M56*ROUND(J56,2)</f>
        <v>0</v>
      </c>
    </row>
    <row r="57" spans="1:14" x14ac:dyDescent="0.2">
      <c r="A57" s="20" t="s">
        <v>268</v>
      </c>
      <c r="B57" s="20" t="s">
        <v>12</v>
      </c>
      <c r="C57" s="20" t="s">
        <v>200</v>
      </c>
      <c r="D57" s="20" t="s">
        <v>269</v>
      </c>
      <c r="E57" s="34">
        <v>88.58</v>
      </c>
      <c r="F57" s="34">
        <f>E57*VLOOKUP(B57,dagsoorttabel1,2,FALSE)</f>
        <v>71.211372549019615</v>
      </c>
      <c r="G57" s="35">
        <f>IF(AND(catpn_1_VTHB_1&gt;0,catpn_1_VTHV_41&gt;0),(dagenperjaar1*VLOOKUP(B57,dagsoorttabel1,2,FALSE))/(((dagenperjaar1*VLOOKUP(B57,dagsoorttabel1,2,FALSE))-catfd_1_VTHV_41)/catpn_1_VTHB_1+catfd_1_VTHV_41/catpn_1_VTHV_41),0)</f>
        <v>0</v>
      </c>
      <c r="H57" s="36">
        <f>IF(AND(catpn_1_VTHB_1&gt;0,catpn_1_VTHV_41&gt;0),(catdw_1_VTHB_1*((dagenperjaar1-VLOOKUP(B57,dagsoorttabel1,2,FALSE))-catfd_1_VTHV_41)/catpn_1_VTHB_1+catdw_1_VTHV_41*catfd_1_VTHV_41/catpn_1_VTHV_41)/(((dagenperjaar1-VLOOKUP(B57,dagsoorttabel1,2,FALSE))-catfd_1_VTHV_41)/catpn_1_VTHB_1+catfd_1_VTHV_41/catpn_1_VTHV_41),0)</f>
        <v>0</v>
      </c>
      <c r="I57" s="20" t="s">
        <v>41</v>
      </c>
      <c r="J57" s="37">
        <f>IF(AND(catpn_1_VTHB_1&gt;0,catpn_1_VTHV_41&gt;0),(cattf_1_VTHB_1*((dagenperjaar1*VLOOKUP(B57,dagsoorttabel1,2,FALSE))-catfd_1_VTHV_41)/catpn_1_VTHB_1+cattf_1_VTHV_41*catfd_1_VTHV_41/catpn_1_VTHV_41)/(((dagenperjaar1*VLOOKUP(B57,dagsoorttabel1,2,FALSE))-catfd_1_VTHV_41)/catpn_1_VTHB_1+catfd_1_VTHV_41/catpn_1_VTHV_41),0)</f>
        <v>0</v>
      </c>
      <c r="K57" s="34">
        <f>IF(OR(ISBLANK(G57),G57=0),0,F57/ROUND(G57,4))</f>
        <v>0</v>
      </c>
      <c r="L57" s="37">
        <f>ROUND(J57,2)*K57</f>
        <v>0</v>
      </c>
      <c r="M57" s="34">
        <f>K57*dagenperjaar1</f>
        <v>0</v>
      </c>
      <c r="N57" s="37">
        <f>M57*ROUND(J57,2)</f>
        <v>0</v>
      </c>
    </row>
    <row r="58" spans="1:14" x14ac:dyDescent="0.2">
      <c r="A58" s="20" t="s">
        <v>268</v>
      </c>
      <c r="B58" s="20" t="s">
        <v>19</v>
      </c>
      <c r="C58" s="20" t="s">
        <v>200</v>
      </c>
      <c r="D58" s="20" t="s">
        <v>269</v>
      </c>
      <c r="E58" s="34">
        <v>19</v>
      </c>
      <c r="F58" s="34">
        <f>E58*VLOOKUP(B58,dagsoorttabel1,2,FALSE)</f>
        <v>3.054901960784314</v>
      </c>
      <c r="G58" s="35">
        <f>IF(AND(catpn_1_VTHB_1&gt;0,catpn_1_VTHV_41&gt;0),(dagenperjaar1*VLOOKUP(B58,dagsoorttabel1,2,FALSE))/(((dagenperjaar1*VLOOKUP(B58,dagsoorttabel1,2,FALSE))-catfd_1_VTHV_41)/catpn_1_VTHB_1+catfd_1_VTHV_41/catpn_1_VTHV_41),0)</f>
        <v>0</v>
      </c>
      <c r="H58" s="36">
        <f>IF(AND(catpn_1_VTHB_1&gt;0,catpn_1_VTHV_41&gt;0),(catdw_1_VTHB_1*((dagenperjaar1-VLOOKUP(B58,dagsoorttabel1,2,FALSE))-catfd_1_VTHV_41)/catpn_1_VTHB_1+catdw_1_VTHV_41*catfd_1_VTHV_41/catpn_1_VTHV_41)/(((dagenperjaar1-VLOOKUP(B58,dagsoorttabel1,2,FALSE))-catfd_1_VTHV_41)/catpn_1_VTHB_1+catfd_1_VTHV_41/catpn_1_VTHV_41),0)</f>
        <v>0</v>
      </c>
      <c r="I58" s="20" t="s">
        <v>41</v>
      </c>
      <c r="J58" s="37">
        <f>IF(AND(catpn_1_VTHB_1&gt;0,catpn_1_VTHV_41&gt;0),(cattf_1_VTHB_1*((dagenperjaar1*VLOOKUP(B58,dagsoorttabel1,2,FALSE))-catfd_1_VTHV_41)/catpn_1_VTHB_1+cattf_1_VTHV_41*catfd_1_VTHV_41/catpn_1_VTHV_41)/(((dagenperjaar1*VLOOKUP(B58,dagsoorttabel1,2,FALSE))-catfd_1_VTHV_41)/catpn_1_VTHB_1+catfd_1_VTHV_41/catpn_1_VTHV_41),0)</f>
        <v>0</v>
      </c>
      <c r="K58" s="34">
        <f>IF(OR(ISBLANK(G58),G58=0),0,F58/ROUND(G58,4))</f>
        <v>0</v>
      </c>
      <c r="L58" s="37">
        <f>ROUND(J58,2)*K58</f>
        <v>0</v>
      </c>
      <c r="M58" s="34">
        <f>K58*dagenperjaar1</f>
        <v>0</v>
      </c>
      <c r="N58" s="37">
        <f>M58*ROUND(J58,2)</f>
        <v>0</v>
      </c>
    </row>
    <row r="59" spans="1:14" x14ac:dyDescent="0.2">
      <c r="A59" s="20" t="s">
        <v>270</v>
      </c>
      <c r="B59" s="20" t="s">
        <v>24</v>
      </c>
      <c r="C59" s="20" t="s">
        <v>271</v>
      </c>
      <c r="D59" s="20" t="s">
        <v>272</v>
      </c>
      <c r="E59" s="34">
        <v>1711</v>
      </c>
      <c r="F59" s="34">
        <f>E59*VLOOKUP(B59,dagsoorttabel1,2,FALSE)</f>
        <v>20.129411764705882</v>
      </c>
      <c r="G59" s="35">
        <f>catpn_1_XSGB_1</f>
        <v>0</v>
      </c>
      <c r="H59" s="36">
        <f>catdw_1_XSGB_1</f>
        <v>0</v>
      </c>
      <c r="I59" s="20" t="s">
        <v>41</v>
      </c>
      <c r="J59" s="37">
        <f>cattf_1_XSGB_1</f>
        <v>0</v>
      </c>
      <c r="K59" s="34">
        <f>IF(OR(ISBLANK(G59),G59=0),0,F59/ROUND(G59,4))</f>
        <v>0</v>
      </c>
      <c r="L59" s="37">
        <f>ROUND(J59,2)*K59</f>
        <v>0</v>
      </c>
      <c r="M59" s="34">
        <f>K59*dagenperjaar1</f>
        <v>0</v>
      </c>
      <c r="N59" s="37">
        <f>M59*ROUND(J59,2)</f>
        <v>0</v>
      </c>
    </row>
    <row r="60" spans="1:14" x14ac:dyDescent="0.2">
      <c r="A60" s="25" t="s">
        <v>273</v>
      </c>
      <c r="B60" s="25" t="s">
        <v>25</v>
      </c>
      <c r="C60" s="25" t="s">
        <v>271</v>
      </c>
      <c r="D60" s="25" t="s">
        <v>274</v>
      </c>
      <c r="E60" s="38">
        <v>1</v>
      </c>
      <c r="F60" s="38">
        <f>E60*VLOOKUP(B60,dagsoorttabel1,2,FALSE)</f>
        <v>7.8431372549019607E-3</v>
      </c>
      <c r="G60" s="39"/>
      <c r="H60" s="28"/>
      <c r="I60" s="25" t="s">
        <v>275</v>
      </c>
      <c r="J60" s="29"/>
      <c r="K60" s="38">
        <f>F60*ROUND(G60,4)/60</f>
        <v>0</v>
      </c>
      <c r="L60" s="40">
        <f>ROUND(J60,2)*K60</f>
        <v>0</v>
      </c>
      <c r="M60" s="38">
        <f>K60*dagenperjaar1</f>
        <v>0</v>
      </c>
      <c r="N60" s="40">
        <f>M60*ROUND(J60,2)</f>
        <v>0</v>
      </c>
    </row>
    <row r="61" spans="1:14" x14ac:dyDescent="0.2">
      <c r="A61" s="42" t="s">
        <v>276</v>
      </c>
      <c r="B61" s="43"/>
      <c r="C61" s="43"/>
      <c r="D61" s="43"/>
      <c r="E61" s="43"/>
      <c r="F61" s="43"/>
      <c r="G61" s="43"/>
      <c r="H61" s="43"/>
      <c r="I61" s="43"/>
      <c r="J61" s="43"/>
      <c r="K61" s="44">
        <f>SUM(K6:K60)</f>
        <v>0</v>
      </c>
      <c r="L61" s="45">
        <f>SUM(L6:L60)</f>
        <v>0</v>
      </c>
      <c r="M61" s="44">
        <f>SUM(M6:M60)</f>
        <v>0</v>
      </c>
      <c r="N61" s="46">
        <f>SUM(N6:N60)</f>
        <v>0</v>
      </c>
    </row>
    <row r="62" spans="1:14" x14ac:dyDescent="0.2">
      <c r="A62" s="47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8"/>
    </row>
    <row r="63" spans="1:14" x14ac:dyDescent="0.2">
      <c r="A63" s="42" t="s">
        <v>277</v>
      </c>
      <c r="B63" s="43"/>
      <c r="C63" s="43"/>
      <c r="D63" s="43"/>
      <c r="E63" s="43"/>
      <c r="F63" s="43"/>
      <c r="G63" s="43"/>
      <c r="H63" s="43"/>
      <c r="I63" s="43"/>
      <c r="J63" s="45">
        <f>IF(urenjaar1&gt;0,SUMIF(M6:M60,"&gt;0",N6:N60)/urenjaar1,0)</f>
        <v>0</v>
      </c>
      <c r="K63" s="43"/>
      <c r="L63" s="43"/>
      <c r="M63" s="43"/>
      <c r="N63" s="48"/>
    </row>
    <row r="64" spans="1:14" x14ac:dyDescent="0.2">
      <c r="A64" s="47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8"/>
    </row>
    <row r="66" spans="1:14" x14ac:dyDescent="0.2">
      <c r="A66" s="42" t="s">
        <v>278</v>
      </c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4">
        <f>urenjaar1</f>
        <v>0</v>
      </c>
      <c r="N66" s="45">
        <f>prijsjaar1</f>
        <v>0</v>
      </c>
    </row>
  </sheetData>
  <pageMargins left="0.7" right="0.7" top="0.75" bottom="0.75" header="0.3" footer="0.3"/>
  <pageSetup paperSize="9" scale="70" orientation="landscape" horizontalDpi="150" verticalDpi="0" r:id="rId1"/>
  <headerFooter>
    <oddFooter>&amp;LOns Middelbaar Onderwijs optimalisatie                      
CONCEPT PER 01-03-2021&amp;ROpmaakdatum: 18-03-2021
Intexso - De Start 5 - Leusden
+31 (33) 2778485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A0294-4ABF-477C-B1BB-975A294E4752}">
  <dimension ref="A1:V378"/>
  <sheetViews>
    <sheetView workbookViewId="0">
      <selection activeCell="G9" sqref="G9"/>
    </sheetView>
  </sheetViews>
  <sheetFormatPr defaultRowHeight="12.6" x14ac:dyDescent="0.2"/>
  <cols>
    <col min="1" max="1" width="8.6328125" customWidth="1"/>
    <col min="2" max="3" width="7.6328125" customWidth="1"/>
    <col min="4" max="4" width="10.6328125" customWidth="1"/>
    <col min="5" max="5" width="25.6328125" customWidth="1"/>
    <col min="6" max="6" width="11.6328125" customWidth="1"/>
    <col min="7" max="7" width="7.6328125" customWidth="1"/>
    <col min="8" max="8" width="6.6328125" customWidth="1"/>
    <col min="9" max="9" width="8.6328125" customWidth="1"/>
    <col min="10" max="10" width="10.6328125" customWidth="1"/>
    <col min="11" max="11" width="12.6328125" customWidth="1"/>
    <col min="12" max="13" width="10.6328125" customWidth="1"/>
    <col min="14" max="15" width="11.6328125" customWidth="1"/>
    <col min="16" max="16" width="9.6328125" customWidth="1"/>
    <col min="17" max="20" width="11.6328125" customWidth="1"/>
    <col min="21" max="21" width="12.6328125" customWidth="1"/>
    <col min="22" max="22" width="14.6328125" customWidth="1"/>
  </cols>
  <sheetData>
    <row r="1" spans="1:22" x14ac:dyDescent="0.2">
      <c r="A1" s="1" t="str">
        <f>CONCATENATE("Bijlage G6.3: ",tabeltype," ruimten werkdag")</f>
        <v>Bijlage G6.3: Invultabel ruimten werkdag</v>
      </c>
    </row>
    <row r="3" spans="1:22" ht="37.799999999999997" x14ac:dyDescent="0.2">
      <c r="A3" s="49" t="s">
        <v>279</v>
      </c>
      <c r="B3" s="8" t="s">
        <v>280</v>
      </c>
      <c r="C3" s="8" t="s">
        <v>281</v>
      </c>
      <c r="D3" s="8" t="s">
        <v>282</v>
      </c>
      <c r="E3" s="8" t="s">
        <v>283</v>
      </c>
      <c r="F3" s="8" t="s">
        <v>284</v>
      </c>
      <c r="G3" s="8" t="s">
        <v>191</v>
      </c>
      <c r="H3" s="8" t="s">
        <v>7</v>
      </c>
      <c r="I3" s="8" t="s">
        <v>285</v>
      </c>
      <c r="J3" s="8" t="s">
        <v>286</v>
      </c>
      <c r="K3" s="8" t="s">
        <v>287</v>
      </c>
      <c r="L3" s="8" t="s">
        <v>193</v>
      </c>
      <c r="M3" s="8" t="s">
        <v>194</v>
      </c>
      <c r="N3" s="8" t="s">
        <v>33</v>
      </c>
      <c r="O3" s="8" t="s">
        <v>34</v>
      </c>
      <c r="P3" s="8" t="s">
        <v>35</v>
      </c>
      <c r="Q3" s="8" t="s">
        <v>36</v>
      </c>
      <c r="R3" s="8" t="s">
        <v>195</v>
      </c>
      <c r="S3" s="8" t="s">
        <v>288</v>
      </c>
      <c r="T3" s="8" t="s">
        <v>196</v>
      </c>
      <c r="U3" s="8" t="s">
        <v>197</v>
      </c>
      <c r="V3" s="50" t="s">
        <v>198</v>
      </c>
    </row>
    <row r="4" spans="1:22" x14ac:dyDescent="0.2">
      <c r="A4" s="51" t="s">
        <v>289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41"/>
    </row>
    <row r="5" spans="1:22" x14ac:dyDescent="0.2">
      <c r="A5" s="52" t="s">
        <v>290</v>
      </c>
      <c r="B5" s="53" t="s">
        <v>291</v>
      </c>
      <c r="C5" s="53" t="s">
        <v>292</v>
      </c>
      <c r="D5" s="53" t="s">
        <v>293</v>
      </c>
      <c r="E5" s="54" t="s">
        <v>294</v>
      </c>
      <c r="F5" s="53" t="s">
        <v>295</v>
      </c>
      <c r="G5" s="53" t="s">
        <v>260</v>
      </c>
      <c r="H5" s="53" t="s">
        <v>12</v>
      </c>
      <c r="I5" s="53" t="s">
        <v>200</v>
      </c>
      <c r="J5" s="53" t="s">
        <v>291</v>
      </c>
      <c r="K5" s="53" t="s">
        <v>291</v>
      </c>
      <c r="L5" s="55">
        <v>65</v>
      </c>
      <c r="M5" s="55">
        <f>L5*VLOOKUP(H5,dagsoorttabel1,2,FALSE)</f>
        <v>52.254901960784316</v>
      </c>
      <c r="N5" s="56">
        <f>prodnorm49</f>
        <v>0</v>
      </c>
      <c r="O5" s="57">
        <f>dagwerk49</f>
        <v>0</v>
      </c>
      <c r="P5" s="53" t="s">
        <v>41</v>
      </c>
      <c r="Q5" s="58">
        <f>uurtarief49</f>
        <v>0</v>
      </c>
      <c r="R5" s="55" t="e">
        <f>IF(ISBLANK(N5),0,M5/ROUND(N5,4))</f>
        <v>#DIV/0!</v>
      </c>
      <c r="S5" s="55" t="e">
        <f>IF(ISBLANK(N5),0,R5*ROUND(O5,2))</f>
        <v>#DIV/0!</v>
      </c>
      <c r="T5" s="58" t="e">
        <f>ROUND(Q5,2)*R5</f>
        <v>#DIV/0!</v>
      </c>
      <c r="U5" s="55" t="e">
        <f>R5*dagenperjaar1</f>
        <v>#DIV/0!</v>
      </c>
      <c r="V5" s="59" t="e">
        <f>U5*ROUND(Q5,2)</f>
        <v>#DIV/0!</v>
      </c>
    </row>
    <row r="6" spans="1:22" x14ac:dyDescent="0.2">
      <c r="A6" s="60" t="s">
        <v>290</v>
      </c>
      <c r="B6" s="61" t="s">
        <v>291</v>
      </c>
      <c r="C6" s="61" t="s">
        <v>292</v>
      </c>
      <c r="D6" s="61" t="s">
        <v>296</v>
      </c>
      <c r="E6" s="62" t="s">
        <v>297</v>
      </c>
      <c r="F6" s="61" t="s">
        <v>298</v>
      </c>
      <c r="G6" s="61" t="s">
        <v>208</v>
      </c>
      <c r="H6" s="61" t="s">
        <v>12</v>
      </c>
      <c r="I6" s="61" t="s">
        <v>200</v>
      </c>
      <c r="J6" s="61" t="s">
        <v>291</v>
      </c>
      <c r="K6" s="61" t="s">
        <v>291</v>
      </c>
      <c r="L6" s="63">
        <v>388</v>
      </c>
      <c r="M6" s="63">
        <f>L6*VLOOKUP(H6,dagsoorttabel1,2,FALSE)</f>
        <v>311.92156862745099</v>
      </c>
      <c r="N6" s="64">
        <f>prodnorm11</f>
        <v>0</v>
      </c>
      <c r="O6" s="65">
        <f>dagwerk11</f>
        <v>0</v>
      </c>
      <c r="P6" s="61" t="s">
        <v>41</v>
      </c>
      <c r="Q6" s="66">
        <f>uurtarief11</f>
        <v>0</v>
      </c>
      <c r="R6" s="63" t="e">
        <f>IF(ISBLANK(N6),0,M6/ROUND(N6,4))</f>
        <v>#DIV/0!</v>
      </c>
      <c r="S6" s="63" t="e">
        <f>IF(ISBLANK(N6),0,R6*ROUND(O6,2))</f>
        <v>#DIV/0!</v>
      </c>
      <c r="T6" s="66" t="e">
        <f>ROUND(Q6,2)*R6</f>
        <v>#DIV/0!</v>
      </c>
      <c r="U6" s="63" t="e">
        <f>R6*dagenperjaar1</f>
        <v>#DIV/0!</v>
      </c>
      <c r="V6" s="67" t="e">
        <f>U6*ROUND(Q6,2)</f>
        <v>#DIV/0!</v>
      </c>
    </row>
    <row r="7" spans="1:22" x14ac:dyDescent="0.2">
      <c r="A7" s="60" t="s">
        <v>290</v>
      </c>
      <c r="B7" s="61" t="s">
        <v>291</v>
      </c>
      <c r="C7" s="61" t="s">
        <v>292</v>
      </c>
      <c r="D7" s="61" t="s">
        <v>299</v>
      </c>
      <c r="E7" s="62" t="s">
        <v>300</v>
      </c>
      <c r="F7" s="61" t="s">
        <v>301</v>
      </c>
      <c r="G7" s="61" t="s">
        <v>199</v>
      </c>
      <c r="H7" s="61" t="s">
        <v>12</v>
      </c>
      <c r="I7" s="61" t="s">
        <v>200</v>
      </c>
      <c r="J7" s="61" t="s">
        <v>291</v>
      </c>
      <c r="K7" s="61" t="s">
        <v>291</v>
      </c>
      <c r="L7" s="63">
        <v>30</v>
      </c>
      <c r="M7" s="63">
        <f>L7*VLOOKUP(H7,dagsoorttabel1,2,FALSE)</f>
        <v>24.117647058823529</v>
      </c>
      <c r="N7" s="64">
        <f>prodnorm3</f>
        <v>0</v>
      </c>
      <c r="O7" s="65">
        <f>dagwerk3</f>
        <v>0</v>
      </c>
      <c r="P7" s="61" t="s">
        <v>41</v>
      </c>
      <c r="Q7" s="66">
        <f>uurtarief3</f>
        <v>0</v>
      </c>
      <c r="R7" s="63" t="e">
        <f>IF(ISBLANK(N7),0,M7/ROUND(N7,4))</f>
        <v>#DIV/0!</v>
      </c>
      <c r="S7" s="63" t="e">
        <f>IF(ISBLANK(N7),0,R7*ROUND(O7,2))</f>
        <v>#DIV/0!</v>
      </c>
      <c r="T7" s="66" t="e">
        <f>ROUND(Q7,2)*R7</f>
        <v>#DIV/0!</v>
      </c>
      <c r="U7" s="63" t="e">
        <f>R7*dagenperjaar1</f>
        <v>#DIV/0!</v>
      </c>
      <c r="V7" s="67" t="e">
        <f>U7*ROUND(Q7,2)</f>
        <v>#DIV/0!</v>
      </c>
    </row>
    <row r="8" spans="1:22" x14ac:dyDescent="0.2">
      <c r="A8" s="60" t="s">
        <v>290</v>
      </c>
      <c r="B8" s="61" t="s">
        <v>291</v>
      </c>
      <c r="C8" s="61" t="s">
        <v>292</v>
      </c>
      <c r="D8" s="61" t="s">
        <v>302</v>
      </c>
      <c r="E8" s="62" t="s">
        <v>303</v>
      </c>
      <c r="F8" s="61" t="s">
        <v>301</v>
      </c>
      <c r="G8" s="61" t="s">
        <v>264</v>
      </c>
      <c r="H8" s="61" t="s">
        <v>12</v>
      </c>
      <c r="I8" s="61" t="s">
        <v>200</v>
      </c>
      <c r="J8" s="61" t="s">
        <v>291</v>
      </c>
      <c r="K8" s="61" t="s">
        <v>291</v>
      </c>
      <c r="L8" s="63">
        <v>35</v>
      </c>
      <c r="M8" s="63">
        <f>L8*VLOOKUP(H8,dagsoorttabel1,2,FALSE)</f>
        <v>28.137254901960784</v>
      </c>
      <c r="N8" s="64">
        <f>prodnorm52</f>
        <v>0</v>
      </c>
      <c r="O8" s="65">
        <f>dagwerk52</f>
        <v>0</v>
      </c>
      <c r="P8" s="61" t="s">
        <v>41</v>
      </c>
      <c r="Q8" s="66">
        <f>uurtarief52</f>
        <v>0</v>
      </c>
      <c r="R8" s="63" t="e">
        <f>IF(ISBLANK(N8),0,M8/ROUND(N8,4))</f>
        <v>#DIV/0!</v>
      </c>
      <c r="S8" s="63" t="e">
        <f>IF(ISBLANK(N8),0,R8*ROUND(O8,2))</f>
        <v>#DIV/0!</v>
      </c>
      <c r="T8" s="66" t="e">
        <f>ROUND(Q8,2)*R8</f>
        <v>#DIV/0!</v>
      </c>
      <c r="U8" s="63" t="e">
        <f>R8*dagenperjaar1</f>
        <v>#DIV/0!</v>
      </c>
      <c r="V8" s="67" t="e">
        <f>U8*ROUND(Q8,2)</f>
        <v>#DIV/0!</v>
      </c>
    </row>
    <row r="9" spans="1:22" x14ac:dyDescent="0.2">
      <c r="A9" s="60" t="s">
        <v>290</v>
      </c>
      <c r="B9" s="61" t="s">
        <v>291</v>
      </c>
      <c r="C9" s="61" t="s">
        <v>292</v>
      </c>
      <c r="D9" s="61" t="s">
        <v>304</v>
      </c>
      <c r="E9" s="62" t="s">
        <v>305</v>
      </c>
      <c r="F9" s="61" t="s">
        <v>306</v>
      </c>
      <c r="G9" s="61" t="s">
        <v>250</v>
      </c>
      <c r="H9" s="61" t="s">
        <v>12</v>
      </c>
      <c r="I9" s="61" t="s">
        <v>200</v>
      </c>
      <c r="J9" s="61" t="s">
        <v>291</v>
      </c>
      <c r="K9" s="61" t="s">
        <v>291</v>
      </c>
      <c r="L9" s="63">
        <v>15</v>
      </c>
      <c r="M9" s="63">
        <f>L9*VLOOKUP(H9,dagsoorttabel1,2,FALSE)</f>
        <v>12.058823529411764</v>
      </c>
      <c r="N9" s="64">
        <f>prodnorm39</f>
        <v>0</v>
      </c>
      <c r="O9" s="65">
        <f>dagwerk39</f>
        <v>0</v>
      </c>
      <c r="P9" s="61" t="s">
        <v>41</v>
      </c>
      <c r="Q9" s="66">
        <f>uurtarief39</f>
        <v>0</v>
      </c>
      <c r="R9" s="63" t="e">
        <f>IF(ISBLANK(N9),0,M9/ROUND(N9,4))</f>
        <v>#DIV/0!</v>
      </c>
      <c r="S9" s="63" t="e">
        <f>IF(ISBLANK(N9),0,R9*ROUND(O9,2))</f>
        <v>#DIV/0!</v>
      </c>
      <c r="T9" s="66" t="e">
        <f>ROUND(Q9,2)*R9</f>
        <v>#DIV/0!</v>
      </c>
      <c r="U9" s="63" t="e">
        <f>R9*dagenperjaar1</f>
        <v>#DIV/0!</v>
      </c>
      <c r="V9" s="67" t="e">
        <f>U9*ROUND(Q9,2)</f>
        <v>#DIV/0!</v>
      </c>
    </row>
    <row r="10" spans="1:22" x14ac:dyDescent="0.2">
      <c r="A10" s="60" t="s">
        <v>290</v>
      </c>
      <c r="B10" s="61" t="s">
        <v>291</v>
      </c>
      <c r="C10" s="61" t="s">
        <v>292</v>
      </c>
      <c r="D10" s="61" t="s">
        <v>307</v>
      </c>
      <c r="E10" s="62" t="s">
        <v>308</v>
      </c>
      <c r="F10" s="61" t="s">
        <v>306</v>
      </c>
      <c r="G10" s="61" t="s">
        <v>250</v>
      </c>
      <c r="H10" s="61" t="s">
        <v>12</v>
      </c>
      <c r="I10" s="61" t="s">
        <v>200</v>
      </c>
      <c r="J10" s="61" t="s">
        <v>291</v>
      </c>
      <c r="K10" s="61" t="s">
        <v>291</v>
      </c>
      <c r="L10" s="63">
        <v>16</v>
      </c>
      <c r="M10" s="63">
        <f>L10*VLOOKUP(H10,dagsoorttabel1,2,FALSE)</f>
        <v>12.862745098039216</v>
      </c>
      <c r="N10" s="64">
        <f>prodnorm39</f>
        <v>0</v>
      </c>
      <c r="O10" s="65">
        <f>dagwerk39</f>
        <v>0</v>
      </c>
      <c r="P10" s="61" t="s">
        <v>41</v>
      </c>
      <c r="Q10" s="66">
        <f>uurtarief39</f>
        <v>0</v>
      </c>
      <c r="R10" s="63" t="e">
        <f>IF(ISBLANK(N10),0,M10/ROUND(N10,4))</f>
        <v>#DIV/0!</v>
      </c>
      <c r="S10" s="63" t="e">
        <f>IF(ISBLANK(N10),0,R10*ROUND(O10,2))</f>
        <v>#DIV/0!</v>
      </c>
      <c r="T10" s="66" t="e">
        <f>ROUND(Q10,2)*R10</f>
        <v>#DIV/0!</v>
      </c>
      <c r="U10" s="63" t="e">
        <f>R10*dagenperjaar1</f>
        <v>#DIV/0!</v>
      </c>
      <c r="V10" s="67" t="e">
        <f>U10*ROUND(Q10,2)</f>
        <v>#DIV/0!</v>
      </c>
    </row>
    <row r="11" spans="1:22" x14ac:dyDescent="0.2">
      <c r="A11" s="60" t="s">
        <v>290</v>
      </c>
      <c r="B11" s="61" t="s">
        <v>291</v>
      </c>
      <c r="C11" s="61" t="s">
        <v>292</v>
      </c>
      <c r="D11" s="61" t="s">
        <v>309</v>
      </c>
      <c r="E11" s="62" t="s">
        <v>310</v>
      </c>
      <c r="F11" s="61" t="s">
        <v>301</v>
      </c>
      <c r="G11" s="61" t="s">
        <v>208</v>
      </c>
      <c r="H11" s="61" t="s">
        <v>12</v>
      </c>
      <c r="I11" s="61" t="s">
        <v>200</v>
      </c>
      <c r="J11" s="61" t="s">
        <v>291</v>
      </c>
      <c r="K11" s="61" t="s">
        <v>291</v>
      </c>
      <c r="L11" s="63">
        <v>63</v>
      </c>
      <c r="M11" s="63">
        <f>L11*VLOOKUP(H11,dagsoorttabel1,2,FALSE)</f>
        <v>50.647058823529413</v>
      </c>
      <c r="N11" s="64">
        <f>prodnorm11</f>
        <v>0</v>
      </c>
      <c r="O11" s="65">
        <f>dagwerk11</f>
        <v>0</v>
      </c>
      <c r="P11" s="61" t="s">
        <v>41</v>
      </c>
      <c r="Q11" s="66">
        <f>uurtarief11</f>
        <v>0</v>
      </c>
      <c r="R11" s="63" t="e">
        <f>IF(ISBLANK(N11),0,M11/ROUND(N11,4))</f>
        <v>#DIV/0!</v>
      </c>
      <c r="S11" s="63" t="e">
        <f>IF(ISBLANK(N11),0,R11*ROUND(O11,2))</f>
        <v>#DIV/0!</v>
      </c>
      <c r="T11" s="66" t="e">
        <f>ROUND(Q11,2)*R11</f>
        <v>#DIV/0!</v>
      </c>
      <c r="U11" s="63" t="e">
        <f>R11*dagenperjaar1</f>
        <v>#DIV/0!</v>
      </c>
      <c r="V11" s="67" t="e">
        <f>U11*ROUND(Q11,2)</f>
        <v>#DIV/0!</v>
      </c>
    </row>
    <row r="12" spans="1:22" x14ac:dyDescent="0.2">
      <c r="A12" s="60" t="s">
        <v>290</v>
      </c>
      <c r="B12" s="61" t="s">
        <v>291</v>
      </c>
      <c r="C12" s="61" t="s">
        <v>292</v>
      </c>
      <c r="D12" s="61" t="s">
        <v>311</v>
      </c>
      <c r="E12" s="62" t="s">
        <v>305</v>
      </c>
      <c r="F12" s="61" t="s">
        <v>312</v>
      </c>
      <c r="G12" s="61" t="s">
        <v>250</v>
      </c>
      <c r="H12" s="61" t="s">
        <v>12</v>
      </c>
      <c r="I12" s="61" t="s">
        <v>200</v>
      </c>
      <c r="J12" s="61" t="s">
        <v>291</v>
      </c>
      <c r="K12" s="61" t="s">
        <v>291</v>
      </c>
      <c r="L12" s="63">
        <v>17</v>
      </c>
      <c r="M12" s="63">
        <f>L12*VLOOKUP(H12,dagsoorttabel1,2,FALSE)</f>
        <v>13.666666666666668</v>
      </c>
      <c r="N12" s="64">
        <f>prodnorm39</f>
        <v>0</v>
      </c>
      <c r="O12" s="65">
        <f>dagwerk39</f>
        <v>0</v>
      </c>
      <c r="P12" s="61" t="s">
        <v>41</v>
      </c>
      <c r="Q12" s="66">
        <f>uurtarief39</f>
        <v>0</v>
      </c>
      <c r="R12" s="63" t="e">
        <f>IF(ISBLANK(N12),0,M12/ROUND(N12,4))</f>
        <v>#DIV/0!</v>
      </c>
      <c r="S12" s="63" t="e">
        <f>IF(ISBLANK(N12),0,R12*ROUND(O12,2))</f>
        <v>#DIV/0!</v>
      </c>
      <c r="T12" s="66" t="e">
        <f>ROUND(Q12,2)*R12</f>
        <v>#DIV/0!</v>
      </c>
      <c r="U12" s="63" t="e">
        <f>R12*dagenperjaar1</f>
        <v>#DIV/0!</v>
      </c>
      <c r="V12" s="67" t="e">
        <f>U12*ROUND(Q12,2)</f>
        <v>#DIV/0!</v>
      </c>
    </row>
    <row r="13" spans="1:22" x14ac:dyDescent="0.2">
      <c r="A13" s="60" t="s">
        <v>290</v>
      </c>
      <c r="B13" s="61" t="s">
        <v>291</v>
      </c>
      <c r="C13" s="61" t="s">
        <v>292</v>
      </c>
      <c r="D13" s="61" t="s">
        <v>313</v>
      </c>
      <c r="E13" s="62" t="s">
        <v>308</v>
      </c>
      <c r="F13" s="61" t="s">
        <v>312</v>
      </c>
      <c r="G13" s="61" t="s">
        <v>250</v>
      </c>
      <c r="H13" s="61" t="s">
        <v>12</v>
      </c>
      <c r="I13" s="61" t="s">
        <v>200</v>
      </c>
      <c r="J13" s="61" t="s">
        <v>291</v>
      </c>
      <c r="K13" s="61" t="s">
        <v>291</v>
      </c>
      <c r="L13" s="63">
        <v>15</v>
      </c>
      <c r="M13" s="63">
        <f>L13*VLOOKUP(H13,dagsoorttabel1,2,FALSE)</f>
        <v>12.058823529411764</v>
      </c>
      <c r="N13" s="64">
        <f>prodnorm39</f>
        <v>0</v>
      </c>
      <c r="O13" s="65">
        <f>dagwerk39</f>
        <v>0</v>
      </c>
      <c r="P13" s="61" t="s">
        <v>41</v>
      </c>
      <c r="Q13" s="66">
        <f>uurtarief39</f>
        <v>0</v>
      </c>
      <c r="R13" s="63" t="e">
        <f>IF(ISBLANK(N13),0,M13/ROUND(N13,4))</f>
        <v>#DIV/0!</v>
      </c>
      <c r="S13" s="63" t="e">
        <f>IF(ISBLANK(N13),0,R13*ROUND(O13,2))</f>
        <v>#DIV/0!</v>
      </c>
      <c r="T13" s="66" t="e">
        <f>ROUND(Q13,2)*R13</f>
        <v>#DIV/0!</v>
      </c>
      <c r="U13" s="63" t="e">
        <f>R13*dagenperjaar1</f>
        <v>#DIV/0!</v>
      </c>
      <c r="V13" s="67" t="e">
        <f>U13*ROUND(Q13,2)</f>
        <v>#DIV/0!</v>
      </c>
    </row>
    <row r="14" spans="1:22" x14ac:dyDescent="0.2">
      <c r="A14" s="60" t="s">
        <v>290</v>
      </c>
      <c r="B14" s="61" t="s">
        <v>291</v>
      </c>
      <c r="C14" s="61" t="s">
        <v>292</v>
      </c>
      <c r="D14" s="61" t="s">
        <v>314</v>
      </c>
      <c r="E14" s="62" t="s">
        <v>315</v>
      </c>
      <c r="F14" s="61" t="s">
        <v>316</v>
      </c>
      <c r="G14" s="61" t="s">
        <v>250</v>
      </c>
      <c r="H14" s="61" t="s">
        <v>12</v>
      </c>
      <c r="I14" s="61" t="s">
        <v>200</v>
      </c>
      <c r="J14" s="61" t="s">
        <v>291</v>
      </c>
      <c r="K14" s="61" t="s">
        <v>291</v>
      </c>
      <c r="L14" s="63">
        <v>7</v>
      </c>
      <c r="M14" s="63">
        <f>L14*VLOOKUP(H14,dagsoorttabel1,2,FALSE)</f>
        <v>5.6274509803921573</v>
      </c>
      <c r="N14" s="64">
        <f>prodnorm39</f>
        <v>0</v>
      </c>
      <c r="O14" s="65">
        <f>dagwerk39</f>
        <v>0</v>
      </c>
      <c r="P14" s="61" t="s">
        <v>41</v>
      </c>
      <c r="Q14" s="66">
        <f>uurtarief39</f>
        <v>0</v>
      </c>
      <c r="R14" s="63" t="e">
        <f>IF(ISBLANK(N14),0,M14/ROUND(N14,4))</f>
        <v>#DIV/0!</v>
      </c>
      <c r="S14" s="63" t="e">
        <f>IF(ISBLANK(N14),0,R14*ROUND(O14,2))</f>
        <v>#DIV/0!</v>
      </c>
      <c r="T14" s="66" t="e">
        <f>ROUND(Q14,2)*R14</f>
        <v>#DIV/0!</v>
      </c>
      <c r="U14" s="63" t="e">
        <f>R14*dagenperjaar1</f>
        <v>#DIV/0!</v>
      </c>
      <c r="V14" s="67" t="e">
        <f>U14*ROUND(Q14,2)</f>
        <v>#DIV/0!</v>
      </c>
    </row>
    <row r="15" spans="1:22" x14ac:dyDescent="0.2">
      <c r="A15" s="60" t="s">
        <v>290</v>
      </c>
      <c r="B15" s="61" t="s">
        <v>291</v>
      </c>
      <c r="C15" s="61" t="s">
        <v>292</v>
      </c>
      <c r="D15" s="61" t="s">
        <v>317</v>
      </c>
      <c r="E15" s="62" t="s">
        <v>318</v>
      </c>
      <c r="F15" s="61" t="s">
        <v>316</v>
      </c>
      <c r="G15" s="61" t="s">
        <v>214</v>
      </c>
      <c r="H15" s="61" t="s">
        <v>12</v>
      </c>
      <c r="I15" s="61" t="s">
        <v>200</v>
      </c>
      <c r="J15" s="61" t="s">
        <v>291</v>
      </c>
      <c r="K15" s="61" t="s">
        <v>291</v>
      </c>
      <c r="L15" s="63">
        <v>36</v>
      </c>
      <c r="M15" s="63">
        <f>L15*VLOOKUP(H15,dagsoorttabel1,2,FALSE)</f>
        <v>28.941176470588236</v>
      </c>
      <c r="N15" s="64">
        <f>prodnorm16</f>
        <v>0</v>
      </c>
      <c r="O15" s="65">
        <f>dagwerk16</f>
        <v>0</v>
      </c>
      <c r="P15" s="61" t="s">
        <v>41</v>
      </c>
      <c r="Q15" s="66">
        <f>uurtarief16</f>
        <v>0</v>
      </c>
      <c r="R15" s="63" t="e">
        <f>IF(ISBLANK(N15),0,M15/ROUND(N15,4))</f>
        <v>#DIV/0!</v>
      </c>
      <c r="S15" s="63" t="e">
        <f>IF(ISBLANK(N15),0,R15*ROUND(O15,2))</f>
        <v>#DIV/0!</v>
      </c>
      <c r="T15" s="66" t="e">
        <f>ROUND(Q15,2)*R15</f>
        <v>#DIV/0!</v>
      </c>
      <c r="U15" s="63" t="e">
        <f>R15*dagenperjaar1</f>
        <v>#DIV/0!</v>
      </c>
      <c r="V15" s="67" t="e">
        <f>U15*ROUND(Q15,2)</f>
        <v>#DIV/0!</v>
      </c>
    </row>
    <row r="16" spans="1:22" x14ac:dyDescent="0.2">
      <c r="A16" s="60" t="s">
        <v>290</v>
      </c>
      <c r="B16" s="61" t="s">
        <v>291</v>
      </c>
      <c r="C16" s="61" t="s">
        <v>292</v>
      </c>
      <c r="D16" s="61" t="s">
        <v>319</v>
      </c>
      <c r="E16" s="62" t="s">
        <v>320</v>
      </c>
      <c r="F16" s="61" t="s">
        <v>321</v>
      </c>
      <c r="G16" s="61" t="s">
        <v>208</v>
      </c>
      <c r="H16" s="61" t="s">
        <v>12</v>
      </c>
      <c r="I16" s="61" t="s">
        <v>200</v>
      </c>
      <c r="J16" s="61" t="s">
        <v>291</v>
      </c>
      <c r="K16" s="61" t="s">
        <v>291</v>
      </c>
      <c r="L16" s="63">
        <v>247</v>
      </c>
      <c r="M16" s="63">
        <f>L16*VLOOKUP(H16,dagsoorttabel1,2,FALSE)</f>
        <v>198.56862745098039</v>
      </c>
      <c r="N16" s="64">
        <f>prodnorm11</f>
        <v>0</v>
      </c>
      <c r="O16" s="65">
        <f>dagwerk11</f>
        <v>0</v>
      </c>
      <c r="P16" s="61" t="s">
        <v>41</v>
      </c>
      <c r="Q16" s="66">
        <f>uurtarief11</f>
        <v>0</v>
      </c>
      <c r="R16" s="63" t="e">
        <f>IF(ISBLANK(N16),0,M16/ROUND(N16,4))</f>
        <v>#DIV/0!</v>
      </c>
      <c r="S16" s="63" t="e">
        <f>IF(ISBLANK(N16),0,R16*ROUND(O16,2))</f>
        <v>#DIV/0!</v>
      </c>
      <c r="T16" s="66" t="e">
        <f>ROUND(Q16,2)*R16</f>
        <v>#DIV/0!</v>
      </c>
      <c r="U16" s="63" t="e">
        <f>R16*dagenperjaar1</f>
        <v>#DIV/0!</v>
      </c>
      <c r="V16" s="67" t="e">
        <f>U16*ROUND(Q16,2)</f>
        <v>#DIV/0!</v>
      </c>
    </row>
    <row r="17" spans="1:22" x14ac:dyDescent="0.2">
      <c r="A17" s="60" t="s">
        <v>290</v>
      </c>
      <c r="B17" s="61" t="s">
        <v>291</v>
      </c>
      <c r="C17" s="61" t="s">
        <v>292</v>
      </c>
      <c r="D17" s="61" t="s">
        <v>322</v>
      </c>
      <c r="E17" s="62" t="s">
        <v>323</v>
      </c>
      <c r="F17" s="61" t="s">
        <v>324</v>
      </c>
      <c r="G17" s="61" t="s">
        <v>206</v>
      </c>
      <c r="H17" s="61" t="s">
        <v>12</v>
      </c>
      <c r="I17" s="61" t="s">
        <v>200</v>
      </c>
      <c r="J17" s="61" t="s">
        <v>291</v>
      </c>
      <c r="K17" s="61" t="s">
        <v>291</v>
      </c>
      <c r="L17" s="63">
        <v>51</v>
      </c>
      <c r="M17" s="63">
        <f>L17*VLOOKUP(H17,dagsoorttabel1,2,FALSE)</f>
        <v>41</v>
      </c>
      <c r="N17" s="64">
        <f>prodnorm10</f>
        <v>0</v>
      </c>
      <c r="O17" s="65">
        <f>dagwerk10</f>
        <v>0</v>
      </c>
      <c r="P17" s="61" t="s">
        <v>41</v>
      </c>
      <c r="Q17" s="66">
        <f>uurtarief10</f>
        <v>0</v>
      </c>
      <c r="R17" s="63" t="e">
        <f>IF(ISBLANK(N17),0,M17/ROUND(N17,4))</f>
        <v>#DIV/0!</v>
      </c>
      <c r="S17" s="63" t="e">
        <f>IF(ISBLANK(N17),0,R17*ROUND(O17,2))</f>
        <v>#DIV/0!</v>
      </c>
      <c r="T17" s="66" t="e">
        <f>ROUND(Q17,2)*R17</f>
        <v>#DIV/0!</v>
      </c>
      <c r="U17" s="63" t="e">
        <f>R17*dagenperjaar1</f>
        <v>#DIV/0!</v>
      </c>
      <c r="V17" s="67" t="e">
        <f>U17*ROUND(Q17,2)</f>
        <v>#DIV/0!</v>
      </c>
    </row>
    <row r="18" spans="1:22" x14ac:dyDescent="0.2">
      <c r="A18" s="60" t="s">
        <v>290</v>
      </c>
      <c r="B18" s="61" t="s">
        <v>291</v>
      </c>
      <c r="C18" s="61" t="s">
        <v>292</v>
      </c>
      <c r="D18" s="61" t="s">
        <v>325</v>
      </c>
      <c r="E18" s="62" t="s">
        <v>326</v>
      </c>
      <c r="F18" s="61" t="s">
        <v>301</v>
      </c>
      <c r="G18" s="61" t="s">
        <v>240</v>
      </c>
      <c r="H18" s="61" t="s">
        <v>12</v>
      </c>
      <c r="I18" s="61" t="s">
        <v>200</v>
      </c>
      <c r="J18" s="61" t="s">
        <v>291</v>
      </c>
      <c r="K18" s="61" t="s">
        <v>291</v>
      </c>
      <c r="L18" s="63">
        <v>97</v>
      </c>
      <c r="M18" s="63">
        <f>L18*VLOOKUP(H18,dagsoorttabel1,2,FALSE)</f>
        <v>77.980392156862749</v>
      </c>
      <c r="N18" s="64">
        <f>prodnorm33</f>
        <v>0</v>
      </c>
      <c r="O18" s="65">
        <f>dagwerk33</f>
        <v>0</v>
      </c>
      <c r="P18" s="61" t="s">
        <v>41</v>
      </c>
      <c r="Q18" s="66">
        <f>uurtarief33</f>
        <v>0</v>
      </c>
      <c r="R18" s="63" t="e">
        <f>IF(ISBLANK(N18),0,M18/ROUND(N18,4))</f>
        <v>#DIV/0!</v>
      </c>
      <c r="S18" s="63" t="e">
        <f>IF(ISBLANK(N18),0,R18*ROUND(O18,2))</f>
        <v>#DIV/0!</v>
      </c>
      <c r="T18" s="66" t="e">
        <f>ROUND(Q18,2)*R18</f>
        <v>#DIV/0!</v>
      </c>
      <c r="U18" s="63" t="e">
        <f>R18*dagenperjaar1</f>
        <v>#DIV/0!</v>
      </c>
      <c r="V18" s="67" t="e">
        <f>U18*ROUND(Q18,2)</f>
        <v>#DIV/0!</v>
      </c>
    </row>
    <row r="19" spans="1:22" x14ac:dyDescent="0.2">
      <c r="A19" s="60" t="s">
        <v>290</v>
      </c>
      <c r="B19" s="61" t="s">
        <v>291</v>
      </c>
      <c r="C19" s="61" t="s">
        <v>292</v>
      </c>
      <c r="D19" s="61" t="s">
        <v>327</v>
      </c>
      <c r="E19" s="62" t="s">
        <v>328</v>
      </c>
      <c r="F19" s="61" t="s">
        <v>329</v>
      </c>
      <c r="G19" s="61" t="s">
        <v>242</v>
      </c>
      <c r="H19" s="61" t="s">
        <v>12</v>
      </c>
      <c r="I19" s="61" t="s">
        <v>200</v>
      </c>
      <c r="J19" s="61" t="s">
        <v>291</v>
      </c>
      <c r="K19" s="61" t="s">
        <v>291</v>
      </c>
      <c r="L19" s="63">
        <v>14</v>
      </c>
      <c r="M19" s="63">
        <f>L19*VLOOKUP(H19,dagsoorttabel1,2,FALSE)</f>
        <v>11.254901960784315</v>
      </c>
      <c r="N19" s="64">
        <f>prodnorm34</f>
        <v>0</v>
      </c>
      <c r="O19" s="65">
        <f>dagwerk34</f>
        <v>0</v>
      </c>
      <c r="P19" s="61" t="s">
        <v>41</v>
      </c>
      <c r="Q19" s="66">
        <f>uurtarief34</f>
        <v>0</v>
      </c>
      <c r="R19" s="63" t="e">
        <f>IF(ISBLANK(N19),0,M19/ROUND(N19,4))</f>
        <v>#DIV/0!</v>
      </c>
      <c r="S19" s="63" t="e">
        <f>IF(ISBLANK(N19),0,R19*ROUND(O19,2))</f>
        <v>#DIV/0!</v>
      </c>
      <c r="T19" s="66" t="e">
        <f>ROUND(Q19,2)*R19</f>
        <v>#DIV/0!</v>
      </c>
      <c r="U19" s="63" t="e">
        <f>R19*dagenperjaar1</f>
        <v>#DIV/0!</v>
      </c>
      <c r="V19" s="67" t="e">
        <f>U19*ROUND(Q19,2)</f>
        <v>#DIV/0!</v>
      </c>
    </row>
    <row r="20" spans="1:22" x14ac:dyDescent="0.2">
      <c r="A20" s="60" t="s">
        <v>290</v>
      </c>
      <c r="B20" s="61" t="s">
        <v>291</v>
      </c>
      <c r="C20" s="61" t="s">
        <v>292</v>
      </c>
      <c r="D20" s="61" t="s">
        <v>330</v>
      </c>
      <c r="E20" s="62" t="s">
        <v>328</v>
      </c>
      <c r="F20" s="61" t="s">
        <v>329</v>
      </c>
      <c r="G20" s="61" t="s">
        <v>242</v>
      </c>
      <c r="H20" s="61" t="s">
        <v>12</v>
      </c>
      <c r="I20" s="61" t="s">
        <v>200</v>
      </c>
      <c r="J20" s="61" t="s">
        <v>291</v>
      </c>
      <c r="K20" s="61" t="s">
        <v>291</v>
      </c>
      <c r="L20" s="63">
        <v>14</v>
      </c>
      <c r="M20" s="63">
        <f>L20*VLOOKUP(H20,dagsoorttabel1,2,FALSE)</f>
        <v>11.254901960784315</v>
      </c>
      <c r="N20" s="64">
        <f>prodnorm34</f>
        <v>0</v>
      </c>
      <c r="O20" s="65">
        <f>dagwerk34</f>
        <v>0</v>
      </c>
      <c r="P20" s="61" t="s">
        <v>41</v>
      </c>
      <c r="Q20" s="66">
        <f>uurtarief34</f>
        <v>0</v>
      </c>
      <c r="R20" s="63" t="e">
        <f>IF(ISBLANK(N20),0,M20/ROUND(N20,4))</f>
        <v>#DIV/0!</v>
      </c>
      <c r="S20" s="63" t="e">
        <f>IF(ISBLANK(N20),0,R20*ROUND(O20,2))</f>
        <v>#DIV/0!</v>
      </c>
      <c r="T20" s="66" t="e">
        <f>ROUND(Q20,2)*R20</f>
        <v>#DIV/0!</v>
      </c>
      <c r="U20" s="63" t="e">
        <f>R20*dagenperjaar1</f>
        <v>#DIV/0!</v>
      </c>
      <c r="V20" s="67" t="e">
        <f>U20*ROUND(Q20,2)</f>
        <v>#DIV/0!</v>
      </c>
    </row>
    <row r="21" spans="1:22" x14ac:dyDescent="0.2">
      <c r="A21" s="60" t="s">
        <v>290</v>
      </c>
      <c r="B21" s="61" t="s">
        <v>291</v>
      </c>
      <c r="C21" s="61" t="s">
        <v>292</v>
      </c>
      <c r="D21" s="61" t="s">
        <v>331</v>
      </c>
      <c r="E21" s="62" t="s">
        <v>328</v>
      </c>
      <c r="F21" s="61" t="s">
        <v>329</v>
      </c>
      <c r="G21" s="61" t="s">
        <v>242</v>
      </c>
      <c r="H21" s="61" t="s">
        <v>12</v>
      </c>
      <c r="I21" s="61" t="s">
        <v>200</v>
      </c>
      <c r="J21" s="61" t="s">
        <v>291</v>
      </c>
      <c r="K21" s="61" t="s">
        <v>291</v>
      </c>
      <c r="L21" s="63">
        <v>14</v>
      </c>
      <c r="M21" s="63">
        <f>L21*VLOOKUP(H21,dagsoorttabel1,2,FALSE)</f>
        <v>11.254901960784315</v>
      </c>
      <c r="N21" s="64">
        <f>prodnorm34</f>
        <v>0</v>
      </c>
      <c r="O21" s="65">
        <f>dagwerk34</f>
        <v>0</v>
      </c>
      <c r="P21" s="61" t="s">
        <v>41</v>
      </c>
      <c r="Q21" s="66">
        <f>uurtarief34</f>
        <v>0</v>
      </c>
      <c r="R21" s="63" t="e">
        <f>IF(ISBLANK(N21),0,M21/ROUND(N21,4))</f>
        <v>#DIV/0!</v>
      </c>
      <c r="S21" s="63" t="e">
        <f>IF(ISBLANK(N21),0,R21*ROUND(O21,2))</f>
        <v>#DIV/0!</v>
      </c>
      <c r="T21" s="66" t="e">
        <f>ROUND(Q21,2)*R21</f>
        <v>#DIV/0!</v>
      </c>
      <c r="U21" s="63" t="e">
        <f>R21*dagenperjaar1</f>
        <v>#DIV/0!</v>
      </c>
      <c r="V21" s="67" t="e">
        <f>U21*ROUND(Q21,2)</f>
        <v>#DIV/0!</v>
      </c>
    </row>
    <row r="22" spans="1:22" x14ac:dyDescent="0.2">
      <c r="A22" s="60" t="s">
        <v>290</v>
      </c>
      <c r="B22" s="61" t="s">
        <v>291</v>
      </c>
      <c r="C22" s="61" t="s">
        <v>292</v>
      </c>
      <c r="D22" s="61" t="s">
        <v>332</v>
      </c>
      <c r="E22" s="62" t="s">
        <v>333</v>
      </c>
      <c r="F22" s="61" t="s">
        <v>329</v>
      </c>
      <c r="G22" s="61" t="s">
        <v>202</v>
      </c>
      <c r="H22" s="61" t="s">
        <v>12</v>
      </c>
      <c r="I22" s="61" t="s">
        <v>200</v>
      </c>
      <c r="J22" s="61" t="s">
        <v>291</v>
      </c>
      <c r="K22" s="61" t="s">
        <v>291</v>
      </c>
      <c r="L22" s="63">
        <v>11</v>
      </c>
      <c r="M22" s="63">
        <f>L22*VLOOKUP(H22,dagsoorttabel1,2,FALSE)</f>
        <v>8.8431372549019613</v>
      </c>
      <c r="N22" s="64">
        <f>prodnorm5</f>
        <v>0</v>
      </c>
      <c r="O22" s="65">
        <f>dagwerk5</f>
        <v>0</v>
      </c>
      <c r="P22" s="61" t="s">
        <v>41</v>
      </c>
      <c r="Q22" s="66">
        <f>uurtarief5</f>
        <v>0</v>
      </c>
      <c r="R22" s="63" t="e">
        <f>IF(ISBLANK(N22),0,M22/ROUND(N22,4))</f>
        <v>#DIV/0!</v>
      </c>
      <c r="S22" s="63" t="e">
        <f>IF(ISBLANK(N22),0,R22*ROUND(O22,2))</f>
        <v>#DIV/0!</v>
      </c>
      <c r="T22" s="66" t="e">
        <f>ROUND(Q22,2)*R22</f>
        <v>#DIV/0!</v>
      </c>
      <c r="U22" s="63" t="e">
        <f>R22*dagenperjaar1</f>
        <v>#DIV/0!</v>
      </c>
      <c r="V22" s="67" t="e">
        <f>U22*ROUND(Q22,2)</f>
        <v>#DIV/0!</v>
      </c>
    </row>
    <row r="23" spans="1:22" x14ac:dyDescent="0.2">
      <c r="A23" s="60" t="s">
        <v>290</v>
      </c>
      <c r="B23" s="61" t="s">
        <v>291</v>
      </c>
      <c r="C23" s="61" t="s">
        <v>292</v>
      </c>
      <c r="D23" s="61" t="s">
        <v>334</v>
      </c>
      <c r="E23" s="62" t="s">
        <v>335</v>
      </c>
      <c r="F23" s="61" t="s">
        <v>301</v>
      </c>
      <c r="G23" s="61" t="s">
        <v>262</v>
      </c>
      <c r="H23" s="61" t="s">
        <v>19</v>
      </c>
      <c r="I23" s="61" t="s">
        <v>200</v>
      </c>
      <c r="J23" s="61" t="s">
        <v>291</v>
      </c>
      <c r="K23" s="61" t="s">
        <v>291</v>
      </c>
      <c r="L23" s="63">
        <v>56</v>
      </c>
      <c r="M23" s="63">
        <f>L23*VLOOKUP(H23,dagsoorttabel1,2,FALSE)</f>
        <v>9.003921568627451</v>
      </c>
      <c r="N23" s="64">
        <f>prodnorm51</f>
        <v>0</v>
      </c>
      <c r="O23" s="65">
        <f>dagwerk51</f>
        <v>0</v>
      </c>
      <c r="P23" s="61" t="s">
        <v>41</v>
      </c>
      <c r="Q23" s="66">
        <f>uurtarief51</f>
        <v>0</v>
      </c>
      <c r="R23" s="63" t="e">
        <f>IF(ISBLANK(N23),0,M23/ROUND(N23,4))</f>
        <v>#DIV/0!</v>
      </c>
      <c r="S23" s="63" t="e">
        <f>IF(ISBLANK(N23),0,R23*ROUND(O23,2))</f>
        <v>#DIV/0!</v>
      </c>
      <c r="T23" s="66" t="e">
        <f>ROUND(Q23,2)*R23</f>
        <v>#DIV/0!</v>
      </c>
      <c r="U23" s="63" t="e">
        <f>R23*dagenperjaar1</f>
        <v>#DIV/0!</v>
      </c>
      <c r="V23" s="67" t="e">
        <f>U23*ROUND(Q23,2)</f>
        <v>#DIV/0!</v>
      </c>
    </row>
    <row r="24" spans="1:22" x14ac:dyDescent="0.2">
      <c r="A24" s="60" t="s">
        <v>290</v>
      </c>
      <c r="B24" s="61" t="s">
        <v>291</v>
      </c>
      <c r="C24" s="61" t="s">
        <v>292</v>
      </c>
      <c r="D24" s="61" t="s">
        <v>336</v>
      </c>
      <c r="E24" s="62" t="s">
        <v>337</v>
      </c>
      <c r="F24" s="61" t="s">
        <v>301</v>
      </c>
      <c r="G24" s="61" t="s">
        <v>254</v>
      </c>
      <c r="H24" s="61" t="s">
        <v>12</v>
      </c>
      <c r="I24" s="61" t="s">
        <v>200</v>
      </c>
      <c r="J24" s="61" t="s">
        <v>291</v>
      </c>
      <c r="K24" s="61" t="s">
        <v>291</v>
      </c>
      <c r="L24" s="63">
        <v>86</v>
      </c>
      <c r="M24" s="63">
        <f>L24*VLOOKUP(H24,dagsoorttabel1,2,FALSE)</f>
        <v>69.137254901960787</v>
      </c>
      <c r="N24" s="64">
        <f>prodnorm44</f>
        <v>0</v>
      </c>
      <c r="O24" s="65">
        <f>dagwerk44</f>
        <v>0</v>
      </c>
      <c r="P24" s="61" t="s">
        <v>41</v>
      </c>
      <c r="Q24" s="66">
        <f>uurtarief44</f>
        <v>0</v>
      </c>
      <c r="R24" s="63" t="e">
        <f>IF(ISBLANK(N24),0,M24/ROUND(N24,4))</f>
        <v>#DIV/0!</v>
      </c>
      <c r="S24" s="63" t="e">
        <f>IF(ISBLANK(N24),0,R24*ROUND(O24,2))</f>
        <v>#DIV/0!</v>
      </c>
      <c r="T24" s="66" t="e">
        <f>ROUND(Q24,2)*R24</f>
        <v>#DIV/0!</v>
      </c>
      <c r="U24" s="63" t="e">
        <f>R24*dagenperjaar1</f>
        <v>#DIV/0!</v>
      </c>
      <c r="V24" s="67" t="e">
        <f>U24*ROUND(Q24,2)</f>
        <v>#DIV/0!</v>
      </c>
    </row>
    <row r="25" spans="1:22" x14ac:dyDescent="0.2">
      <c r="A25" s="60" t="s">
        <v>290</v>
      </c>
      <c r="B25" s="61" t="s">
        <v>291</v>
      </c>
      <c r="C25" s="61" t="s">
        <v>292</v>
      </c>
      <c r="D25" s="61" t="s">
        <v>338</v>
      </c>
      <c r="E25" s="62" t="s">
        <v>339</v>
      </c>
      <c r="F25" s="61" t="s">
        <v>301</v>
      </c>
      <c r="G25" s="61" t="s">
        <v>199</v>
      </c>
      <c r="H25" s="61" t="s">
        <v>11</v>
      </c>
      <c r="I25" s="61" t="s">
        <v>200</v>
      </c>
      <c r="J25" s="61" t="s">
        <v>291</v>
      </c>
      <c r="K25" s="61" t="s">
        <v>291</v>
      </c>
      <c r="L25" s="63">
        <v>22</v>
      </c>
      <c r="M25" s="63">
        <f>L25*VLOOKUP(H25,dagsoorttabel1,2,FALSE)</f>
        <v>18.117647058823529</v>
      </c>
      <c r="N25" s="64">
        <f>prodnorm4</f>
        <v>0</v>
      </c>
      <c r="O25" s="65">
        <f>dagwerk4</f>
        <v>0</v>
      </c>
      <c r="P25" s="61" t="s">
        <v>41</v>
      </c>
      <c r="Q25" s="66">
        <f>uurtarief4</f>
        <v>0</v>
      </c>
      <c r="R25" s="63" t="e">
        <f>IF(ISBLANK(N25),0,M25/ROUND(N25,4))</f>
        <v>#DIV/0!</v>
      </c>
      <c r="S25" s="63" t="e">
        <f>IF(ISBLANK(N25),0,R25*ROUND(O25,2))</f>
        <v>#DIV/0!</v>
      </c>
      <c r="T25" s="66" t="e">
        <f>ROUND(Q25,2)*R25</f>
        <v>#DIV/0!</v>
      </c>
      <c r="U25" s="63" t="e">
        <f>R25*dagenperjaar1</f>
        <v>#DIV/0!</v>
      </c>
      <c r="V25" s="67" t="e">
        <f>U25*ROUND(Q25,2)</f>
        <v>#DIV/0!</v>
      </c>
    </row>
    <row r="26" spans="1:22" x14ac:dyDescent="0.2">
      <c r="A26" s="60" t="s">
        <v>290</v>
      </c>
      <c r="B26" s="61" t="s">
        <v>291</v>
      </c>
      <c r="C26" s="61" t="s">
        <v>292</v>
      </c>
      <c r="D26" s="61" t="s">
        <v>340</v>
      </c>
      <c r="E26" s="62" t="s">
        <v>341</v>
      </c>
      <c r="F26" s="61" t="s">
        <v>329</v>
      </c>
      <c r="G26" s="61" t="s">
        <v>202</v>
      </c>
      <c r="H26" s="61" t="s">
        <v>11</v>
      </c>
      <c r="I26" s="61" t="s">
        <v>200</v>
      </c>
      <c r="J26" s="61" t="s">
        <v>291</v>
      </c>
      <c r="K26" s="61" t="s">
        <v>291</v>
      </c>
      <c r="L26" s="63">
        <v>14</v>
      </c>
      <c r="M26" s="63">
        <f>L26*VLOOKUP(H26,dagsoorttabel1,2,FALSE)</f>
        <v>11.529411764705882</v>
      </c>
      <c r="N26" s="64">
        <f>prodnorm6</f>
        <v>0</v>
      </c>
      <c r="O26" s="65">
        <f>dagwerk6</f>
        <v>0</v>
      </c>
      <c r="P26" s="61" t="s">
        <v>41</v>
      </c>
      <c r="Q26" s="66">
        <f>uurtarief6</f>
        <v>0</v>
      </c>
      <c r="R26" s="63" t="e">
        <f>IF(ISBLANK(N26),0,M26/ROUND(N26,4))</f>
        <v>#DIV/0!</v>
      </c>
      <c r="S26" s="63" t="e">
        <f>IF(ISBLANK(N26),0,R26*ROUND(O26,2))</f>
        <v>#DIV/0!</v>
      </c>
      <c r="T26" s="66" t="e">
        <f>ROUND(Q26,2)*R26</f>
        <v>#DIV/0!</v>
      </c>
      <c r="U26" s="63" t="e">
        <f>R26*dagenperjaar1</f>
        <v>#DIV/0!</v>
      </c>
      <c r="V26" s="67" t="e">
        <f>U26*ROUND(Q26,2)</f>
        <v>#DIV/0!</v>
      </c>
    </row>
    <row r="27" spans="1:22" x14ac:dyDescent="0.2">
      <c r="A27" s="60" t="s">
        <v>290</v>
      </c>
      <c r="B27" s="61" t="s">
        <v>291</v>
      </c>
      <c r="C27" s="61" t="s">
        <v>292</v>
      </c>
      <c r="D27" s="61" t="s">
        <v>342</v>
      </c>
      <c r="E27" s="62" t="s">
        <v>341</v>
      </c>
      <c r="F27" s="61" t="s">
        <v>329</v>
      </c>
      <c r="G27" s="61" t="s">
        <v>202</v>
      </c>
      <c r="H27" s="61" t="s">
        <v>11</v>
      </c>
      <c r="I27" s="61" t="s">
        <v>200</v>
      </c>
      <c r="J27" s="61" t="s">
        <v>291</v>
      </c>
      <c r="K27" s="61" t="s">
        <v>291</v>
      </c>
      <c r="L27" s="63">
        <v>13</v>
      </c>
      <c r="M27" s="63">
        <f>L27*VLOOKUP(H27,dagsoorttabel1,2,FALSE)</f>
        <v>10.705882352941176</v>
      </c>
      <c r="N27" s="64">
        <f>prodnorm6</f>
        <v>0</v>
      </c>
      <c r="O27" s="65">
        <f>dagwerk6</f>
        <v>0</v>
      </c>
      <c r="P27" s="61" t="s">
        <v>41</v>
      </c>
      <c r="Q27" s="66">
        <f>uurtarief6</f>
        <v>0</v>
      </c>
      <c r="R27" s="63" t="e">
        <f>IF(ISBLANK(N27),0,M27/ROUND(N27,4))</f>
        <v>#DIV/0!</v>
      </c>
      <c r="S27" s="63" t="e">
        <f>IF(ISBLANK(N27),0,R27*ROUND(O27,2))</f>
        <v>#DIV/0!</v>
      </c>
      <c r="T27" s="66" t="e">
        <f>ROUND(Q27,2)*R27</f>
        <v>#DIV/0!</v>
      </c>
      <c r="U27" s="63" t="e">
        <f>R27*dagenperjaar1</f>
        <v>#DIV/0!</v>
      </c>
      <c r="V27" s="67" t="e">
        <f>U27*ROUND(Q27,2)</f>
        <v>#DIV/0!</v>
      </c>
    </row>
    <row r="28" spans="1:22" x14ac:dyDescent="0.2">
      <c r="A28" s="60" t="s">
        <v>290</v>
      </c>
      <c r="B28" s="61" t="s">
        <v>291</v>
      </c>
      <c r="C28" s="61" t="s">
        <v>292</v>
      </c>
      <c r="D28" s="61" t="s">
        <v>343</v>
      </c>
      <c r="E28" s="62" t="s">
        <v>344</v>
      </c>
      <c r="F28" s="61" t="s">
        <v>316</v>
      </c>
      <c r="G28" s="61" t="s">
        <v>250</v>
      </c>
      <c r="H28" s="61" t="s">
        <v>11</v>
      </c>
      <c r="I28" s="61" t="s">
        <v>200</v>
      </c>
      <c r="J28" s="61" t="s">
        <v>291</v>
      </c>
      <c r="K28" s="61" t="s">
        <v>291</v>
      </c>
      <c r="L28" s="63">
        <v>4</v>
      </c>
      <c r="M28" s="63">
        <f>L28*VLOOKUP(H28,dagsoorttabel1,2,FALSE)</f>
        <v>3.2941176470588234</v>
      </c>
      <c r="N28" s="64">
        <f>prodnorm40</f>
        <v>0</v>
      </c>
      <c r="O28" s="65">
        <f>dagwerk40</f>
        <v>0</v>
      </c>
      <c r="P28" s="61" t="s">
        <v>41</v>
      </c>
      <c r="Q28" s="66">
        <f>uurtarief40</f>
        <v>0</v>
      </c>
      <c r="R28" s="63" t="e">
        <f>IF(ISBLANK(N28),0,M28/ROUND(N28,4))</f>
        <v>#DIV/0!</v>
      </c>
      <c r="S28" s="63" t="e">
        <f>IF(ISBLANK(N28),0,R28*ROUND(O28,2))</f>
        <v>#DIV/0!</v>
      </c>
      <c r="T28" s="66" t="e">
        <f>ROUND(Q28,2)*R28</f>
        <v>#DIV/0!</v>
      </c>
      <c r="U28" s="63" t="e">
        <f>R28*dagenperjaar1</f>
        <v>#DIV/0!</v>
      </c>
      <c r="V28" s="67" t="e">
        <f>U28*ROUND(Q28,2)</f>
        <v>#DIV/0!</v>
      </c>
    </row>
    <row r="29" spans="1:22" x14ac:dyDescent="0.2">
      <c r="A29" s="60" t="s">
        <v>290</v>
      </c>
      <c r="B29" s="61" t="s">
        <v>291</v>
      </c>
      <c r="C29" s="61" t="s">
        <v>292</v>
      </c>
      <c r="D29" s="61" t="s">
        <v>345</v>
      </c>
      <c r="E29" s="62" t="s">
        <v>346</v>
      </c>
      <c r="F29" s="61" t="s">
        <v>316</v>
      </c>
      <c r="G29" s="61" t="s">
        <v>250</v>
      </c>
      <c r="H29" s="61" t="s">
        <v>11</v>
      </c>
      <c r="I29" s="61" t="s">
        <v>200</v>
      </c>
      <c r="J29" s="61" t="s">
        <v>291</v>
      </c>
      <c r="K29" s="61" t="s">
        <v>291</v>
      </c>
      <c r="L29" s="63">
        <v>6</v>
      </c>
      <c r="M29" s="63">
        <f>L29*VLOOKUP(H29,dagsoorttabel1,2,FALSE)</f>
        <v>4.9411764705882355</v>
      </c>
      <c r="N29" s="64">
        <f>prodnorm40</f>
        <v>0</v>
      </c>
      <c r="O29" s="65">
        <f>dagwerk40</f>
        <v>0</v>
      </c>
      <c r="P29" s="61" t="s">
        <v>41</v>
      </c>
      <c r="Q29" s="66">
        <f>uurtarief40</f>
        <v>0</v>
      </c>
      <c r="R29" s="63" t="e">
        <f>IF(ISBLANK(N29),0,M29/ROUND(N29,4))</f>
        <v>#DIV/0!</v>
      </c>
      <c r="S29" s="63" t="e">
        <f>IF(ISBLANK(N29),0,R29*ROUND(O29,2))</f>
        <v>#DIV/0!</v>
      </c>
      <c r="T29" s="66" t="e">
        <f>ROUND(Q29,2)*R29</f>
        <v>#DIV/0!</v>
      </c>
      <c r="U29" s="63" t="e">
        <f>R29*dagenperjaar1</f>
        <v>#DIV/0!</v>
      </c>
      <c r="V29" s="67" t="e">
        <f>U29*ROUND(Q29,2)</f>
        <v>#DIV/0!</v>
      </c>
    </row>
    <row r="30" spans="1:22" x14ac:dyDescent="0.2">
      <c r="A30" s="60" t="s">
        <v>290</v>
      </c>
      <c r="B30" s="61" t="s">
        <v>291</v>
      </c>
      <c r="C30" s="61" t="s">
        <v>292</v>
      </c>
      <c r="D30" s="61" t="s">
        <v>347</v>
      </c>
      <c r="E30" s="62" t="s">
        <v>348</v>
      </c>
      <c r="F30" s="61" t="s">
        <v>301</v>
      </c>
      <c r="G30" s="61" t="s">
        <v>254</v>
      </c>
      <c r="H30" s="61" t="s">
        <v>12</v>
      </c>
      <c r="I30" s="61" t="s">
        <v>200</v>
      </c>
      <c r="J30" s="61" t="s">
        <v>291</v>
      </c>
      <c r="K30" s="61" t="s">
        <v>291</v>
      </c>
      <c r="L30" s="63">
        <v>24</v>
      </c>
      <c r="M30" s="63">
        <f>L30*VLOOKUP(H30,dagsoorttabel1,2,FALSE)</f>
        <v>19.294117647058826</v>
      </c>
      <c r="N30" s="64">
        <f>prodnorm44</f>
        <v>0</v>
      </c>
      <c r="O30" s="65">
        <f>dagwerk44</f>
        <v>0</v>
      </c>
      <c r="P30" s="61" t="s">
        <v>41</v>
      </c>
      <c r="Q30" s="66">
        <f>uurtarief44</f>
        <v>0</v>
      </c>
      <c r="R30" s="63" t="e">
        <f>IF(ISBLANK(N30),0,M30/ROUND(N30,4))</f>
        <v>#DIV/0!</v>
      </c>
      <c r="S30" s="63" t="e">
        <f>IF(ISBLANK(N30),0,R30*ROUND(O30,2))</f>
        <v>#DIV/0!</v>
      </c>
      <c r="T30" s="66" t="e">
        <f>ROUND(Q30,2)*R30</f>
        <v>#DIV/0!</v>
      </c>
      <c r="U30" s="63" t="e">
        <f>R30*dagenperjaar1</f>
        <v>#DIV/0!</v>
      </c>
      <c r="V30" s="67" t="e">
        <f>U30*ROUND(Q30,2)</f>
        <v>#DIV/0!</v>
      </c>
    </row>
    <row r="31" spans="1:22" x14ac:dyDescent="0.2">
      <c r="A31" s="60" t="s">
        <v>290</v>
      </c>
      <c r="B31" s="61" t="s">
        <v>291</v>
      </c>
      <c r="C31" s="61" t="s">
        <v>292</v>
      </c>
      <c r="D31" s="61" t="s">
        <v>349</v>
      </c>
      <c r="E31" s="62" t="s">
        <v>350</v>
      </c>
      <c r="F31" s="61" t="s">
        <v>312</v>
      </c>
      <c r="G31" s="61" t="s">
        <v>248</v>
      </c>
      <c r="H31" s="61" t="s">
        <v>12</v>
      </c>
      <c r="I31" s="61" t="s">
        <v>200</v>
      </c>
      <c r="J31" s="61" t="s">
        <v>291</v>
      </c>
      <c r="K31" s="61" t="s">
        <v>291</v>
      </c>
      <c r="L31" s="63">
        <v>63</v>
      </c>
      <c r="M31" s="63">
        <f>L31*VLOOKUP(H31,dagsoorttabel1,2,FALSE)</f>
        <v>50.647058823529413</v>
      </c>
      <c r="N31" s="64">
        <f>prodnorm37</f>
        <v>0</v>
      </c>
      <c r="O31" s="65">
        <f>dagwerk37</f>
        <v>0</v>
      </c>
      <c r="P31" s="61" t="s">
        <v>41</v>
      </c>
      <c r="Q31" s="66">
        <f>uurtarief37</f>
        <v>0</v>
      </c>
      <c r="R31" s="63" t="e">
        <f>IF(ISBLANK(N31),0,M31/ROUND(N31,4))</f>
        <v>#DIV/0!</v>
      </c>
      <c r="S31" s="63" t="e">
        <f>IF(ISBLANK(N31),0,R31*ROUND(O31,2))</f>
        <v>#DIV/0!</v>
      </c>
      <c r="T31" s="66" t="e">
        <f>ROUND(Q31,2)*R31</f>
        <v>#DIV/0!</v>
      </c>
      <c r="U31" s="63" t="e">
        <f>R31*dagenperjaar1</f>
        <v>#DIV/0!</v>
      </c>
      <c r="V31" s="67" t="e">
        <f>U31*ROUND(Q31,2)</f>
        <v>#DIV/0!</v>
      </c>
    </row>
    <row r="32" spans="1:22" x14ac:dyDescent="0.2">
      <c r="A32" s="60" t="s">
        <v>290</v>
      </c>
      <c r="B32" s="61" t="s">
        <v>291</v>
      </c>
      <c r="C32" s="61" t="s">
        <v>292</v>
      </c>
      <c r="D32" s="61" t="s">
        <v>351</v>
      </c>
      <c r="E32" s="62" t="s">
        <v>352</v>
      </c>
      <c r="F32" s="61" t="s">
        <v>353</v>
      </c>
      <c r="G32" s="61" t="s">
        <v>270</v>
      </c>
      <c r="H32" s="61" t="s">
        <v>24</v>
      </c>
      <c r="I32" s="61" t="s">
        <v>271</v>
      </c>
      <c r="J32" s="61" t="s">
        <v>291</v>
      </c>
      <c r="K32" s="61" t="s">
        <v>291</v>
      </c>
      <c r="L32" s="63">
        <v>252</v>
      </c>
      <c r="M32" s="63">
        <f>L32*VLOOKUP(H32,dagsoorttabel1,2,FALSE)</f>
        <v>2.9647058823529413</v>
      </c>
      <c r="N32" s="64">
        <f>prodnorm1</f>
        <v>0</v>
      </c>
      <c r="O32" s="65">
        <f>dagwerk1</f>
        <v>0</v>
      </c>
      <c r="P32" s="61" t="s">
        <v>41</v>
      </c>
      <c r="Q32" s="66">
        <f>uurtarief1</f>
        <v>0</v>
      </c>
      <c r="R32" s="63" t="e">
        <f>IF(ISBLANK(N32),0,M32/ROUND(N32,4))</f>
        <v>#DIV/0!</v>
      </c>
      <c r="S32" s="63" t="e">
        <f>IF(ISBLANK(N32),0,R32*ROUND(O32,2))</f>
        <v>#DIV/0!</v>
      </c>
      <c r="T32" s="66" t="e">
        <f>ROUND(Q32,2)*R32</f>
        <v>#DIV/0!</v>
      </c>
      <c r="U32" s="63" t="e">
        <f>R32*dagenperjaar1</f>
        <v>#DIV/0!</v>
      </c>
      <c r="V32" s="67" t="e">
        <f>U32*ROUND(Q32,2)</f>
        <v>#DIV/0!</v>
      </c>
    </row>
    <row r="33" spans="1:22" x14ac:dyDescent="0.2">
      <c r="A33" s="60" t="s">
        <v>290</v>
      </c>
      <c r="B33" s="61" t="s">
        <v>291</v>
      </c>
      <c r="C33" s="61" t="s">
        <v>292</v>
      </c>
      <c r="D33" s="61" t="s">
        <v>351</v>
      </c>
      <c r="E33" s="62" t="s">
        <v>352</v>
      </c>
      <c r="F33" s="61" t="s">
        <v>353</v>
      </c>
      <c r="G33" s="61" t="s">
        <v>204</v>
      </c>
      <c r="H33" s="61" t="s">
        <v>12</v>
      </c>
      <c r="I33" s="61" t="s">
        <v>200</v>
      </c>
      <c r="J33" s="61" t="s">
        <v>291</v>
      </c>
      <c r="K33" s="61" t="s">
        <v>291</v>
      </c>
      <c r="L33" s="63">
        <v>252</v>
      </c>
      <c r="M33" s="63">
        <f>L33*VLOOKUP(H33,dagsoorttabel1,2,FALSE)</f>
        <v>202.58823529411765</v>
      </c>
      <c r="N33" s="64">
        <f>prodnorm7</f>
        <v>0</v>
      </c>
      <c r="O33" s="65">
        <f>dagwerk7</f>
        <v>0</v>
      </c>
      <c r="P33" s="61" t="s">
        <v>41</v>
      </c>
      <c r="Q33" s="66">
        <f>uurtarief7</f>
        <v>0</v>
      </c>
      <c r="R33" s="63" t="e">
        <f>IF(ISBLANK(N33),0,M33/ROUND(N33,4))</f>
        <v>#DIV/0!</v>
      </c>
      <c r="S33" s="63" t="e">
        <f>IF(ISBLANK(N33),0,R33*ROUND(O33,2))</f>
        <v>#DIV/0!</v>
      </c>
      <c r="T33" s="66" t="e">
        <f>ROUND(Q33,2)*R33</f>
        <v>#DIV/0!</v>
      </c>
      <c r="U33" s="63" t="e">
        <f>R33*dagenperjaar1</f>
        <v>#DIV/0!</v>
      </c>
      <c r="V33" s="67" t="e">
        <f>U33*ROUND(Q33,2)</f>
        <v>#DIV/0!</v>
      </c>
    </row>
    <row r="34" spans="1:22" x14ac:dyDescent="0.2">
      <c r="A34" s="60" t="s">
        <v>290</v>
      </c>
      <c r="B34" s="61" t="s">
        <v>291</v>
      </c>
      <c r="C34" s="61" t="s">
        <v>292</v>
      </c>
      <c r="D34" s="61" t="s">
        <v>354</v>
      </c>
      <c r="E34" s="62" t="s">
        <v>355</v>
      </c>
      <c r="F34" s="61" t="s">
        <v>353</v>
      </c>
      <c r="G34" s="61" t="s">
        <v>204</v>
      </c>
      <c r="H34" s="61" t="s">
        <v>12</v>
      </c>
      <c r="I34" s="61" t="s">
        <v>200</v>
      </c>
      <c r="J34" s="61" t="s">
        <v>291</v>
      </c>
      <c r="K34" s="61" t="s">
        <v>291</v>
      </c>
      <c r="L34" s="63">
        <v>36</v>
      </c>
      <c r="M34" s="63">
        <f>L34*VLOOKUP(H34,dagsoorttabel1,2,FALSE)</f>
        <v>28.941176470588236</v>
      </c>
      <c r="N34" s="64">
        <f>prodnorm7</f>
        <v>0</v>
      </c>
      <c r="O34" s="65">
        <f>dagwerk7</f>
        <v>0</v>
      </c>
      <c r="P34" s="61" t="s">
        <v>41</v>
      </c>
      <c r="Q34" s="66">
        <f>uurtarief7</f>
        <v>0</v>
      </c>
      <c r="R34" s="63" t="e">
        <f>IF(ISBLANK(N34),0,M34/ROUND(N34,4))</f>
        <v>#DIV/0!</v>
      </c>
      <c r="S34" s="63" t="e">
        <f>IF(ISBLANK(N34),0,R34*ROUND(O34,2))</f>
        <v>#DIV/0!</v>
      </c>
      <c r="T34" s="66" t="e">
        <f>ROUND(Q34,2)*R34</f>
        <v>#DIV/0!</v>
      </c>
      <c r="U34" s="63" t="e">
        <f>R34*dagenperjaar1</f>
        <v>#DIV/0!</v>
      </c>
      <c r="V34" s="67" t="e">
        <f>U34*ROUND(Q34,2)</f>
        <v>#DIV/0!</v>
      </c>
    </row>
    <row r="35" spans="1:22" x14ac:dyDescent="0.2">
      <c r="A35" s="60" t="s">
        <v>290</v>
      </c>
      <c r="B35" s="61" t="s">
        <v>291</v>
      </c>
      <c r="C35" s="61" t="s">
        <v>292</v>
      </c>
      <c r="D35" s="61" t="s">
        <v>356</v>
      </c>
      <c r="E35" s="62" t="s">
        <v>355</v>
      </c>
      <c r="F35" s="61" t="s">
        <v>357</v>
      </c>
      <c r="G35" s="61" t="s">
        <v>204</v>
      </c>
      <c r="H35" s="61" t="s">
        <v>12</v>
      </c>
      <c r="I35" s="61" t="s">
        <v>200</v>
      </c>
      <c r="J35" s="61" t="s">
        <v>291</v>
      </c>
      <c r="K35" s="61" t="s">
        <v>291</v>
      </c>
      <c r="L35" s="63">
        <v>26</v>
      </c>
      <c r="M35" s="63">
        <f>L35*VLOOKUP(H35,dagsoorttabel1,2,FALSE)</f>
        <v>20.901960784313726</v>
      </c>
      <c r="N35" s="64">
        <f>prodnorm7</f>
        <v>0</v>
      </c>
      <c r="O35" s="65">
        <f>dagwerk7</f>
        <v>0</v>
      </c>
      <c r="P35" s="61" t="s">
        <v>41</v>
      </c>
      <c r="Q35" s="66">
        <f>uurtarief7</f>
        <v>0</v>
      </c>
      <c r="R35" s="63" t="e">
        <f>IF(ISBLANK(N35),0,M35/ROUND(N35,4))</f>
        <v>#DIV/0!</v>
      </c>
      <c r="S35" s="63" t="e">
        <f>IF(ISBLANK(N35),0,R35*ROUND(O35,2))</f>
        <v>#DIV/0!</v>
      </c>
      <c r="T35" s="66" t="e">
        <f>ROUND(Q35,2)*R35</f>
        <v>#DIV/0!</v>
      </c>
      <c r="U35" s="63" t="e">
        <f>R35*dagenperjaar1</f>
        <v>#DIV/0!</v>
      </c>
      <c r="V35" s="67" t="e">
        <f>U35*ROUND(Q35,2)</f>
        <v>#DIV/0!</v>
      </c>
    </row>
    <row r="36" spans="1:22" x14ac:dyDescent="0.2">
      <c r="A36" s="60" t="s">
        <v>290</v>
      </c>
      <c r="B36" s="61" t="s">
        <v>291</v>
      </c>
      <c r="C36" s="61" t="s">
        <v>292</v>
      </c>
      <c r="D36" s="61" t="s">
        <v>358</v>
      </c>
      <c r="E36" s="62" t="s">
        <v>359</v>
      </c>
      <c r="F36" s="61" t="s">
        <v>301</v>
      </c>
      <c r="G36" s="61" t="s">
        <v>199</v>
      </c>
      <c r="H36" s="61" t="s">
        <v>12</v>
      </c>
      <c r="I36" s="61" t="s">
        <v>200</v>
      </c>
      <c r="J36" s="61" t="s">
        <v>291</v>
      </c>
      <c r="K36" s="61" t="s">
        <v>291</v>
      </c>
      <c r="L36" s="63">
        <v>7</v>
      </c>
      <c r="M36" s="63">
        <f>L36*VLOOKUP(H36,dagsoorttabel1,2,FALSE)</f>
        <v>5.6274509803921573</v>
      </c>
      <c r="N36" s="64">
        <f>prodnorm3</f>
        <v>0</v>
      </c>
      <c r="O36" s="65">
        <f>dagwerk3</f>
        <v>0</v>
      </c>
      <c r="P36" s="61" t="s">
        <v>41</v>
      </c>
      <c r="Q36" s="66">
        <f>uurtarief3</f>
        <v>0</v>
      </c>
      <c r="R36" s="63" t="e">
        <f>IF(ISBLANK(N36),0,M36/ROUND(N36,4))</f>
        <v>#DIV/0!</v>
      </c>
      <c r="S36" s="63" t="e">
        <f>IF(ISBLANK(N36),0,R36*ROUND(O36,2))</f>
        <v>#DIV/0!</v>
      </c>
      <c r="T36" s="66" t="e">
        <f>ROUND(Q36,2)*R36</f>
        <v>#DIV/0!</v>
      </c>
      <c r="U36" s="63" t="e">
        <f>R36*dagenperjaar1</f>
        <v>#DIV/0!</v>
      </c>
      <c r="V36" s="67" t="e">
        <f>U36*ROUND(Q36,2)</f>
        <v>#DIV/0!</v>
      </c>
    </row>
    <row r="37" spans="1:22" x14ac:dyDescent="0.2">
      <c r="A37" s="60" t="s">
        <v>290</v>
      </c>
      <c r="B37" s="61" t="s">
        <v>291</v>
      </c>
      <c r="C37" s="61" t="s">
        <v>292</v>
      </c>
      <c r="D37" s="61" t="s">
        <v>360</v>
      </c>
      <c r="E37" s="62" t="s">
        <v>359</v>
      </c>
      <c r="F37" s="61" t="s">
        <v>301</v>
      </c>
      <c r="G37" s="61" t="s">
        <v>199</v>
      </c>
      <c r="H37" s="61" t="s">
        <v>12</v>
      </c>
      <c r="I37" s="61" t="s">
        <v>200</v>
      </c>
      <c r="J37" s="61" t="s">
        <v>291</v>
      </c>
      <c r="K37" s="61" t="s">
        <v>291</v>
      </c>
      <c r="L37" s="63">
        <v>7</v>
      </c>
      <c r="M37" s="63">
        <f>L37*VLOOKUP(H37,dagsoorttabel1,2,FALSE)</f>
        <v>5.6274509803921573</v>
      </c>
      <c r="N37" s="64">
        <f>prodnorm3</f>
        <v>0</v>
      </c>
      <c r="O37" s="65">
        <f>dagwerk3</f>
        <v>0</v>
      </c>
      <c r="P37" s="61" t="s">
        <v>41</v>
      </c>
      <c r="Q37" s="66">
        <f>uurtarief3</f>
        <v>0</v>
      </c>
      <c r="R37" s="63" t="e">
        <f>IF(ISBLANK(N37),0,M37/ROUND(N37,4))</f>
        <v>#DIV/0!</v>
      </c>
      <c r="S37" s="63" t="e">
        <f>IF(ISBLANK(N37),0,R37*ROUND(O37,2))</f>
        <v>#DIV/0!</v>
      </c>
      <c r="T37" s="66" t="e">
        <f>ROUND(Q37,2)*R37</f>
        <v>#DIV/0!</v>
      </c>
      <c r="U37" s="63" t="e">
        <f>R37*dagenperjaar1</f>
        <v>#DIV/0!</v>
      </c>
      <c r="V37" s="67" t="e">
        <f>U37*ROUND(Q37,2)</f>
        <v>#DIV/0!</v>
      </c>
    </row>
    <row r="38" spans="1:22" x14ac:dyDescent="0.2">
      <c r="A38" s="60" t="s">
        <v>290</v>
      </c>
      <c r="B38" s="61" t="s">
        <v>291</v>
      </c>
      <c r="C38" s="61" t="s">
        <v>292</v>
      </c>
      <c r="D38" s="61" t="s">
        <v>361</v>
      </c>
      <c r="E38" s="62" t="s">
        <v>350</v>
      </c>
      <c r="F38" s="61" t="s">
        <v>312</v>
      </c>
      <c r="G38" s="61" t="s">
        <v>248</v>
      </c>
      <c r="H38" s="61" t="s">
        <v>12</v>
      </c>
      <c r="I38" s="61" t="s">
        <v>200</v>
      </c>
      <c r="J38" s="61" t="s">
        <v>291</v>
      </c>
      <c r="K38" s="61" t="s">
        <v>291</v>
      </c>
      <c r="L38" s="63">
        <v>63</v>
      </c>
      <c r="M38" s="63">
        <f>L38*VLOOKUP(H38,dagsoorttabel1,2,FALSE)</f>
        <v>50.647058823529413</v>
      </c>
      <c r="N38" s="64">
        <f>prodnorm37</f>
        <v>0</v>
      </c>
      <c r="O38" s="65">
        <f>dagwerk37</f>
        <v>0</v>
      </c>
      <c r="P38" s="61" t="s">
        <v>41</v>
      </c>
      <c r="Q38" s="66">
        <f>uurtarief37</f>
        <v>0</v>
      </c>
      <c r="R38" s="63" t="e">
        <f>IF(ISBLANK(N38),0,M38/ROUND(N38,4))</f>
        <v>#DIV/0!</v>
      </c>
      <c r="S38" s="63" t="e">
        <f>IF(ISBLANK(N38),0,R38*ROUND(O38,2))</f>
        <v>#DIV/0!</v>
      </c>
      <c r="T38" s="66" t="e">
        <f>ROUND(Q38,2)*R38</f>
        <v>#DIV/0!</v>
      </c>
      <c r="U38" s="63" t="e">
        <f>R38*dagenperjaar1</f>
        <v>#DIV/0!</v>
      </c>
      <c r="V38" s="67" t="e">
        <f>U38*ROUND(Q38,2)</f>
        <v>#DIV/0!</v>
      </c>
    </row>
    <row r="39" spans="1:22" x14ac:dyDescent="0.2">
      <c r="A39" s="60" t="s">
        <v>290</v>
      </c>
      <c r="B39" s="61" t="s">
        <v>291</v>
      </c>
      <c r="C39" s="61" t="s">
        <v>292</v>
      </c>
      <c r="D39" s="61" t="s">
        <v>362</v>
      </c>
      <c r="E39" s="62" t="s">
        <v>352</v>
      </c>
      <c r="F39" s="61" t="s">
        <v>353</v>
      </c>
      <c r="G39" s="61" t="s">
        <v>270</v>
      </c>
      <c r="H39" s="61" t="s">
        <v>24</v>
      </c>
      <c r="I39" s="61" t="s">
        <v>271</v>
      </c>
      <c r="J39" s="61" t="s">
        <v>291</v>
      </c>
      <c r="K39" s="61" t="s">
        <v>291</v>
      </c>
      <c r="L39" s="63">
        <v>252</v>
      </c>
      <c r="M39" s="63">
        <f>L39*VLOOKUP(H39,dagsoorttabel1,2,FALSE)</f>
        <v>2.9647058823529413</v>
      </c>
      <c r="N39" s="64">
        <f>prodnorm1</f>
        <v>0</v>
      </c>
      <c r="O39" s="65">
        <f>dagwerk1</f>
        <v>0</v>
      </c>
      <c r="P39" s="61" t="s">
        <v>41</v>
      </c>
      <c r="Q39" s="66">
        <f>uurtarief1</f>
        <v>0</v>
      </c>
      <c r="R39" s="63" t="e">
        <f>IF(ISBLANK(N39),0,M39/ROUND(N39,4))</f>
        <v>#DIV/0!</v>
      </c>
      <c r="S39" s="63" t="e">
        <f>IF(ISBLANK(N39),0,R39*ROUND(O39,2))</f>
        <v>#DIV/0!</v>
      </c>
      <c r="T39" s="66" t="e">
        <f>ROUND(Q39,2)*R39</f>
        <v>#DIV/0!</v>
      </c>
      <c r="U39" s="63" t="e">
        <f>R39*dagenperjaar1</f>
        <v>#DIV/0!</v>
      </c>
      <c r="V39" s="67" t="e">
        <f>U39*ROUND(Q39,2)</f>
        <v>#DIV/0!</v>
      </c>
    </row>
    <row r="40" spans="1:22" x14ac:dyDescent="0.2">
      <c r="A40" s="60" t="s">
        <v>290</v>
      </c>
      <c r="B40" s="61" t="s">
        <v>291</v>
      </c>
      <c r="C40" s="61" t="s">
        <v>292</v>
      </c>
      <c r="D40" s="61" t="s">
        <v>362</v>
      </c>
      <c r="E40" s="62" t="s">
        <v>352</v>
      </c>
      <c r="F40" s="61" t="s">
        <v>353</v>
      </c>
      <c r="G40" s="61" t="s">
        <v>204</v>
      </c>
      <c r="H40" s="61" t="s">
        <v>12</v>
      </c>
      <c r="I40" s="61" t="s">
        <v>200</v>
      </c>
      <c r="J40" s="61" t="s">
        <v>291</v>
      </c>
      <c r="K40" s="61" t="s">
        <v>291</v>
      </c>
      <c r="L40" s="63">
        <v>252</v>
      </c>
      <c r="M40" s="63">
        <f>L40*VLOOKUP(H40,dagsoorttabel1,2,FALSE)</f>
        <v>202.58823529411765</v>
      </c>
      <c r="N40" s="64">
        <f>prodnorm7</f>
        <v>0</v>
      </c>
      <c r="O40" s="65">
        <f>dagwerk7</f>
        <v>0</v>
      </c>
      <c r="P40" s="61" t="s">
        <v>41</v>
      </c>
      <c r="Q40" s="66">
        <f>uurtarief7</f>
        <v>0</v>
      </c>
      <c r="R40" s="63" t="e">
        <f>IF(ISBLANK(N40),0,M40/ROUND(N40,4))</f>
        <v>#DIV/0!</v>
      </c>
      <c r="S40" s="63" t="e">
        <f>IF(ISBLANK(N40),0,R40*ROUND(O40,2))</f>
        <v>#DIV/0!</v>
      </c>
      <c r="T40" s="66" t="e">
        <f>ROUND(Q40,2)*R40</f>
        <v>#DIV/0!</v>
      </c>
      <c r="U40" s="63" t="e">
        <f>R40*dagenperjaar1</f>
        <v>#DIV/0!</v>
      </c>
      <c r="V40" s="67" t="e">
        <f>U40*ROUND(Q40,2)</f>
        <v>#DIV/0!</v>
      </c>
    </row>
    <row r="41" spans="1:22" x14ac:dyDescent="0.2">
      <c r="A41" s="60" t="s">
        <v>290</v>
      </c>
      <c r="B41" s="61" t="s">
        <v>291</v>
      </c>
      <c r="C41" s="61" t="s">
        <v>292</v>
      </c>
      <c r="D41" s="61" t="s">
        <v>363</v>
      </c>
      <c r="E41" s="62" t="s">
        <v>355</v>
      </c>
      <c r="F41" s="61" t="s">
        <v>353</v>
      </c>
      <c r="G41" s="61" t="s">
        <v>204</v>
      </c>
      <c r="H41" s="61" t="s">
        <v>12</v>
      </c>
      <c r="I41" s="61" t="s">
        <v>200</v>
      </c>
      <c r="J41" s="61" t="s">
        <v>291</v>
      </c>
      <c r="K41" s="61" t="s">
        <v>291</v>
      </c>
      <c r="L41" s="63">
        <v>23</v>
      </c>
      <c r="M41" s="63">
        <f>L41*VLOOKUP(H41,dagsoorttabel1,2,FALSE)</f>
        <v>18.490196078431374</v>
      </c>
      <c r="N41" s="64">
        <f>prodnorm7</f>
        <v>0</v>
      </c>
      <c r="O41" s="65">
        <f>dagwerk7</f>
        <v>0</v>
      </c>
      <c r="P41" s="61" t="s">
        <v>41</v>
      </c>
      <c r="Q41" s="66">
        <f>uurtarief7</f>
        <v>0</v>
      </c>
      <c r="R41" s="63" t="e">
        <f>IF(ISBLANK(N41),0,M41/ROUND(N41,4))</f>
        <v>#DIV/0!</v>
      </c>
      <c r="S41" s="63" t="e">
        <f>IF(ISBLANK(N41),0,R41*ROUND(O41,2))</f>
        <v>#DIV/0!</v>
      </c>
      <c r="T41" s="66" t="e">
        <f>ROUND(Q41,2)*R41</f>
        <v>#DIV/0!</v>
      </c>
      <c r="U41" s="63" t="e">
        <f>R41*dagenperjaar1</f>
        <v>#DIV/0!</v>
      </c>
      <c r="V41" s="67" t="e">
        <f>U41*ROUND(Q41,2)</f>
        <v>#DIV/0!</v>
      </c>
    </row>
    <row r="42" spans="1:22" x14ac:dyDescent="0.2">
      <c r="A42" s="60" t="s">
        <v>290</v>
      </c>
      <c r="B42" s="61" t="s">
        <v>291</v>
      </c>
      <c r="C42" s="61" t="s">
        <v>292</v>
      </c>
      <c r="D42" s="61" t="s">
        <v>364</v>
      </c>
      <c r="E42" s="62" t="s">
        <v>365</v>
      </c>
      <c r="F42" s="61" t="s">
        <v>301</v>
      </c>
      <c r="G42" s="61" t="s">
        <v>208</v>
      </c>
      <c r="H42" s="61" t="s">
        <v>11</v>
      </c>
      <c r="I42" s="61" t="s">
        <v>200</v>
      </c>
      <c r="J42" s="61" t="s">
        <v>291</v>
      </c>
      <c r="K42" s="61" t="s">
        <v>291</v>
      </c>
      <c r="L42" s="63">
        <v>130</v>
      </c>
      <c r="M42" s="63">
        <f>L42*VLOOKUP(H42,dagsoorttabel1,2,FALSE)</f>
        <v>107.05882352941175</v>
      </c>
      <c r="N42" s="64">
        <f>prodnorm12</f>
        <v>0</v>
      </c>
      <c r="O42" s="65">
        <f>dagwerk12</f>
        <v>0</v>
      </c>
      <c r="P42" s="61" t="s">
        <v>41</v>
      </c>
      <c r="Q42" s="66">
        <f>uurtarief12</f>
        <v>0</v>
      </c>
      <c r="R42" s="63" t="e">
        <f>IF(ISBLANK(N42),0,M42/ROUND(N42,4))</f>
        <v>#DIV/0!</v>
      </c>
      <c r="S42" s="63" t="e">
        <f>IF(ISBLANK(N42),0,R42*ROUND(O42,2))</f>
        <v>#DIV/0!</v>
      </c>
      <c r="T42" s="66" t="e">
        <f>ROUND(Q42,2)*R42</f>
        <v>#DIV/0!</v>
      </c>
      <c r="U42" s="63" t="e">
        <f>R42*dagenperjaar1</f>
        <v>#DIV/0!</v>
      </c>
      <c r="V42" s="67" t="e">
        <f>U42*ROUND(Q42,2)</f>
        <v>#DIV/0!</v>
      </c>
    </row>
    <row r="43" spans="1:22" x14ac:dyDescent="0.2">
      <c r="A43" s="60" t="s">
        <v>290</v>
      </c>
      <c r="B43" s="61" t="s">
        <v>291</v>
      </c>
      <c r="C43" s="61" t="s">
        <v>292</v>
      </c>
      <c r="D43" s="61" t="s">
        <v>366</v>
      </c>
      <c r="E43" s="62" t="s">
        <v>367</v>
      </c>
      <c r="F43" s="61" t="s">
        <v>301</v>
      </c>
      <c r="G43" s="61" t="s">
        <v>216</v>
      </c>
      <c r="H43" s="61" t="s">
        <v>11</v>
      </c>
      <c r="I43" s="61" t="s">
        <v>200</v>
      </c>
      <c r="J43" s="61" t="s">
        <v>291</v>
      </c>
      <c r="K43" s="61" t="s">
        <v>291</v>
      </c>
      <c r="L43" s="63">
        <v>18</v>
      </c>
      <c r="M43" s="63">
        <f>L43*VLOOKUP(H43,dagsoorttabel1,2,FALSE)</f>
        <v>14.823529411764705</v>
      </c>
      <c r="N43" s="64">
        <f>prodnorm18</f>
        <v>0</v>
      </c>
      <c r="O43" s="65">
        <f>dagwerk18</f>
        <v>0</v>
      </c>
      <c r="P43" s="61" t="s">
        <v>41</v>
      </c>
      <c r="Q43" s="66">
        <f>uurtarief18</f>
        <v>0</v>
      </c>
      <c r="R43" s="63" t="e">
        <f>IF(ISBLANK(N43),0,M43/ROUND(N43,4))</f>
        <v>#DIV/0!</v>
      </c>
      <c r="S43" s="63" t="e">
        <f>IF(ISBLANK(N43),0,R43*ROUND(O43,2))</f>
        <v>#DIV/0!</v>
      </c>
      <c r="T43" s="66" t="e">
        <f>ROUND(Q43,2)*R43</f>
        <v>#DIV/0!</v>
      </c>
      <c r="U43" s="63" t="e">
        <f>R43*dagenperjaar1</f>
        <v>#DIV/0!</v>
      </c>
      <c r="V43" s="67" t="e">
        <f>U43*ROUND(Q43,2)</f>
        <v>#DIV/0!</v>
      </c>
    </row>
    <row r="44" spans="1:22" x14ac:dyDescent="0.2">
      <c r="A44" s="60" t="s">
        <v>290</v>
      </c>
      <c r="B44" s="61" t="s">
        <v>291</v>
      </c>
      <c r="C44" s="61" t="s">
        <v>292</v>
      </c>
      <c r="D44" s="61" t="s">
        <v>368</v>
      </c>
      <c r="E44" s="62" t="s">
        <v>369</v>
      </c>
      <c r="F44" s="61" t="s">
        <v>301</v>
      </c>
      <c r="G44" s="61" t="s">
        <v>199</v>
      </c>
      <c r="H44" s="61" t="s">
        <v>11</v>
      </c>
      <c r="I44" s="61" t="s">
        <v>200</v>
      </c>
      <c r="J44" s="61" t="s">
        <v>291</v>
      </c>
      <c r="K44" s="61" t="s">
        <v>291</v>
      </c>
      <c r="L44" s="63">
        <v>4</v>
      </c>
      <c r="M44" s="63">
        <f>L44*VLOOKUP(H44,dagsoorttabel1,2,FALSE)</f>
        <v>3.2941176470588234</v>
      </c>
      <c r="N44" s="64">
        <f>prodnorm4</f>
        <v>0</v>
      </c>
      <c r="O44" s="65">
        <f>dagwerk4</f>
        <v>0</v>
      </c>
      <c r="P44" s="61" t="s">
        <v>41</v>
      </c>
      <c r="Q44" s="66">
        <f>uurtarief4</f>
        <v>0</v>
      </c>
      <c r="R44" s="63" t="e">
        <f>IF(ISBLANK(N44),0,M44/ROUND(N44,4))</f>
        <v>#DIV/0!</v>
      </c>
      <c r="S44" s="63" t="e">
        <f>IF(ISBLANK(N44),0,R44*ROUND(O44,2))</f>
        <v>#DIV/0!</v>
      </c>
      <c r="T44" s="66" t="e">
        <f>ROUND(Q44,2)*R44</f>
        <v>#DIV/0!</v>
      </c>
      <c r="U44" s="63" t="e">
        <f>R44*dagenperjaar1</f>
        <v>#DIV/0!</v>
      </c>
      <c r="V44" s="67" t="e">
        <f>U44*ROUND(Q44,2)</f>
        <v>#DIV/0!</v>
      </c>
    </row>
    <row r="45" spans="1:22" x14ac:dyDescent="0.2">
      <c r="A45" s="60" t="s">
        <v>290</v>
      </c>
      <c r="B45" s="61" t="s">
        <v>291</v>
      </c>
      <c r="C45" s="61" t="s">
        <v>292</v>
      </c>
      <c r="D45" s="61" t="s">
        <v>370</v>
      </c>
      <c r="E45" s="62" t="s">
        <v>369</v>
      </c>
      <c r="F45" s="61" t="s">
        <v>301</v>
      </c>
      <c r="G45" s="61" t="s">
        <v>199</v>
      </c>
      <c r="H45" s="61" t="s">
        <v>11</v>
      </c>
      <c r="I45" s="61" t="s">
        <v>200</v>
      </c>
      <c r="J45" s="61" t="s">
        <v>291</v>
      </c>
      <c r="K45" s="61" t="s">
        <v>291</v>
      </c>
      <c r="L45" s="63">
        <v>4</v>
      </c>
      <c r="M45" s="63">
        <f>L45*VLOOKUP(H45,dagsoorttabel1,2,FALSE)</f>
        <v>3.2941176470588234</v>
      </c>
      <c r="N45" s="64">
        <f>prodnorm4</f>
        <v>0</v>
      </c>
      <c r="O45" s="65">
        <f>dagwerk4</f>
        <v>0</v>
      </c>
      <c r="P45" s="61" t="s">
        <v>41</v>
      </c>
      <c r="Q45" s="66">
        <f>uurtarief4</f>
        <v>0</v>
      </c>
      <c r="R45" s="63" t="e">
        <f>IF(ISBLANK(N45),0,M45/ROUND(N45,4))</f>
        <v>#DIV/0!</v>
      </c>
      <c r="S45" s="63" t="e">
        <f>IF(ISBLANK(N45),0,R45*ROUND(O45,2))</f>
        <v>#DIV/0!</v>
      </c>
      <c r="T45" s="66" t="e">
        <f>ROUND(Q45,2)*R45</f>
        <v>#DIV/0!</v>
      </c>
      <c r="U45" s="63" t="e">
        <f>R45*dagenperjaar1</f>
        <v>#DIV/0!</v>
      </c>
      <c r="V45" s="67" t="e">
        <f>U45*ROUND(Q45,2)</f>
        <v>#DIV/0!</v>
      </c>
    </row>
    <row r="46" spans="1:22" x14ac:dyDescent="0.2">
      <c r="A46" s="60" t="s">
        <v>290</v>
      </c>
      <c r="B46" s="61" t="s">
        <v>291</v>
      </c>
      <c r="C46" s="61" t="s">
        <v>292</v>
      </c>
      <c r="D46" s="61" t="s">
        <v>371</v>
      </c>
      <c r="E46" s="62" t="s">
        <v>372</v>
      </c>
      <c r="F46" s="61" t="s">
        <v>373</v>
      </c>
      <c r="G46" s="61" t="s">
        <v>212</v>
      </c>
      <c r="H46" s="61" t="s">
        <v>11</v>
      </c>
      <c r="I46" s="61" t="s">
        <v>200</v>
      </c>
      <c r="J46" s="61" t="s">
        <v>291</v>
      </c>
      <c r="K46" s="61" t="s">
        <v>291</v>
      </c>
      <c r="L46" s="63">
        <v>130</v>
      </c>
      <c r="M46" s="63">
        <f>L46*VLOOKUP(H46,dagsoorttabel1,2,FALSE)</f>
        <v>107.05882352941175</v>
      </c>
      <c r="N46" s="64">
        <f>prodnorm15</f>
        <v>0</v>
      </c>
      <c r="O46" s="65">
        <f>dagwerk15</f>
        <v>0</v>
      </c>
      <c r="P46" s="61" t="s">
        <v>41</v>
      </c>
      <c r="Q46" s="66">
        <f>uurtarief15</f>
        <v>0</v>
      </c>
      <c r="R46" s="63" t="e">
        <f>IF(ISBLANK(N46),0,M46/ROUND(N46,4))</f>
        <v>#DIV/0!</v>
      </c>
      <c r="S46" s="63" t="e">
        <f>IF(ISBLANK(N46),0,R46*ROUND(O46,2))</f>
        <v>#DIV/0!</v>
      </c>
      <c r="T46" s="66" t="e">
        <f>ROUND(Q46,2)*R46</f>
        <v>#DIV/0!</v>
      </c>
      <c r="U46" s="63" t="e">
        <f>R46*dagenperjaar1</f>
        <v>#DIV/0!</v>
      </c>
      <c r="V46" s="67" t="e">
        <f>U46*ROUND(Q46,2)</f>
        <v>#DIV/0!</v>
      </c>
    </row>
    <row r="47" spans="1:22" x14ac:dyDescent="0.2">
      <c r="A47" s="60" t="s">
        <v>290</v>
      </c>
      <c r="B47" s="61" t="s">
        <v>291</v>
      </c>
      <c r="C47" s="61" t="s">
        <v>292</v>
      </c>
      <c r="D47" s="61" t="s">
        <v>374</v>
      </c>
      <c r="E47" s="62" t="s">
        <v>375</v>
      </c>
      <c r="F47" s="61" t="s">
        <v>373</v>
      </c>
      <c r="G47" s="61" t="s">
        <v>202</v>
      </c>
      <c r="H47" s="61" t="s">
        <v>11</v>
      </c>
      <c r="I47" s="61" t="s">
        <v>200</v>
      </c>
      <c r="J47" s="61" t="s">
        <v>291</v>
      </c>
      <c r="K47" s="61" t="s">
        <v>291</v>
      </c>
      <c r="L47" s="63">
        <v>14</v>
      </c>
      <c r="M47" s="63">
        <f>L47*VLOOKUP(H47,dagsoorttabel1,2,FALSE)</f>
        <v>11.529411764705882</v>
      </c>
      <c r="N47" s="64">
        <f>prodnorm6</f>
        <v>0</v>
      </c>
      <c r="O47" s="65">
        <f>dagwerk6</f>
        <v>0</v>
      </c>
      <c r="P47" s="61" t="s">
        <v>41</v>
      </c>
      <c r="Q47" s="66">
        <f>uurtarief6</f>
        <v>0</v>
      </c>
      <c r="R47" s="63" t="e">
        <f>IF(ISBLANK(N47),0,M47/ROUND(N47,4))</f>
        <v>#DIV/0!</v>
      </c>
      <c r="S47" s="63" t="e">
        <f>IF(ISBLANK(N47),0,R47*ROUND(O47,2))</f>
        <v>#DIV/0!</v>
      </c>
      <c r="T47" s="66" t="e">
        <f>ROUND(Q47,2)*R47</f>
        <v>#DIV/0!</v>
      </c>
      <c r="U47" s="63" t="e">
        <f>R47*dagenperjaar1</f>
        <v>#DIV/0!</v>
      </c>
      <c r="V47" s="67" t="e">
        <f>U47*ROUND(Q47,2)</f>
        <v>#DIV/0!</v>
      </c>
    </row>
    <row r="48" spans="1:22" x14ac:dyDescent="0.2">
      <c r="A48" s="60" t="s">
        <v>290</v>
      </c>
      <c r="B48" s="61" t="s">
        <v>291</v>
      </c>
      <c r="C48" s="61" t="s">
        <v>292</v>
      </c>
      <c r="D48" s="61" t="s">
        <v>376</v>
      </c>
      <c r="E48" s="62" t="s">
        <v>375</v>
      </c>
      <c r="F48" s="61" t="s">
        <v>373</v>
      </c>
      <c r="G48" s="61" t="s">
        <v>202</v>
      </c>
      <c r="H48" s="61" t="s">
        <v>11</v>
      </c>
      <c r="I48" s="61" t="s">
        <v>200</v>
      </c>
      <c r="J48" s="61" t="s">
        <v>291</v>
      </c>
      <c r="K48" s="61" t="s">
        <v>291</v>
      </c>
      <c r="L48" s="63">
        <v>12</v>
      </c>
      <c r="M48" s="63">
        <f>L48*VLOOKUP(H48,dagsoorttabel1,2,FALSE)</f>
        <v>9.882352941176471</v>
      </c>
      <c r="N48" s="64">
        <f>prodnorm6</f>
        <v>0</v>
      </c>
      <c r="O48" s="65">
        <f>dagwerk6</f>
        <v>0</v>
      </c>
      <c r="P48" s="61" t="s">
        <v>41</v>
      </c>
      <c r="Q48" s="66">
        <f>uurtarief6</f>
        <v>0</v>
      </c>
      <c r="R48" s="63" t="e">
        <f>IF(ISBLANK(N48),0,M48/ROUND(N48,4))</f>
        <v>#DIV/0!</v>
      </c>
      <c r="S48" s="63" t="e">
        <f>IF(ISBLANK(N48),0,R48*ROUND(O48,2))</f>
        <v>#DIV/0!</v>
      </c>
      <c r="T48" s="66" t="e">
        <f>ROUND(Q48,2)*R48</f>
        <v>#DIV/0!</v>
      </c>
      <c r="U48" s="63" t="e">
        <f>R48*dagenperjaar1</f>
        <v>#DIV/0!</v>
      </c>
      <c r="V48" s="67" t="e">
        <f>U48*ROUND(Q48,2)</f>
        <v>#DIV/0!</v>
      </c>
    </row>
    <row r="49" spans="1:22" x14ac:dyDescent="0.2">
      <c r="A49" s="60" t="s">
        <v>290</v>
      </c>
      <c r="B49" s="61" t="s">
        <v>291</v>
      </c>
      <c r="C49" s="61" t="s">
        <v>292</v>
      </c>
      <c r="D49" s="61" t="s">
        <v>377</v>
      </c>
      <c r="E49" s="62" t="s">
        <v>375</v>
      </c>
      <c r="F49" s="61" t="s">
        <v>373</v>
      </c>
      <c r="G49" s="61" t="s">
        <v>202</v>
      </c>
      <c r="H49" s="61" t="s">
        <v>11</v>
      </c>
      <c r="I49" s="61" t="s">
        <v>200</v>
      </c>
      <c r="J49" s="61" t="s">
        <v>291</v>
      </c>
      <c r="K49" s="61" t="s">
        <v>291</v>
      </c>
      <c r="L49" s="63">
        <v>13</v>
      </c>
      <c r="M49" s="63">
        <f>L49*VLOOKUP(H49,dagsoorttabel1,2,FALSE)</f>
        <v>10.705882352941176</v>
      </c>
      <c r="N49" s="64">
        <f>prodnorm6</f>
        <v>0</v>
      </c>
      <c r="O49" s="65">
        <f>dagwerk6</f>
        <v>0</v>
      </c>
      <c r="P49" s="61" t="s">
        <v>41</v>
      </c>
      <c r="Q49" s="66">
        <f>uurtarief6</f>
        <v>0</v>
      </c>
      <c r="R49" s="63" t="e">
        <f>IF(ISBLANK(N49),0,M49/ROUND(N49,4))</f>
        <v>#DIV/0!</v>
      </c>
      <c r="S49" s="63" t="e">
        <f>IF(ISBLANK(N49),0,R49*ROUND(O49,2))</f>
        <v>#DIV/0!</v>
      </c>
      <c r="T49" s="66" t="e">
        <f>ROUND(Q49,2)*R49</f>
        <v>#DIV/0!</v>
      </c>
      <c r="U49" s="63" t="e">
        <f>R49*dagenperjaar1</f>
        <v>#DIV/0!</v>
      </c>
      <c r="V49" s="67" t="e">
        <f>U49*ROUND(Q49,2)</f>
        <v>#DIV/0!</v>
      </c>
    </row>
    <row r="50" spans="1:22" x14ac:dyDescent="0.2">
      <c r="A50" s="60" t="s">
        <v>290</v>
      </c>
      <c r="B50" s="61" t="s">
        <v>291</v>
      </c>
      <c r="C50" s="61" t="s">
        <v>292</v>
      </c>
      <c r="D50" s="61" t="s">
        <v>378</v>
      </c>
      <c r="E50" s="62" t="s">
        <v>379</v>
      </c>
      <c r="F50" s="61" t="s">
        <v>373</v>
      </c>
      <c r="G50" s="61" t="s">
        <v>220</v>
      </c>
      <c r="H50" s="61" t="s">
        <v>11</v>
      </c>
      <c r="I50" s="61" t="s">
        <v>200</v>
      </c>
      <c r="J50" s="61" t="s">
        <v>291</v>
      </c>
      <c r="K50" s="61" t="s">
        <v>291</v>
      </c>
      <c r="L50" s="63">
        <v>56</v>
      </c>
      <c r="M50" s="63">
        <f>L50*VLOOKUP(H50,dagsoorttabel1,2,FALSE)</f>
        <v>46.117647058823529</v>
      </c>
      <c r="N50" s="64">
        <f>prodnorm22</f>
        <v>0</v>
      </c>
      <c r="O50" s="65">
        <f>dagwerk22</f>
        <v>0</v>
      </c>
      <c r="P50" s="61" t="s">
        <v>41</v>
      </c>
      <c r="Q50" s="66">
        <f>uurtarief22</f>
        <v>0</v>
      </c>
      <c r="R50" s="63" t="e">
        <f>IF(ISBLANK(N50),0,M50/ROUND(N50,4))</f>
        <v>#DIV/0!</v>
      </c>
      <c r="S50" s="63" t="e">
        <f>IF(ISBLANK(N50),0,R50*ROUND(O50,2))</f>
        <v>#DIV/0!</v>
      </c>
      <c r="T50" s="66" t="e">
        <f>ROUND(Q50,2)*R50</f>
        <v>#DIV/0!</v>
      </c>
      <c r="U50" s="63" t="e">
        <f>R50*dagenperjaar1</f>
        <v>#DIV/0!</v>
      </c>
      <c r="V50" s="67" t="e">
        <f>U50*ROUND(Q50,2)</f>
        <v>#DIV/0!</v>
      </c>
    </row>
    <row r="51" spans="1:22" x14ac:dyDescent="0.2">
      <c r="A51" s="60" t="s">
        <v>290</v>
      </c>
      <c r="B51" s="61" t="s">
        <v>291</v>
      </c>
      <c r="C51" s="61" t="s">
        <v>292</v>
      </c>
      <c r="D51" s="61" t="s">
        <v>380</v>
      </c>
      <c r="E51" s="62" t="s">
        <v>381</v>
      </c>
      <c r="F51" s="61" t="s">
        <v>373</v>
      </c>
      <c r="G51" s="61" t="s">
        <v>202</v>
      </c>
      <c r="H51" s="61" t="s">
        <v>12</v>
      </c>
      <c r="I51" s="61" t="s">
        <v>200</v>
      </c>
      <c r="J51" s="61" t="s">
        <v>291</v>
      </c>
      <c r="K51" s="61" t="s">
        <v>291</v>
      </c>
      <c r="L51" s="63">
        <v>7</v>
      </c>
      <c r="M51" s="63">
        <f>L51*VLOOKUP(H51,dagsoorttabel1,2,FALSE)</f>
        <v>5.6274509803921573</v>
      </c>
      <c r="N51" s="64">
        <f>prodnorm5</f>
        <v>0</v>
      </c>
      <c r="O51" s="65">
        <f>dagwerk5</f>
        <v>0</v>
      </c>
      <c r="P51" s="61" t="s">
        <v>41</v>
      </c>
      <c r="Q51" s="66">
        <f>uurtarief5</f>
        <v>0</v>
      </c>
      <c r="R51" s="63" t="e">
        <f>IF(ISBLANK(N51),0,M51/ROUND(N51,4))</f>
        <v>#DIV/0!</v>
      </c>
      <c r="S51" s="63" t="e">
        <f>IF(ISBLANK(N51),0,R51*ROUND(O51,2))</f>
        <v>#DIV/0!</v>
      </c>
      <c r="T51" s="66" t="e">
        <f>ROUND(Q51,2)*R51</f>
        <v>#DIV/0!</v>
      </c>
      <c r="U51" s="63" t="e">
        <f>R51*dagenperjaar1</f>
        <v>#DIV/0!</v>
      </c>
      <c r="V51" s="67" t="e">
        <f>U51*ROUND(Q51,2)</f>
        <v>#DIV/0!</v>
      </c>
    </row>
    <row r="52" spans="1:22" x14ac:dyDescent="0.2">
      <c r="A52" s="60" t="s">
        <v>290</v>
      </c>
      <c r="B52" s="61" t="s">
        <v>291</v>
      </c>
      <c r="C52" s="61" t="s">
        <v>292</v>
      </c>
      <c r="D52" s="61" t="s">
        <v>382</v>
      </c>
      <c r="E52" s="62" t="s">
        <v>381</v>
      </c>
      <c r="F52" s="61" t="s">
        <v>373</v>
      </c>
      <c r="G52" s="61" t="s">
        <v>202</v>
      </c>
      <c r="H52" s="61" t="s">
        <v>12</v>
      </c>
      <c r="I52" s="61" t="s">
        <v>200</v>
      </c>
      <c r="J52" s="61" t="s">
        <v>291</v>
      </c>
      <c r="K52" s="61" t="s">
        <v>291</v>
      </c>
      <c r="L52" s="63">
        <v>7</v>
      </c>
      <c r="M52" s="63">
        <f>L52*VLOOKUP(H52,dagsoorttabel1,2,FALSE)</f>
        <v>5.6274509803921573</v>
      </c>
      <c r="N52" s="64">
        <f>prodnorm5</f>
        <v>0</v>
      </c>
      <c r="O52" s="65">
        <f>dagwerk5</f>
        <v>0</v>
      </c>
      <c r="P52" s="61" t="s">
        <v>41</v>
      </c>
      <c r="Q52" s="66">
        <f>uurtarief5</f>
        <v>0</v>
      </c>
      <c r="R52" s="63" t="e">
        <f>IF(ISBLANK(N52),0,M52/ROUND(N52,4))</f>
        <v>#DIV/0!</v>
      </c>
      <c r="S52" s="63" t="e">
        <f>IF(ISBLANK(N52),0,R52*ROUND(O52,2))</f>
        <v>#DIV/0!</v>
      </c>
      <c r="T52" s="66" t="e">
        <f>ROUND(Q52,2)*R52</f>
        <v>#DIV/0!</v>
      </c>
      <c r="U52" s="63" t="e">
        <f>R52*dagenperjaar1</f>
        <v>#DIV/0!</v>
      </c>
      <c r="V52" s="67" t="e">
        <f>U52*ROUND(Q52,2)</f>
        <v>#DIV/0!</v>
      </c>
    </row>
    <row r="53" spans="1:22" x14ac:dyDescent="0.2">
      <c r="A53" s="60" t="s">
        <v>290</v>
      </c>
      <c r="B53" s="61" t="s">
        <v>291</v>
      </c>
      <c r="C53" s="61" t="s">
        <v>292</v>
      </c>
      <c r="D53" s="61" t="s">
        <v>383</v>
      </c>
      <c r="E53" s="62" t="s">
        <v>381</v>
      </c>
      <c r="F53" s="61" t="s">
        <v>373</v>
      </c>
      <c r="G53" s="61" t="s">
        <v>202</v>
      </c>
      <c r="H53" s="61" t="s">
        <v>12</v>
      </c>
      <c r="I53" s="61" t="s">
        <v>200</v>
      </c>
      <c r="J53" s="61" t="s">
        <v>291</v>
      </c>
      <c r="K53" s="61" t="s">
        <v>291</v>
      </c>
      <c r="L53" s="63">
        <v>8</v>
      </c>
      <c r="M53" s="63">
        <f>L53*VLOOKUP(H53,dagsoorttabel1,2,FALSE)</f>
        <v>6.4313725490196081</v>
      </c>
      <c r="N53" s="64">
        <f>prodnorm5</f>
        <v>0</v>
      </c>
      <c r="O53" s="65">
        <f>dagwerk5</f>
        <v>0</v>
      </c>
      <c r="P53" s="61" t="s">
        <v>41</v>
      </c>
      <c r="Q53" s="66">
        <f>uurtarief5</f>
        <v>0</v>
      </c>
      <c r="R53" s="63" t="e">
        <f>IF(ISBLANK(N53),0,M53/ROUND(N53,4))</f>
        <v>#DIV/0!</v>
      </c>
      <c r="S53" s="63" t="e">
        <f>IF(ISBLANK(N53),0,R53*ROUND(O53,2))</f>
        <v>#DIV/0!</v>
      </c>
      <c r="T53" s="66" t="e">
        <f>ROUND(Q53,2)*R53</f>
        <v>#DIV/0!</v>
      </c>
      <c r="U53" s="63" t="e">
        <f>R53*dagenperjaar1</f>
        <v>#DIV/0!</v>
      </c>
      <c r="V53" s="67" t="e">
        <f>U53*ROUND(Q53,2)</f>
        <v>#DIV/0!</v>
      </c>
    </row>
    <row r="54" spans="1:22" x14ac:dyDescent="0.2">
      <c r="A54" s="60" t="s">
        <v>290</v>
      </c>
      <c r="B54" s="61" t="s">
        <v>291</v>
      </c>
      <c r="C54" s="61" t="s">
        <v>292</v>
      </c>
      <c r="D54" s="61" t="s">
        <v>384</v>
      </c>
      <c r="E54" s="62" t="s">
        <v>381</v>
      </c>
      <c r="F54" s="61" t="s">
        <v>373</v>
      </c>
      <c r="G54" s="61" t="s">
        <v>202</v>
      </c>
      <c r="H54" s="61" t="s">
        <v>12</v>
      </c>
      <c r="I54" s="61" t="s">
        <v>200</v>
      </c>
      <c r="J54" s="61" t="s">
        <v>291</v>
      </c>
      <c r="K54" s="61" t="s">
        <v>291</v>
      </c>
      <c r="L54" s="63">
        <v>8</v>
      </c>
      <c r="M54" s="63">
        <f>L54*VLOOKUP(H54,dagsoorttabel1,2,FALSE)</f>
        <v>6.4313725490196081</v>
      </c>
      <c r="N54" s="64">
        <f>prodnorm5</f>
        <v>0</v>
      </c>
      <c r="O54" s="65">
        <f>dagwerk5</f>
        <v>0</v>
      </c>
      <c r="P54" s="61" t="s">
        <v>41</v>
      </c>
      <c r="Q54" s="66">
        <f>uurtarief5</f>
        <v>0</v>
      </c>
      <c r="R54" s="63" t="e">
        <f>IF(ISBLANK(N54),0,M54/ROUND(N54,4))</f>
        <v>#DIV/0!</v>
      </c>
      <c r="S54" s="63" t="e">
        <f>IF(ISBLANK(N54),0,R54*ROUND(O54,2))</f>
        <v>#DIV/0!</v>
      </c>
      <c r="T54" s="66" t="e">
        <f>ROUND(Q54,2)*R54</f>
        <v>#DIV/0!</v>
      </c>
      <c r="U54" s="63" t="e">
        <f>R54*dagenperjaar1</f>
        <v>#DIV/0!</v>
      </c>
      <c r="V54" s="67" t="e">
        <f>U54*ROUND(Q54,2)</f>
        <v>#DIV/0!</v>
      </c>
    </row>
    <row r="55" spans="1:22" x14ac:dyDescent="0.2">
      <c r="A55" s="60" t="s">
        <v>290</v>
      </c>
      <c r="B55" s="61" t="s">
        <v>291</v>
      </c>
      <c r="C55" s="61" t="s">
        <v>292</v>
      </c>
      <c r="D55" s="61" t="s">
        <v>385</v>
      </c>
      <c r="E55" s="62" t="s">
        <v>337</v>
      </c>
      <c r="F55" s="61" t="s">
        <v>301</v>
      </c>
      <c r="G55" s="61" t="s">
        <v>254</v>
      </c>
      <c r="H55" s="61" t="s">
        <v>12</v>
      </c>
      <c r="I55" s="61" t="s">
        <v>200</v>
      </c>
      <c r="J55" s="61" t="s">
        <v>291</v>
      </c>
      <c r="K55" s="61" t="s">
        <v>291</v>
      </c>
      <c r="L55" s="63">
        <v>37</v>
      </c>
      <c r="M55" s="63">
        <f>L55*VLOOKUP(H55,dagsoorttabel1,2,FALSE)</f>
        <v>29.745098039215687</v>
      </c>
      <c r="N55" s="64">
        <f>prodnorm44</f>
        <v>0</v>
      </c>
      <c r="O55" s="65">
        <f>dagwerk44</f>
        <v>0</v>
      </c>
      <c r="P55" s="61" t="s">
        <v>41</v>
      </c>
      <c r="Q55" s="66">
        <f>uurtarief44</f>
        <v>0</v>
      </c>
      <c r="R55" s="63" t="e">
        <f>IF(ISBLANK(N55),0,M55/ROUND(N55,4))</f>
        <v>#DIV/0!</v>
      </c>
      <c r="S55" s="63" t="e">
        <f>IF(ISBLANK(N55),0,R55*ROUND(O55,2))</f>
        <v>#DIV/0!</v>
      </c>
      <c r="T55" s="66" t="e">
        <f>ROUND(Q55,2)*R55</f>
        <v>#DIV/0!</v>
      </c>
      <c r="U55" s="63" t="e">
        <f>R55*dagenperjaar1</f>
        <v>#DIV/0!</v>
      </c>
      <c r="V55" s="67" t="e">
        <f>U55*ROUND(Q55,2)</f>
        <v>#DIV/0!</v>
      </c>
    </row>
    <row r="56" spans="1:22" x14ac:dyDescent="0.2">
      <c r="A56" s="60" t="s">
        <v>290</v>
      </c>
      <c r="B56" s="61" t="s">
        <v>291</v>
      </c>
      <c r="C56" s="61" t="s">
        <v>292</v>
      </c>
      <c r="D56" s="61" t="s">
        <v>386</v>
      </c>
      <c r="E56" s="62" t="s">
        <v>381</v>
      </c>
      <c r="F56" s="61" t="s">
        <v>373</v>
      </c>
      <c r="G56" s="61" t="s">
        <v>202</v>
      </c>
      <c r="H56" s="61" t="s">
        <v>12</v>
      </c>
      <c r="I56" s="61" t="s">
        <v>200</v>
      </c>
      <c r="J56" s="61" t="s">
        <v>291</v>
      </c>
      <c r="K56" s="61" t="s">
        <v>291</v>
      </c>
      <c r="L56" s="63">
        <v>13</v>
      </c>
      <c r="M56" s="63">
        <f>L56*VLOOKUP(H56,dagsoorttabel1,2,FALSE)</f>
        <v>10.450980392156863</v>
      </c>
      <c r="N56" s="64">
        <f>prodnorm5</f>
        <v>0</v>
      </c>
      <c r="O56" s="65">
        <f>dagwerk5</f>
        <v>0</v>
      </c>
      <c r="P56" s="61" t="s">
        <v>41</v>
      </c>
      <c r="Q56" s="66">
        <f>uurtarief5</f>
        <v>0</v>
      </c>
      <c r="R56" s="63" t="e">
        <f>IF(ISBLANK(N56),0,M56/ROUND(N56,4))</f>
        <v>#DIV/0!</v>
      </c>
      <c r="S56" s="63" t="e">
        <f>IF(ISBLANK(N56),0,R56*ROUND(O56,2))</f>
        <v>#DIV/0!</v>
      </c>
      <c r="T56" s="66" t="e">
        <f>ROUND(Q56,2)*R56</f>
        <v>#DIV/0!</v>
      </c>
      <c r="U56" s="63" t="e">
        <f>R56*dagenperjaar1</f>
        <v>#DIV/0!</v>
      </c>
      <c r="V56" s="67" t="e">
        <f>U56*ROUND(Q56,2)</f>
        <v>#DIV/0!</v>
      </c>
    </row>
    <row r="57" spans="1:22" x14ac:dyDescent="0.2">
      <c r="A57" s="60" t="s">
        <v>290</v>
      </c>
      <c r="B57" s="61" t="s">
        <v>291</v>
      </c>
      <c r="C57" s="61" t="s">
        <v>292</v>
      </c>
      <c r="D57" s="61" t="s">
        <v>387</v>
      </c>
      <c r="E57" s="62" t="s">
        <v>381</v>
      </c>
      <c r="F57" s="61" t="s">
        <v>373</v>
      </c>
      <c r="G57" s="61" t="s">
        <v>202</v>
      </c>
      <c r="H57" s="61" t="s">
        <v>12</v>
      </c>
      <c r="I57" s="61" t="s">
        <v>200</v>
      </c>
      <c r="J57" s="61" t="s">
        <v>291</v>
      </c>
      <c r="K57" s="61" t="s">
        <v>291</v>
      </c>
      <c r="L57" s="63">
        <v>13</v>
      </c>
      <c r="M57" s="63">
        <f>L57*VLOOKUP(H57,dagsoorttabel1,2,FALSE)</f>
        <v>10.450980392156863</v>
      </c>
      <c r="N57" s="64">
        <f>prodnorm5</f>
        <v>0</v>
      </c>
      <c r="O57" s="65">
        <f>dagwerk5</f>
        <v>0</v>
      </c>
      <c r="P57" s="61" t="s">
        <v>41</v>
      </c>
      <c r="Q57" s="66">
        <f>uurtarief5</f>
        <v>0</v>
      </c>
      <c r="R57" s="63" t="e">
        <f>IF(ISBLANK(N57),0,M57/ROUND(N57,4))</f>
        <v>#DIV/0!</v>
      </c>
      <c r="S57" s="63" t="e">
        <f>IF(ISBLANK(N57),0,R57*ROUND(O57,2))</f>
        <v>#DIV/0!</v>
      </c>
      <c r="T57" s="66" t="e">
        <f>ROUND(Q57,2)*R57</f>
        <v>#DIV/0!</v>
      </c>
      <c r="U57" s="63" t="e">
        <f>R57*dagenperjaar1</f>
        <v>#DIV/0!</v>
      </c>
      <c r="V57" s="67" t="e">
        <f>U57*ROUND(Q57,2)</f>
        <v>#DIV/0!</v>
      </c>
    </row>
    <row r="58" spans="1:22" x14ac:dyDescent="0.2">
      <c r="A58" s="60" t="s">
        <v>290</v>
      </c>
      <c r="B58" s="61" t="s">
        <v>291</v>
      </c>
      <c r="C58" s="61" t="s">
        <v>292</v>
      </c>
      <c r="D58" s="61" t="s">
        <v>388</v>
      </c>
      <c r="E58" s="62" t="s">
        <v>381</v>
      </c>
      <c r="F58" s="61" t="s">
        <v>373</v>
      </c>
      <c r="G58" s="61" t="s">
        <v>202</v>
      </c>
      <c r="H58" s="61" t="s">
        <v>12</v>
      </c>
      <c r="I58" s="61" t="s">
        <v>200</v>
      </c>
      <c r="J58" s="61" t="s">
        <v>291</v>
      </c>
      <c r="K58" s="61" t="s">
        <v>291</v>
      </c>
      <c r="L58" s="63">
        <v>10</v>
      </c>
      <c r="M58" s="63">
        <f>L58*VLOOKUP(H58,dagsoorttabel1,2,FALSE)</f>
        <v>8.0392156862745097</v>
      </c>
      <c r="N58" s="64">
        <f>prodnorm5</f>
        <v>0</v>
      </c>
      <c r="O58" s="65">
        <f>dagwerk5</f>
        <v>0</v>
      </c>
      <c r="P58" s="61" t="s">
        <v>41</v>
      </c>
      <c r="Q58" s="66">
        <f>uurtarief5</f>
        <v>0</v>
      </c>
      <c r="R58" s="63" t="e">
        <f>IF(ISBLANK(N58),0,M58/ROUND(N58,4))</f>
        <v>#DIV/0!</v>
      </c>
      <c r="S58" s="63" t="e">
        <f>IF(ISBLANK(N58),0,R58*ROUND(O58,2))</f>
        <v>#DIV/0!</v>
      </c>
      <c r="T58" s="66" t="e">
        <f>ROUND(Q58,2)*R58</f>
        <v>#DIV/0!</v>
      </c>
      <c r="U58" s="63" t="e">
        <f>R58*dagenperjaar1</f>
        <v>#DIV/0!</v>
      </c>
      <c r="V58" s="67" t="e">
        <f>U58*ROUND(Q58,2)</f>
        <v>#DIV/0!</v>
      </c>
    </row>
    <row r="59" spans="1:22" x14ac:dyDescent="0.2">
      <c r="A59" s="60" t="s">
        <v>290</v>
      </c>
      <c r="B59" s="61" t="s">
        <v>291</v>
      </c>
      <c r="C59" s="61" t="s">
        <v>292</v>
      </c>
      <c r="D59" s="61" t="s">
        <v>389</v>
      </c>
      <c r="E59" s="62" t="s">
        <v>390</v>
      </c>
      <c r="F59" s="61" t="s">
        <v>301</v>
      </c>
      <c r="G59" s="61" t="s">
        <v>222</v>
      </c>
      <c r="H59" s="61" t="s">
        <v>12</v>
      </c>
      <c r="I59" s="61" t="s">
        <v>200</v>
      </c>
      <c r="J59" s="61" t="s">
        <v>291</v>
      </c>
      <c r="K59" s="61" t="s">
        <v>291</v>
      </c>
      <c r="L59" s="63">
        <v>53</v>
      </c>
      <c r="M59" s="63">
        <f>L59*VLOOKUP(H59,dagsoorttabel1,2,FALSE)</f>
        <v>42.607843137254903</v>
      </c>
      <c r="N59" s="64">
        <f>prodnorm23</f>
        <v>0</v>
      </c>
      <c r="O59" s="65">
        <f>dagwerk23</f>
        <v>0</v>
      </c>
      <c r="P59" s="61" t="s">
        <v>41</v>
      </c>
      <c r="Q59" s="66">
        <f>uurtarief23</f>
        <v>0</v>
      </c>
      <c r="R59" s="63" t="e">
        <f>IF(ISBLANK(N59),0,M59/ROUND(N59,4))</f>
        <v>#DIV/0!</v>
      </c>
      <c r="S59" s="63" t="e">
        <f>IF(ISBLANK(N59),0,R59*ROUND(O59,2))</f>
        <v>#DIV/0!</v>
      </c>
      <c r="T59" s="66" t="e">
        <f>ROUND(Q59,2)*R59</f>
        <v>#DIV/0!</v>
      </c>
      <c r="U59" s="63" t="e">
        <f>R59*dagenperjaar1</f>
        <v>#DIV/0!</v>
      </c>
      <c r="V59" s="67" t="e">
        <f>U59*ROUND(Q59,2)</f>
        <v>#DIV/0!</v>
      </c>
    </row>
    <row r="60" spans="1:22" x14ac:dyDescent="0.2">
      <c r="A60" s="60" t="s">
        <v>290</v>
      </c>
      <c r="B60" s="61" t="s">
        <v>291</v>
      </c>
      <c r="C60" s="61" t="s">
        <v>292</v>
      </c>
      <c r="D60" s="61" t="s">
        <v>391</v>
      </c>
      <c r="E60" s="62" t="s">
        <v>392</v>
      </c>
      <c r="F60" s="61" t="s">
        <v>393</v>
      </c>
      <c r="G60" s="61" t="s">
        <v>218</v>
      </c>
      <c r="H60" s="61" t="s">
        <v>12</v>
      </c>
      <c r="I60" s="61" t="s">
        <v>200</v>
      </c>
      <c r="J60" s="61" t="s">
        <v>291</v>
      </c>
      <c r="K60" s="61" t="s">
        <v>291</v>
      </c>
      <c r="L60" s="63">
        <v>23</v>
      </c>
      <c r="M60" s="63">
        <f>L60*VLOOKUP(H60,dagsoorttabel1,2,FALSE)</f>
        <v>18.490196078431374</v>
      </c>
      <c r="N60" s="64">
        <f>prodnorm19</f>
        <v>0</v>
      </c>
      <c r="O60" s="65">
        <f>dagwerk19</f>
        <v>0</v>
      </c>
      <c r="P60" s="61" t="s">
        <v>41</v>
      </c>
      <c r="Q60" s="66">
        <f>uurtarief19</f>
        <v>0</v>
      </c>
      <c r="R60" s="63" t="e">
        <f>IF(ISBLANK(N60),0,M60/ROUND(N60,4))</f>
        <v>#DIV/0!</v>
      </c>
      <c r="S60" s="63" t="e">
        <f>IF(ISBLANK(N60),0,R60*ROUND(O60,2))</f>
        <v>#DIV/0!</v>
      </c>
      <c r="T60" s="66" t="e">
        <f>ROUND(Q60,2)*R60</f>
        <v>#DIV/0!</v>
      </c>
      <c r="U60" s="63" t="e">
        <f>R60*dagenperjaar1</f>
        <v>#DIV/0!</v>
      </c>
      <c r="V60" s="67" t="e">
        <f>U60*ROUND(Q60,2)</f>
        <v>#DIV/0!</v>
      </c>
    </row>
    <row r="61" spans="1:22" ht="25.2" x14ac:dyDescent="0.2">
      <c r="A61" s="60" t="s">
        <v>290</v>
      </c>
      <c r="B61" s="61" t="s">
        <v>291</v>
      </c>
      <c r="C61" s="61" t="s">
        <v>292</v>
      </c>
      <c r="D61" s="61" t="s">
        <v>394</v>
      </c>
      <c r="E61" s="62" t="s">
        <v>395</v>
      </c>
      <c r="F61" s="61" t="s">
        <v>301</v>
      </c>
      <c r="G61" s="61" t="s">
        <v>222</v>
      </c>
      <c r="H61" s="61" t="s">
        <v>12</v>
      </c>
      <c r="I61" s="61" t="s">
        <v>200</v>
      </c>
      <c r="J61" s="61" t="s">
        <v>291</v>
      </c>
      <c r="K61" s="61" t="s">
        <v>291</v>
      </c>
      <c r="L61" s="63">
        <v>339</v>
      </c>
      <c r="M61" s="63">
        <f>L61*VLOOKUP(H61,dagsoorttabel1,2,FALSE)</f>
        <v>272.52941176470591</v>
      </c>
      <c r="N61" s="64">
        <f>prodnorm23</f>
        <v>0</v>
      </c>
      <c r="O61" s="65">
        <f>dagwerk23</f>
        <v>0</v>
      </c>
      <c r="P61" s="61" t="s">
        <v>41</v>
      </c>
      <c r="Q61" s="66">
        <f>uurtarief23</f>
        <v>0</v>
      </c>
      <c r="R61" s="63" t="e">
        <f>IF(ISBLANK(N61),0,M61/ROUND(N61,4))</f>
        <v>#DIV/0!</v>
      </c>
      <c r="S61" s="63" t="e">
        <f>IF(ISBLANK(N61),0,R61*ROUND(O61,2))</f>
        <v>#DIV/0!</v>
      </c>
      <c r="T61" s="66" t="e">
        <f>ROUND(Q61,2)*R61</f>
        <v>#DIV/0!</v>
      </c>
      <c r="U61" s="63" t="e">
        <f>R61*dagenperjaar1</f>
        <v>#DIV/0!</v>
      </c>
      <c r="V61" s="67" t="e">
        <f>U61*ROUND(Q61,2)</f>
        <v>#DIV/0!</v>
      </c>
    </row>
    <row r="62" spans="1:22" ht="25.2" x14ac:dyDescent="0.2">
      <c r="A62" s="60" t="s">
        <v>290</v>
      </c>
      <c r="B62" s="61" t="s">
        <v>291</v>
      </c>
      <c r="C62" s="61" t="s">
        <v>292</v>
      </c>
      <c r="D62" s="61" t="s">
        <v>396</v>
      </c>
      <c r="E62" s="62" t="s">
        <v>395</v>
      </c>
      <c r="F62" s="61" t="s">
        <v>301</v>
      </c>
      <c r="G62" s="61" t="s">
        <v>222</v>
      </c>
      <c r="H62" s="61" t="s">
        <v>12</v>
      </c>
      <c r="I62" s="61" t="s">
        <v>200</v>
      </c>
      <c r="J62" s="61" t="s">
        <v>291</v>
      </c>
      <c r="K62" s="61" t="s">
        <v>291</v>
      </c>
      <c r="L62" s="63">
        <v>53</v>
      </c>
      <c r="M62" s="63">
        <f>L62*VLOOKUP(H62,dagsoorttabel1,2,FALSE)</f>
        <v>42.607843137254903</v>
      </c>
      <c r="N62" s="64">
        <f>prodnorm23</f>
        <v>0</v>
      </c>
      <c r="O62" s="65">
        <f>dagwerk23</f>
        <v>0</v>
      </c>
      <c r="P62" s="61" t="s">
        <v>41</v>
      </c>
      <c r="Q62" s="66">
        <f>uurtarief23</f>
        <v>0</v>
      </c>
      <c r="R62" s="63" t="e">
        <f>IF(ISBLANK(N62),0,M62/ROUND(N62,4))</f>
        <v>#DIV/0!</v>
      </c>
      <c r="S62" s="63" t="e">
        <f>IF(ISBLANK(N62),0,R62*ROUND(O62,2))</f>
        <v>#DIV/0!</v>
      </c>
      <c r="T62" s="66" t="e">
        <f>ROUND(Q62,2)*R62</f>
        <v>#DIV/0!</v>
      </c>
      <c r="U62" s="63" t="e">
        <f>R62*dagenperjaar1</f>
        <v>#DIV/0!</v>
      </c>
      <c r="V62" s="67" t="e">
        <f>U62*ROUND(Q62,2)</f>
        <v>#DIV/0!</v>
      </c>
    </row>
    <row r="63" spans="1:22" x14ac:dyDescent="0.2">
      <c r="A63" s="60" t="s">
        <v>290</v>
      </c>
      <c r="B63" s="61" t="s">
        <v>291</v>
      </c>
      <c r="C63" s="61" t="s">
        <v>292</v>
      </c>
      <c r="D63" s="61" t="s">
        <v>397</v>
      </c>
      <c r="E63" s="62" t="s">
        <v>337</v>
      </c>
      <c r="F63" s="61" t="s">
        <v>301</v>
      </c>
      <c r="G63" s="61" t="s">
        <v>254</v>
      </c>
      <c r="H63" s="61" t="s">
        <v>12</v>
      </c>
      <c r="I63" s="61" t="s">
        <v>200</v>
      </c>
      <c r="J63" s="61" t="s">
        <v>291</v>
      </c>
      <c r="K63" s="61" t="s">
        <v>291</v>
      </c>
      <c r="L63" s="63">
        <v>29</v>
      </c>
      <c r="M63" s="63">
        <f>L63*VLOOKUP(H63,dagsoorttabel1,2,FALSE)</f>
        <v>23.313725490196081</v>
      </c>
      <c r="N63" s="64">
        <f>prodnorm44</f>
        <v>0</v>
      </c>
      <c r="O63" s="65">
        <f>dagwerk44</f>
        <v>0</v>
      </c>
      <c r="P63" s="61" t="s">
        <v>41</v>
      </c>
      <c r="Q63" s="66">
        <f>uurtarief44</f>
        <v>0</v>
      </c>
      <c r="R63" s="63" t="e">
        <f>IF(ISBLANK(N63),0,M63/ROUND(N63,4))</f>
        <v>#DIV/0!</v>
      </c>
      <c r="S63" s="63" t="e">
        <f>IF(ISBLANK(N63),0,R63*ROUND(O63,2))</f>
        <v>#DIV/0!</v>
      </c>
      <c r="T63" s="66" t="e">
        <f>ROUND(Q63,2)*R63</f>
        <v>#DIV/0!</v>
      </c>
      <c r="U63" s="63" t="e">
        <f>R63*dagenperjaar1</f>
        <v>#DIV/0!</v>
      </c>
      <c r="V63" s="67" t="e">
        <f>U63*ROUND(Q63,2)</f>
        <v>#DIV/0!</v>
      </c>
    </row>
    <row r="64" spans="1:22" x14ac:dyDescent="0.2">
      <c r="A64" s="60" t="s">
        <v>290</v>
      </c>
      <c r="B64" s="61" t="s">
        <v>291</v>
      </c>
      <c r="C64" s="61" t="s">
        <v>292</v>
      </c>
      <c r="D64" s="61" t="s">
        <v>398</v>
      </c>
      <c r="E64" s="62" t="s">
        <v>337</v>
      </c>
      <c r="F64" s="61" t="s">
        <v>301</v>
      </c>
      <c r="G64" s="61" t="s">
        <v>254</v>
      </c>
      <c r="H64" s="61" t="s">
        <v>12</v>
      </c>
      <c r="I64" s="61" t="s">
        <v>200</v>
      </c>
      <c r="J64" s="61" t="s">
        <v>291</v>
      </c>
      <c r="K64" s="61" t="s">
        <v>291</v>
      </c>
      <c r="L64" s="63">
        <v>26</v>
      </c>
      <c r="M64" s="63">
        <f>L64*VLOOKUP(H64,dagsoorttabel1,2,FALSE)</f>
        <v>20.901960784313726</v>
      </c>
      <c r="N64" s="64">
        <f>prodnorm44</f>
        <v>0</v>
      </c>
      <c r="O64" s="65">
        <f>dagwerk44</f>
        <v>0</v>
      </c>
      <c r="P64" s="61" t="s">
        <v>41</v>
      </c>
      <c r="Q64" s="66">
        <f>uurtarief44</f>
        <v>0</v>
      </c>
      <c r="R64" s="63" t="e">
        <f>IF(ISBLANK(N64),0,M64/ROUND(N64,4))</f>
        <v>#DIV/0!</v>
      </c>
      <c r="S64" s="63" t="e">
        <f>IF(ISBLANK(N64),0,R64*ROUND(O64,2))</f>
        <v>#DIV/0!</v>
      </c>
      <c r="T64" s="66" t="e">
        <f>ROUND(Q64,2)*R64</f>
        <v>#DIV/0!</v>
      </c>
      <c r="U64" s="63" t="e">
        <f>R64*dagenperjaar1</f>
        <v>#DIV/0!</v>
      </c>
      <c r="V64" s="67" t="e">
        <f>U64*ROUND(Q64,2)</f>
        <v>#DIV/0!</v>
      </c>
    </row>
    <row r="65" spans="1:22" x14ac:dyDescent="0.2">
      <c r="A65" s="60" t="s">
        <v>290</v>
      </c>
      <c r="B65" s="61" t="s">
        <v>291</v>
      </c>
      <c r="C65" s="61" t="s">
        <v>292</v>
      </c>
      <c r="D65" s="61" t="s">
        <v>399</v>
      </c>
      <c r="E65" s="62" t="s">
        <v>400</v>
      </c>
      <c r="F65" s="61" t="s">
        <v>312</v>
      </c>
      <c r="G65" s="61" t="s">
        <v>250</v>
      </c>
      <c r="H65" s="61" t="s">
        <v>12</v>
      </c>
      <c r="I65" s="61" t="s">
        <v>200</v>
      </c>
      <c r="J65" s="61" t="s">
        <v>291</v>
      </c>
      <c r="K65" s="61" t="s">
        <v>291</v>
      </c>
      <c r="L65" s="63">
        <v>8</v>
      </c>
      <c r="M65" s="63">
        <f>L65*VLOOKUP(H65,dagsoorttabel1,2,FALSE)</f>
        <v>6.4313725490196081</v>
      </c>
      <c r="N65" s="64">
        <f>prodnorm39</f>
        <v>0</v>
      </c>
      <c r="O65" s="65">
        <f>dagwerk39</f>
        <v>0</v>
      </c>
      <c r="P65" s="61" t="s">
        <v>41</v>
      </c>
      <c r="Q65" s="66">
        <f>uurtarief39</f>
        <v>0</v>
      </c>
      <c r="R65" s="63" t="e">
        <f>IF(ISBLANK(N65),0,M65/ROUND(N65,4))</f>
        <v>#DIV/0!</v>
      </c>
      <c r="S65" s="63" t="e">
        <f>IF(ISBLANK(N65),0,R65*ROUND(O65,2))</f>
        <v>#DIV/0!</v>
      </c>
      <c r="T65" s="66" t="e">
        <f>ROUND(Q65,2)*R65</f>
        <v>#DIV/0!</v>
      </c>
      <c r="U65" s="63" t="e">
        <f>R65*dagenperjaar1</f>
        <v>#DIV/0!</v>
      </c>
      <c r="V65" s="67" t="e">
        <f>U65*ROUND(Q65,2)</f>
        <v>#DIV/0!</v>
      </c>
    </row>
    <row r="66" spans="1:22" x14ac:dyDescent="0.2">
      <c r="A66" s="60" t="s">
        <v>290</v>
      </c>
      <c r="B66" s="61" t="s">
        <v>291</v>
      </c>
      <c r="C66" s="61" t="s">
        <v>292</v>
      </c>
      <c r="D66" s="61" t="s">
        <v>401</v>
      </c>
      <c r="E66" s="62" t="s">
        <v>400</v>
      </c>
      <c r="F66" s="61" t="s">
        <v>312</v>
      </c>
      <c r="G66" s="61" t="s">
        <v>250</v>
      </c>
      <c r="H66" s="61" t="s">
        <v>12</v>
      </c>
      <c r="I66" s="61" t="s">
        <v>200</v>
      </c>
      <c r="J66" s="61" t="s">
        <v>291</v>
      </c>
      <c r="K66" s="61" t="s">
        <v>291</v>
      </c>
      <c r="L66" s="63">
        <v>8</v>
      </c>
      <c r="M66" s="63">
        <f>L66*VLOOKUP(H66,dagsoorttabel1,2,FALSE)</f>
        <v>6.4313725490196081</v>
      </c>
      <c r="N66" s="64">
        <f>prodnorm39</f>
        <v>0</v>
      </c>
      <c r="O66" s="65">
        <f>dagwerk39</f>
        <v>0</v>
      </c>
      <c r="P66" s="61" t="s">
        <v>41</v>
      </c>
      <c r="Q66" s="66">
        <f>uurtarief39</f>
        <v>0</v>
      </c>
      <c r="R66" s="63" t="e">
        <f>IF(ISBLANK(N66),0,M66/ROUND(N66,4))</f>
        <v>#DIV/0!</v>
      </c>
      <c r="S66" s="63" t="e">
        <f>IF(ISBLANK(N66),0,R66*ROUND(O66,2))</f>
        <v>#DIV/0!</v>
      </c>
      <c r="T66" s="66" t="e">
        <f>ROUND(Q66,2)*R66</f>
        <v>#DIV/0!</v>
      </c>
      <c r="U66" s="63" t="e">
        <f>R66*dagenperjaar1</f>
        <v>#DIV/0!</v>
      </c>
      <c r="V66" s="67" t="e">
        <f>U66*ROUND(Q66,2)</f>
        <v>#DIV/0!</v>
      </c>
    </row>
    <row r="67" spans="1:22" x14ac:dyDescent="0.2">
      <c r="A67" s="60" t="s">
        <v>290</v>
      </c>
      <c r="B67" s="61" t="s">
        <v>291</v>
      </c>
      <c r="C67" s="61" t="s">
        <v>292</v>
      </c>
      <c r="D67" s="61" t="s">
        <v>402</v>
      </c>
      <c r="E67" s="62" t="s">
        <v>403</v>
      </c>
      <c r="F67" s="61" t="s">
        <v>301</v>
      </c>
      <c r="G67" s="61" t="s">
        <v>222</v>
      </c>
      <c r="H67" s="61" t="s">
        <v>12</v>
      </c>
      <c r="I67" s="61" t="s">
        <v>200</v>
      </c>
      <c r="J67" s="61" t="s">
        <v>291</v>
      </c>
      <c r="K67" s="61" t="s">
        <v>291</v>
      </c>
      <c r="L67" s="63">
        <v>295</v>
      </c>
      <c r="M67" s="63">
        <f>L67*VLOOKUP(H67,dagsoorttabel1,2,FALSE)</f>
        <v>237.15686274509804</v>
      </c>
      <c r="N67" s="64">
        <f>prodnorm23</f>
        <v>0</v>
      </c>
      <c r="O67" s="65">
        <f>dagwerk23</f>
        <v>0</v>
      </c>
      <c r="P67" s="61" t="s">
        <v>41</v>
      </c>
      <c r="Q67" s="66">
        <f>uurtarief23</f>
        <v>0</v>
      </c>
      <c r="R67" s="63" t="e">
        <f>IF(ISBLANK(N67),0,M67/ROUND(N67,4))</f>
        <v>#DIV/0!</v>
      </c>
      <c r="S67" s="63" t="e">
        <f>IF(ISBLANK(N67),0,R67*ROUND(O67,2))</f>
        <v>#DIV/0!</v>
      </c>
      <c r="T67" s="66" t="e">
        <f>ROUND(Q67,2)*R67</f>
        <v>#DIV/0!</v>
      </c>
      <c r="U67" s="63" t="e">
        <f>R67*dagenperjaar1</f>
        <v>#DIV/0!</v>
      </c>
      <c r="V67" s="67" t="e">
        <f>U67*ROUND(Q67,2)</f>
        <v>#DIV/0!</v>
      </c>
    </row>
    <row r="68" spans="1:22" x14ac:dyDescent="0.2">
      <c r="A68" s="60" t="s">
        <v>290</v>
      </c>
      <c r="B68" s="61" t="s">
        <v>291</v>
      </c>
      <c r="C68" s="61" t="s">
        <v>292</v>
      </c>
      <c r="D68" s="61" t="s">
        <v>404</v>
      </c>
      <c r="E68" s="62" t="s">
        <v>381</v>
      </c>
      <c r="F68" s="61" t="s">
        <v>373</v>
      </c>
      <c r="G68" s="61" t="s">
        <v>202</v>
      </c>
      <c r="H68" s="61" t="s">
        <v>12</v>
      </c>
      <c r="I68" s="61" t="s">
        <v>200</v>
      </c>
      <c r="J68" s="61" t="s">
        <v>291</v>
      </c>
      <c r="K68" s="61" t="s">
        <v>291</v>
      </c>
      <c r="L68" s="63">
        <v>12</v>
      </c>
      <c r="M68" s="63">
        <f>L68*VLOOKUP(H68,dagsoorttabel1,2,FALSE)</f>
        <v>9.647058823529413</v>
      </c>
      <c r="N68" s="64">
        <f>prodnorm5</f>
        <v>0</v>
      </c>
      <c r="O68" s="65">
        <f>dagwerk5</f>
        <v>0</v>
      </c>
      <c r="P68" s="61" t="s">
        <v>41</v>
      </c>
      <c r="Q68" s="66">
        <f>uurtarief5</f>
        <v>0</v>
      </c>
      <c r="R68" s="63" t="e">
        <f>IF(ISBLANK(N68),0,M68/ROUND(N68,4))</f>
        <v>#DIV/0!</v>
      </c>
      <c r="S68" s="63" t="e">
        <f>IF(ISBLANK(N68),0,R68*ROUND(O68,2))</f>
        <v>#DIV/0!</v>
      </c>
      <c r="T68" s="66" t="e">
        <f>ROUND(Q68,2)*R68</f>
        <v>#DIV/0!</v>
      </c>
      <c r="U68" s="63" t="e">
        <f>R68*dagenperjaar1</f>
        <v>#DIV/0!</v>
      </c>
      <c r="V68" s="67" t="e">
        <f>U68*ROUND(Q68,2)</f>
        <v>#DIV/0!</v>
      </c>
    </row>
    <row r="69" spans="1:22" x14ac:dyDescent="0.2">
      <c r="A69" s="60" t="s">
        <v>290</v>
      </c>
      <c r="B69" s="61" t="s">
        <v>291</v>
      </c>
      <c r="C69" s="61" t="s">
        <v>292</v>
      </c>
      <c r="D69" s="61" t="s">
        <v>405</v>
      </c>
      <c r="E69" s="62" t="s">
        <v>381</v>
      </c>
      <c r="F69" s="61" t="s">
        <v>373</v>
      </c>
      <c r="G69" s="61" t="s">
        <v>202</v>
      </c>
      <c r="H69" s="61" t="s">
        <v>12</v>
      </c>
      <c r="I69" s="61" t="s">
        <v>200</v>
      </c>
      <c r="J69" s="61" t="s">
        <v>291</v>
      </c>
      <c r="K69" s="61" t="s">
        <v>291</v>
      </c>
      <c r="L69" s="63">
        <v>12</v>
      </c>
      <c r="M69" s="63">
        <f>L69*VLOOKUP(H69,dagsoorttabel1,2,FALSE)</f>
        <v>9.647058823529413</v>
      </c>
      <c r="N69" s="64">
        <f>prodnorm5</f>
        <v>0</v>
      </c>
      <c r="O69" s="65">
        <f>dagwerk5</f>
        <v>0</v>
      </c>
      <c r="P69" s="61" t="s">
        <v>41</v>
      </c>
      <c r="Q69" s="66">
        <f>uurtarief5</f>
        <v>0</v>
      </c>
      <c r="R69" s="63" t="e">
        <f>IF(ISBLANK(N69),0,M69/ROUND(N69,4))</f>
        <v>#DIV/0!</v>
      </c>
      <c r="S69" s="63" t="e">
        <f>IF(ISBLANK(N69),0,R69*ROUND(O69,2))</f>
        <v>#DIV/0!</v>
      </c>
      <c r="T69" s="66" t="e">
        <f>ROUND(Q69,2)*R69</f>
        <v>#DIV/0!</v>
      </c>
      <c r="U69" s="63" t="e">
        <f>R69*dagenperjaar1</f>
        <v>#DIV/0!</v>
      </c>
      <c r="V69" s="67" t="e">
        <f>U69*ROUND(Q69,2)</f>
        <v>#DIV/0!</v>
      </c>
    </row>
    <row r="70" spans="1:22" x14ac:dyDescent="0.2">
      <c r="A70" s="60" t="s">
        <v>290</v>
      </c>
      <c r="B70" s="61" t="s">
        <v>291</v>
      </c>
      <c r="C70" s="61" t="s">
        <v>292</v>
      </c>
      <c r="D70" s="61" t="s">
        <v>406</v>
      </c>
      <c r="E70" s="62" t="s">
        <v>381</v>
      </c>
      <c r="F70" s="61" t="s">
        <v>373</v>
      </c>
      <c r="G70" s="61" t="s">
        <v>202</v>
      </c>
      <c r="H70" s="61" t="s">
        <v>12</v>
      </c>
      <c r="I70" s="61" t="s">
        <v>200</v>
      </c>
      <c r="J70" s="61" t="s">
        <v>291</v>
      </c>
      <c r="K70" s="61" t="s">
        <v>291</v>
      </c>
      <c r="L70" s="63">
        <v>12</v>
      </c>
      <c r="M70" s="63">
        <f>L70*VLOOKUP(H70,dagsoorttabel1,2,FALSE)</f>
        <v>9.647058823529413</v>
      </c>
      <c r="N70" s="64">
        <f>prodnorm5</f>
        <v>0</v>
      </c>
      <c r="O70" s="65">
        <f>dagwerk5</f>
        <v>0</v>
      </c>
      <c r="P70" s="61" t="s">
        <v>41</v>
      </c>
      <c r="Q70" s="66">
        <f>uurtarief5</f>
        <v>0</v>
      </c>
      <c r="R70" s="63" t="e">
        <f>IF(ISBLANK(N70),0,M70/ROUND(N70,4))</f>
        <v>#DIV/0!</v>
      </c>
      <c r="S70" s="63" t="e">
        <f>IF(ISBLANK(N70),0,R70*ROUND(O70,2))</f>
        <v>#DIV/0!</v>
      </c>
      <c r="T70" s="66" t="e">
        <f>ROUND(Q70,2)*R70</f>
        <v>#DIV/0!</v>
      </c>
      <c r="U70" s="63" t="e">
        <f>R70*dagenperjaar1</f>
        <v>#DIV/0!</v>
      </c>
      <c r="V70" s="67" t="e">
        <f>U70*ROUND(Q70,2)</f>
        <v>#DIV/0!</v>
      </c>
    </row>
    <row r="71" spans="1:22" x14ac:dyDescent="0.2">
      <c r="A71" s="60" t="s">
        <v>290</v>
      </c>
      <c r="B71" s="61" t="s">
        <v>291</v>
      </c>
      <c r="C71" s="61" t="s">
        <v>292</v>
      </c>
      <c r="D71" s="61" t="s">
        <v>407</v>
      </c>
      <c r="E71" s="62" t="s">
        <v>392</v>
      </c>
      <c r="F71" s="61" t="s">
        <v>393</v>
      </c>
      <c r="G71" s="61" t="s">
        <v>218</v>
      </c>
      <c r="H71" s="61" t="s">
        <v>12</v>
      </c>
      <c r="I71" s="61" t="s">
        <v>200</v>
      </c>
      <c r="J71" s="61" t="s">
        <v>291</v>
      </c>
      <c r="K71" s="61" t="s">
        <v>291</v>
      </c>
      <c r="L71" s="63">
        <v>19</v>
      </c>
      <c r="M71" s="63">
        <f>L71*VLOOKUP(H71,dagsoorttabel1,2,FALSE)</f>
        <v>15.274509803921569</v>
      </c>
      <c r="N71" s="64">
        <f>prodnorm19</f>
        <v>0</v>
      </c>
      <c r="O71" s="65">
        <f>dagwerk19</f>
        <v>0</v>
      </c>
      <c r="P71" s="61" t="s">
        <v>41</v>
      </c>
      <c r="Q71" s="66">
        <f>uurtarief19</f>
        <v>0</v>
      </c>
      <c r="R71" s="63" t="e">
        <f>IF(ISBLANK(N71),0,M71/ROUND(N71,4))</f>
        <v>#DIV/0!</v>
      </c>
      <c r="S71" s="63" t="e">
        <f>IF(ISBLANK(N71),0,R71*ROUND(O71,2))</f>
        <v>#DIV/0!</v>
      </c>
      <c r="T71" s="66" t="e">
        <f>ROUND(Q71,2)*R71</f>
        <v>#DIV/0!</v>
      </c>
      <c r="U71" s="63" t="e">
        <f>R71*dagenperjaar1</f>
        <v>#DIV/0!</v>
      </c>
      <c r="V71" s="67" t="e">
        <f>U71*ROUND(Q71,2)</f>
        <v>#DIV/0!</v>
      </c>
    </row>
    <row r="72" spans="1:22" x14ac:dyDescent="0.2">
      <c r="A72" s="60" t="s">
        <v>290</v>
      </c>
      <c r="B72" s="61" t="s">
        <v>291</v>
      </c>
      <c r="C72" s="61" t="s">
        <v>292</v>
      </c>
      <c r="D72" s="61" t="s">
        <v>408</v>
      </c>
      <c r="E72" s="62" t="s">
        <v>409</v>
      </c>
      <c r="F72" s="61" t="s">
        <v>301</v>
      </c>
      <c r="G72" s="61" t="s">
        <v>199</v>
      </c>
      <c r="H72" s="61" t="s">
        <v>12</v>
      </c>
      <c r="I72" s="61" t="s">
        <v>200</v>
      </c>
      <c r="J72" s="61" t="s">
        <v>291</v>
      </c>
      <c r="K72" s="61" t="s">
        <v>291</v>
      </c>
      <c r="L72" s="63">
        <v>20</v>
      </c>
      <c r="M72" s="63">
        <f>L72*VLOOKUP(H72,dagsoorttabel1,2,FALSE)</f>
        <v>16.078431372549019</v>
      </c>
      <c r="N72" s="64">
        <f>prodnorm3</f>
        <v>0</v>
      </c>
      <c r="O72" s="65">
        <f>dagwerk3</f>
        <v>0</v>
      </c>
      <c r="P72" s="61" t="s">
        <v>41</v>
      </c>
      <c r="Q72" s="66">
        <f>uurtarief3</f>
        <v>0</v>
      </c>
      <c r="R72" s="63" t="e">
        <f>IF(ISBLANK(N72),0,M72/ROUND(N72,4))</f>
        <v>#DIV/0!</v>
      </c>
      <c r="S72" s="63" t="e">
        <f>IF(ISBLANK(N72),0,R72*ROUND(O72,2))</f>
        <v>#DIV/0!</v>
      </c>
      <c r="T72" s="66" t="e">
        <f>ROUND(Q72,2)*R72</f>
        <v>#DIV/0!</v>
      </c>
      <c r="U72" s="63" t="e">
        <f>R72*dagenperjaar1</f>
        <v>#DIV/0!</v>
      </c>
      <c r="V72" s="67" t="e">
        <f>U72*ROUND(Q72,2)</f>
        <v>#DIV/0!</v>
      </c>
    </row>
    <row r="73" spans="1:22" x14ac:dyDescent="0.2">
      <c r="A73" s="60" t="s">
        <v>290</v>
      </c>
      <c r="B73" s="61" t="s">
        <v>291</v>
      </c>
      <c r="C73" s="61" t="s">
        <v>292</v>
      </c>
      <c r="D73" s="61" t="s">
        <v>410</v>
      </c>
      <c r="E73" s="62" t="s">
        <v>409</v>
      </c>
      <c r="F73" s="61" t="s">
        <v>301</v>
      </c>
      <c r="G73" s="61" t="s">
        <v>199</v>
      </c>
      <c r="H73" s="61" t="s">
        <v>12</v>
      </c>
      <c r="I73" s="61" t="s">
        <v>200</v>
      </c>
      <c r="J73" s="61" t="s">
        <v>291</v>
      </c>
      <c r="K73" s="61" t="s">
        <v>291</v>
      </c>
      <c r="L73" s="63">
        <v>22</v>
      </c>
      <c r="M73" s="63">
        <f>L73*VLOOKUP(H73,dagsoorttabel1,2,FALSE)</f>
        <v>17.686274509803923</v>
      </c>
      <c r="N73" s="64">
        <f>prodnorm3</f>
        <v>0</v>
      </c>
      <c r="O73" s="65">
        <f>dagwerk3</f>
        <v>0</v>
      </c>
      <c r="P73" s="61" t="s">
        <v>41</v>
      </c>
      <c r="Q73" s="66">
        <f>uurtarief3</f>
        <v>0</v>
      </c>
      <c r="R73" s="63" t="e">
        <f>IF(ISBLANK(N73),0,M73/ROUND(N73,4))</f>
        <v>#DIV/0!</v>
      </c>
      <c r="S73" s="63" t="e">
        <f>IF(ISBLANK(N73),0,R73*ROUND(O73,2))</f>
        <v>#DIV/0!</v>
      </c>
      <c r="T73" s="66" t="e">
        <f>ROUND(Q73,2)*R73</f>
        <v>#DIV/0!</v>
      </c>
      <c r="U73" s="63" t="e">
        <f>R73*dagenperjaar1</f>
        <v>#DIV/0!</v>
      </c>
      <c r="V73" s="67" t="e">
        <f>U73*ROUND(Q73,2)</f>
        <v>#DIV/0!</v>
      </c>
    </row>
    <row r="74" spans="1:22" x14ac:dyDescent="0.2">
      <c r="A74" s="60" t="s">
        <v>290</v>
      </c>
      <c r="B74" s="61" t="s">
        <v>291</v>
      </c>
      <c r="C74" s="61" t="s">
        <v>292</v>
      </c>
      <c r="D74" s="61" t="s">
        <v>411</v>
      </c>
      <c r="E74" s="62" t="s">
        <v>409</v>
      </c>
      <c r="F74" s="61" t="s">
        <v>301</v>
      </c>
      <c r="G74" s="61" t="s">
        <v>199</v>
      </c>
      <c r="H74" s="61" t="s">
        <v>12</v>
      </c>
      <c r="I74" s="61" t="s">
        <v>200</v>
      </c>
      <c r="J74" s="61" t="s">
        <v>291</v>
      </c>
      <c r="K74" s="61" t="s">
        <v>291</v>
      </c>
      <c r="L74" s="63">
        <v>18</v>
      </c>
      <c r="M74" s="63">
        <f>L74*VLOOKUP(H74,dagsoorttabel1,2,FALSE)</f>
        <v>14.470588235294118</v>
      </c>
      <c r="N74" s="64">
        <f>prodnorm3</f>
        <v>0</v>
      </c>
      <c r="O74" s="65">
        <f>dagwerk3</f>
        <v>0</v>
      </c>
      <c r="P74" s="61" t="s">
        <v>41</v>
      </c>
      <c r="Q74" s="66">
        <f>uurtarief3</f>
        <v>0</v>
      </c>
      <c r="R74" s="63" t="e">
        <f>IF(ISBLANK(N74),0,M74/ROUND(N74,4))</f>
        <v>#DIV/0!</v>
      </c>
      <c r="S74" s="63" t="e">
        <f>IF(ISBLANK(N74),0,R74*ROUND(O74,2))</f>
        <v>#DIV/0!</v>
      </c>
      <c r="T74" s="66" t="e">
        <f>ROUND(Q74,2)*R74</f>
        <v>#DIV/0!</v>
      </c>
      <c r="U74" s="63" t="e">
        <f>R74*dagenperjaar1</f>
        <v>#DIV/0!</v>
      </c>
      <c r="V74" s="67" t="e">
        <f>U74*ROUND(Q74,2)</f>
        <v>#DIV/0!</v>
      </c>
    </row>
    <row r="75" spans="1:22" x14ac:dyDescent="0.2">
      <c r="A75" s="60" t="s">
        <v>290</v>
      </c>
      <c r="B75" s="61" t="s">
        <v>291</v>
      </c>
      <c r="C75" s="61" t="s">
        <v>292</v>
      </c>
      <c r="D75" s="61" t="s">
        <v>412</v>
      </c>
      <c r="E75" s="62" t="s">
        <v>335</v>
      </c>
      <c r="F75" s="61" t="s">
        <v>301</v>
      </c>
      <c r="G75" s="61" t="s">
        <v>262</v>
      </c>
      <c r="H75" s="61" t="s">
        <v>12</v>
      </c>
      <c r="I75" s="61" t="s">
        <v>200</v>
      </c>
      <c r="J75" s="61" t="s">
        <v>291</v>
      </c>
      <c r="K75" s="61" t="s">
        <v>291</v>
      </c>
      <c r="L75" s="63">
        <v>20</v>
      </c>
      <c r="M75" s="63">
        <f>L75*VLOOKUP(H75,dagsoorttabel1,2,FALSE)</f>
        <v>16.078431372549019</v>
      </c>
      <c r="N75" s="64">
        <f>prodnorm50</f>
        <v>0</v>
      </c>
      <c r="O75" s="65">
        <f>dagwerk50</f>
        <v>0</v>
      </c>
      <c r="P75" s="61" t="s">
        <v>41</v>
      </c>
      <c r="Q75" s="66">
        <f>uurtarief50</f>
        <v>0</v>
      </c>
      <c r="R75" s="63" t="e">
        <f>IF(ISBLANK(N75),0,M75/ROUND(N75,4))</f>
        <v>#DIV/0!</v>
      </c>
      <c r="S75" s="63" t="e">
        <f>IF(ISBLANK(N75),0,R75*ROUND(O75,2))</f>
        <v>#DIV/0!</v>
      </c>
      <c r="T75" s="66" t="e">
        <f>ROUND(Q75,2)*R75</f>
        <v>#DIV/0!</v>
      </c>
      <c r="U75" s="63" t="e">
        <f>R75*dagenperjaar1</f>
        <v>#DIV/0!</v>
      </c>
      <c r="V75" s="67" t="e">
        <f>U75*ROUND(Q75,2)</f>
        <v>#DIV/0!</v>
      </c>
    </row>
    <row r="76" spans="1:22" x14ac:dyDescent="0.2">
      <c r="A76" s="60" t="s">
        <v>290</v>
      </c>
      <c r="B76" s="61" t="s">
        <v>291</v>
      </c>
      <c r="C76" s="61" t="s">
        <v>292</v>
      </c>
      <c r="D76" s="61" t="s">
        <v>413</v>
      </c>
      <c r="E76" s="62" t="s">
        <v>414</v>
      </c>
      <c r="F76" s="61" t="s">
        <v>301</v>
      </c>
      <c r="G76" s="61" t="s">
        <v>218</v>
      </c>
      <c r="H76" s="61" t="s">
        <v>12</v>
      </c>
      <c r="I76" s="61" t="s">
        <v>200</v>
      </c>
      <c r="J76" s="61" t="s">
        <v>291</v>
      </c>
      <c r="K76" s="61" t="s">
        <v>291</v>
      </c>
      <c r="L76" s="63">
        <v>49</v>
      </c>
      <c r="M76" s="63">
        <f>L76*VLOOKUP(H76,dagsoorttabel1,2,FALSE)</f>
        <v>39.392156862745097</v>
      </c>
      <c r="N76" s="64">
        <f>prodnorm19</f>
        <v>0</v>
      </c>
      <c r="O76" s="65">
        <f>dagwerk19</f>
        <v>0</v>
      </c>
      <c r="P76" s="61" t="s">
        <v>41</v>
      </c>
      <c r="Q76" s="66">
        <f>uurtarief19</f>
        <v>0</v>
      </c>
      <c r="R76" s="63" t="e">
        <f>IF(ISBLANK(N76),0,M76/ROUND(N76,4))</f>
        <v>#DIV/0!</v>
      </c>
      <c r="S76" s="63" t="e">
        <f>IF(ISBLANK(N76),0,R76*ROUND(O76,2))</f>
        <v>#DIV/0!</v>
      </c>
      <c r="T76" s="66" t="e">
        <f>ROUND(Q76,2)*R76</f>
        <v>#DIV/0!</v>
      </c>
      <c r="U76" s="63" t="e">
        <f>R76*dagenperjaar1</f>
        <v>#DIV/0!</v>
      </c>
      <c r="V76" s="67" t="e">
        <f>U76*ROUND(Q76,2)</f>
        <v>#DIV/0!</v>
      </c>
    </row>
    <row r="77" spans="1:22" x14ac:dyDescent="0.2">
      <c r="A77" s="60" t="s">
        <v>290</v>
      </c>
      <c r="B77" s="61" t="s">
        <v>291</v>
      </c>
      <c r="C77" s="61" t="s">
        <v>292</v>
      </c>
      <c r="D77" s="61" t="s">
        <v>415</v>
      </c>
      <c r="E77" s="62" t="s">
        <v>414</v>
      </c>
      <c r="F77" s="61" t="s">
        <v>301</v>
      </c>
      <c r="G77" s="61" t="s">
        <v>218</v>
      </c>
      <c r="H77" s="61" t="s">
        <v>12</v>
      </c>
      <c r="I77" s="61" t="s">
        <v>200</v>
      </c>
      <c r="J77" s="61" t="s">
        <v>291</v>
      </c>
      <c r="K77" s="61" t="s">
        <v>291</v>
      </c>
      <c r="L77" s="63">
        <v>51</v>
      </c>
      <c r="M77" s="63">
        <f>L77*VLOOKUP(H77,dagsoorttabel1,2,FALSE)</f>
        <v>41</v>
      </c>
      <c r="N77" s="64">
        <f>prodnorm19</f>
        <v>0</v>
      </c>
      <c r="O77" s="65">
        <f>dagwerk19</f>
        <v>0</v>
      </c>
      <c r="P77" s="61" t="s">
        <v>41</v>
      </c>
      <c r="Q77" s="66">
        <f>uurtarief19</f>
        <v>0</v>
      </c>
      <c r="R77" s="63" t="e">
        <f>IF(ISBLANK(N77),0,M77/ROUND(N77,4))</f>
        <v>#DIV/0!</v>
      </c>
      <c r="S77" s="63" t="e">
        <f>IF(ISBLANK(N77),0,R77*ROUND(O77,2))</f>
        <v>#DIV/0!</v>
      </c>
      <c r="T77" s="66" t="e">
        <f>ROUND(Q77,2)*R77</f>
        <v>#DIV/0!</v>
      </c>
      <c r="U77" s="63" t="e">
        <f>R77*dagenperjaar1</f>
        <v>#DIV/0!</v>
      </c>
      <c r="V77" s="67" t="e">
        <f>U77*ROUND(Q77,2)</f>
        <v>#DIV/0!</v>
      </c>
    </row>
    <row r="78" spans="1:22" x14ac:dyDescent="0.2">
      <c r="A78" s="60" t="s">
        <v>290</v>
      </c>
      <c r="B78" s="61" t="s">
        <v>291</v>
      </c>
      <c r="C78" s="61" t="s">
        <v>292</v>
      </c>
      <c r="D78" s="61" t="s">
        <v>416</v>
      </c>
      <c r="E78" s="62" t="s">
        <v>414</v>
      </c>
      <c r="F78" s="61" t="s">
        <v>301</v>
      </c>
      <c r="G78" s="61" t="s">
        <v>218</v>
      </c>
      <c r="H78" s="61" t="s">
        <v>12</v>
      </c>
      <c r="I78" s="61" t="s">
        <v>200</v>
      </c>
      <c r="J78" s="61" t="s">
        <v>291</v>
      </c>
      <c r="K78" s="61" t="s">
        <v>291</v>
      </c>
      <c r="L78" s="63">
        <v>50</v>
      </c>
      <c r="M78" s="63">
        <f>L78*VLOOKUP(H78,dagsoorttabel1,2,FALSE)</f>
        <v>40.196078431372548</v>
      </c>
      <c r="N78" s="64">
        <f>prodnorm19</f>
        <v>0</v>
      </c>
      <c r="O78" s="65">
        <f>dagwerk19</f>
        <v>0</v>
      </c>
      <c r="P78" s="61" t="s">
        <v>41</v>
      </c>
      <c r="Q78" s="66">
        <f>uurtarief19</f>
        <v>0</v>
      </c>
      <c r="R78" s="63" t="e">
        <f>IF(ISBLANK(N78),0,M78/ROUND(N78,4))</f>
        <v>#DIV/0!</v>
      </c>
      <c r="S78" s="63" t="e">
        <f>IF(ISBLANK(N78),0,R78*ROUND(O78,2))</f>
        <v>#DIV/0!</v>
      </c>
      <c r="T78" s="66" t="e">
        <f>ROUND(Q78,2)*R78</f>
        <v>#DIV/0!</v>
      </c>
      <c r="U78" s="63" t="e">
        <f>R78*dagenperjaar1</f>
        <v>#DIV/0!</v>
      </c>
      <c r="V78" s="67" t="e">
        <f>U78*ROUND(Q78,2)</f>
        <v>#DIV/0!</v>
      </c>
    </row>
    <row r="79" spans="1:22" x14ac:dyDescent="0.2">
      <c r="A79" s="60" t="s">
        <v>290</v>
      </c>
      <c r="B79" s="61" t="s">
        <v>291</v>
      </c>
      <c r="C79" s="61" t="s">
        <v>292</v>
      </c>
      <c r="D79" s="61" t="s">
        <v>417</v>
      </c>
      <c r="E79" s="62" t="s">
        <v>414</v>
      </c>
      <c r="F79" s="61" t="s">
        <v>301</v>
      </c>
      <c r="G79" s="61" t="s">
        <v>218</v>
      </c>
      <c r="H79" s="61" t="s">
        <v>12</v>
      </c>
      <c r="I79" s="61" t="s">
        <v>200</v>
      </c>
      <c r="J79" s="61" t="s">
        <v>291</v>
      </c>
      <c r="K79" s="61" t="s">
        <v>291</v>
      </c>
      <c r="L79" s="63">
        <v>53</v>
      </c>
      <c r="M79" s="63">
        <f>L79*VLOOKUP(H79,dagsoorttabel1,2,FALSE)</f>
        <v>42.607843137254903</v>
      </c>
      <c r="N79" s="64">
        <f>prodnorm19</f>
        <v>0</v>
      </c>
      <c r="O79" s="65">
        <f>dagwerk19</f>
        <v>0</v>
      </c>
      <c r="P79" s="61" t="s">
        <v>41</v>
      </c>
      <c r="Q79" s="66">
        <f>uurtarief19</f>
        <v>0</v>
      </c>
      <c r="R79" s="63" t="e">
        <f>IF(ISBLANK(N79),0,M79/ROUND(N79,4))</f>
        <v>#DIV/0!</v>
      </c>
      <c r="S79" s="63" t="e">
        <f>IF(ISBLANK(N79),0,R79*ROUND(O79,2))</f>
        <v>#DIV/0!</v>
      </c>
      <c r="T79" s="66" t="e">
        <f>ROUND(Q79,2)*R79</f>
        <v>#DIV/0!</v>
      </c>
      <c r="U79" s="63" t="e">
        <f>R79*dagenperjaar1</f>
        <v>#DIV/0!</v>
      </c>
      <c r="V79" s="67" t="e">
        <f>U79*ROUND(Q79,2)</f>
        <v>#DIV/0!</v>
      </c>
    </row>
    <row r="80" spans="1:22" x14ac:dyDescent="0.2">
      <c r="A80" s="60" t="s">
        <v>290</v>
      </c>
      <c r="B80" s="61" t="s">
        <v>291</v>
      </c>
      <c r="C80" s="61" t="s">
        <v>292</v>
      </c>
      <c r="D80" s="61" t="s">
        <v>418</v>
      </c>
      <c r="E80" s="62" t="s">
        <v>414</v>
      </c>
      <c r="F80" s="61" t="s">
        <v>301</v>
      </c>
      <c r="G80" s="61" t="s">
        <v>218</v>
      </c>
      <c r="H80" s="61" t="s">
        <v>12</v>
      </c>
      <c r="I80" s="61" t="s">
        <v>200</v>
      </c>
      <c r="J80" s="61" t="s">
        <v>291</v>
      </c>
      <c r="K80" s="61" t="s">
        <v>291</v>
      </c>
      <c r="L80" s="63">
        <v>52</v>
      </c>
      <c r="M80" s="63">
        <f>L80*VLOOKUP(H80,dagsoorttabel1,2,FALSE)</f>
        <v>41.803921568627452</v>
      </c>
      <c r="N80" s="64">
        <f>prodnorm19</f>
        <v>0</v>
      </c>
      <c r="O80" s="65">
        <f>dagwerk19</f>
        <v>0</v>
      </c>
      <c r="P80" s="61" t="s">
        <v>41</v>
      </c>
      <c r="Q80" s="66">
        <f>uurtarief19</f>
        <v>0</v>
      </c>
      <c r="R80" s="63" t="e">
        <f>IF(ISBLANK(N80),0,M80/ROUND(N80,4))</f>
        <v>#DIV/0!</v>
      </c>
      <c r="S80" s="63" t="e">
        <f>IF(ISBLANK(N80),0,R80*ROUND(O80,2))</f>
        <v>#DIV/0!</v>
      </c>
      <c r="T80" s="66" t="e">
        <f>ROUND(Q80,2)*R80</f>
        <v>#DIV/0!</v>
      </c>
      <c r="U80" s="63" t="e">
        <f>R80*dagenperjaar1</f>
        <v>#DIV/0!</v>
      </c>
      <c r="V80" s="67" t="e">
        <f>U80*ROUND(Q80,2)</f>
        <v>#DIV/0!</v>
      </c>
    </row>
    <row r="81" spans="1:22" x14ac:dyDescent="0.2">
      <c r="A81" s="60" t="s">
        <v>290</v>
      </c>
      <c r="B81" s="61" t="s">
        <v>291</v>
      </c>
      <c r="C81" s="61" t="s">
        <v>292</v>
      </c>
      <c r="D81" s="61" t="s">
        <v>419</v>
      </c>
      <c r="E81" s="62" t="s">
        <v>414</v>
      </c>
      <c r="F81" s="61" t="s">
        <v>301</v>
      </c>
      <c r="G81" s="61" t="s">
        <v>218</v>
      </c>
      <c r="H81" s="61" t="s">
        <v>12</v>
      </c>
      <c r="I81" s="61" t="s">
        <v>200</v>
      </c>
      <c r="J81" s="61" t="s">
        <v>291</v>
      </c>
      <c r="K81" s="61" t="s">
        <v>291</v>
      </c>
      <c r="L81" s="63">
        <v>65</v>
      </c>
      <c r="M81" s="63">
        <f>L81*VLOOKUP(H81,dagsoorttabel1,2,FALSE)</f>
        <v>52.254901960784316</v>
      </c>
      <c r="N81" s="64">
        <f>prodnorm19</f>
        <v>0</v>
      </c>
      <c r="O81" s="65">
        <f>dagwerk19</f>
        <v>0</v>
      </c>
      <c r="P81" s="61" t="s">
        <v>41</v>
      </c>
      <c r="Q81" s="66">
        <f>uurtarief19</f>
        <v>0</v>
      </c>
      <c r="R81" s="63" t="e">
        <f>IF(ISBLANK(N81),0,M81/ROUND(N81,4))</f>
        <v>#DIV/0!</v>
      </c>
      <c r="S81" s="63" t="e">
        <f>IF(ISBLANK(N81),0,R81*ROUND(O81,2))</f>
        <v>#DIV/0!</v>
      </c>
      <c r="T81" s="66" t="e">
        <f>ROUND(Q81,2)*R81</f>
        <v>#DIV/0!</v>
      </c>
      <c r="U81" s="63" t="e">
        <f>R81*dagenperjaar1</f>
        <v>#DIV/0!</v>
      </c>
      <c r="V81" s="67" t="e">
        <f>U81*ROUND(Q81,2)</f>
        <v>#DIV/0!</v>
      </c>
    </row>
    <row r="82" spans="1:22" x14ac:dyDescent="0.2">
      <c r="A82" s="60" t="s">
        <v>290</v>
      </c>
      <c r="B82" s="61" t="s">
        <v>291</v>
      </c>
      <c r="C82" s="61" t="s">
        <v>292</v>
      </c>
      <c r="D82" s="61" t="s">
        <v>420</v>
      </c>
      <c r="E82" s="62" t="s">
        <v>414</v>
      </c>
      <c r="F82" s="61" t="s">
        <v>301</v>
      </c>
      <c r="G82" s="61" t="s">
        <v>218</v>
      </c>
      <c r="H82" s="61" t="s">
        <v>12</v>
      </c>
      <c r="I82" s="61" t="s">
        <v>200</v>
      </c>
      <c r="J82" s="61" t="s">
        <v>291</v>
      </c>
      <c r="K82" s="61" t="s">
        <v>291</v>
      </c>
      <c r="L82" s="63">
        <v>51</v>
      </c>
      <c r="M82" s="63">
        <f>L82*VLOOKUP(H82,dagsoorttabel1,2,FALSE)</f>
        <v>41</v>
      </c>
      <c r="N82" s="64">
        <f>prodnorm19</f>
        <v>0</v>
      </c>
      <c r="O82" s="65">
        <f>dagwerk19</f>
        <v>0</v>
      </c>
      <c r="P82" s="61" t="s">
        <v>41</v>
      </c>
      <c r="Q82" s="66">
        <f>uurtarief19</f>
        <v>0</v>
      </c>
      <c r="R82" s="63" t="e">
        <f>IF(ISBLANK(N82),0,M82/ROUND(N82,4))</f>
        <v>#DIV/0!</v>
      </c>
      <c r="S82" s="63" t="e">
        <f>IF(ISBLANK(N82),0,R82*ROUND(O82,2))</f>
        <v>#DIV/0!</v>
      </c>
      <c r="T82" s="66" t="e">
        <f>ROUND(Q82,2)*R82</f>
        <v>#DIV/0!</v>
      </c>
      <c r="U82" s="63" t="e">
        <f>R82*dagenperjaar1</f>
        <v>#DIV/0!</v>
      </c>
      <c r="V82" s="67" t="e">
        <f>U82*ROUND(Q82,2)</f>
        <v>#DIV/0!</v>
      </c>
    </row>
    <row r="83" spans="1:22" x14ac:dyDescent="0.2">
      <c r="A83" s="60" t="s">
        <v>290</v>
      </c>
      <c r="B83" s="61" t="s">
        <v>291</v>
      </c>
      <c r="C83" s="61" t="s">
        <v>292</v>
      </c>
      <c r="D83" s="61" t="s">
        <v>421</v>
      </c>
      <c r="E83" s="62" t="s">
        <v>414</v>
      </c>
      <c r="F83" s="61" t="s">
        <v>301</v>
      </c>
      <c r="G83" s="61" t="s">
        <v>218</v>
      </c>
      <c r="H83" s="61" t="s">
        <v>12</v>
      </c>
      <c r="I83" s="61" t="s">
        <v>200</v>
      </c>
      <c r="J83" s="61" t="s">
        <v>291</v>
      </c>
      <c r="K83" s="61" t="s">
        <v>291</v>
      </c>
      <c r="L83" s="63">
        <v>52</v>
      </c>
      <c r="M83" s="63">
        <f>L83*VLOOKUP(H83,dagsoorttabel1,2,FALSE)</f>
        <v>41.803921568627452</v>
      </c>
      <c r="N83" s="64">
        <f>prodnorm19</f>
        <v>0</v>
      </c>
      <c r="O83" s="65">
        <f>dagwerk19</f>
        <v>0</v>
      </c>
      <c r="P83" s="61" t="s">
        <v>41</v>
      </c>
      <c r="Q83" s="66">
        <f>uurtarief19</f>
        <v>0</v>
      </c>
      <c r="R83" s="63" t="e">
        <f>IF(ISBLANK(N83),0,M83/ROUND(N83,4))</f>
        <v>#DIV/0!</v>
      </c>
      <c r="S83" s="63" t="e">
        <f>IF(ISBLANK(N83),0,R83*ROUND(O83,2))</f>
        <v>#DIV/0!</v>
      </c>
      <c r="T83" s="66" t="e">
        <f>ROUND(Q83,2)*R83</f>
        <v>#DIV/0!</v>
      </c>
      <c r="U83" s="63" t="e">
        <f>R83*dagenperjaar1</f>
        <v>#DIV/0!</v>
      </c>
      <c r="V83" s="67" t="e">
        <f>U83*ROUND(Q83,2)</f>
        <v>#DIV/0!</v>
      </c>
    </row>
    <row r="84" spans="1:22" x14ac:dyDescent="0.2">
      <c r="A84" s="60" t="s">
        <v>290</v>
      </c>
      <c r="B84" s="61" t="s">
        <v>291</v>
      </c>
      <c r="C84" s="61" t="s">
        <v>292</v>
      </c>
      <c r="D84" s="61" t="s">
        <v>422</v>
      </c>
      <c r="E84" s="62" t="s">
        <v>414</v>
      </c>
      <c r="F84" s="61" t="s">
        <v>301</v>
      </c>
      <c r="G84" s="61" t="s">
        <v>218</v>
      </c>
      <c r="H84" s="61" t="s">
        <v>12</v>
      </c>
      <c r="I84" s="61" t="s">
        <v>200</v>
      </c>
      <c r="J84" s="61" t="s">
        <v>291</v>
      </c>
      <c r="K84" s="61" t="s">
        <v>291</v>
      </c>
      <c r="L84" s="63">
        <v>52</v>
      </c>
      <c r="M84" s="63">
        <f>L84*VLOOKUP(H84,dagsoorttabel1,2,FALSE)</f>
        <v>41.803921568627452</v>
      </c>
      <c r="N84" s="64">
        <f>prodnorm19</f>
        <v>0</v>
      </c>
      <c r="O84" s="65">
        <f>dagwerk19</f>
        <v>0</v>
      </c>
      <c r="P84" s="61" t="s">
        <v>41</v>
      </c>
      <c r="Q84" s="66">
        <f>uurtarief19</f>
        <v>0</v>
      </c>
      <c r="R84" s="63" t="e">
        <f>IF(ISBLANK(N84),0,M84/ROUND(N84,4))</f>
        <v>#DIV/0!</v>
      </c>
      <c r="S84" s="63" t="e">
        <f>IF(ISBLANK(N84),0,R84*ROUND(O84,2))</f>
        <v>#DIV/0!</v>
      </c>
      <c r="T84" s="66" t="e">
        <f>ROUND(Q84,2)*R84</f>
        <v>#DIV/0!</v>
      </c>
      <c r="U84" s="63" t="e">
        <f>R84*dagenperjaar1</f>
        <v>#DIV/0!</v>
      </c>
      <c r="V84" s="67" t="e">
        <f>U84*ROUND(Q84,2)</f>
        <v>#DIV/0!</v>
      </c>
    </row>
    <row r="85" spans="1:22" x14ac:dyDescent="0.2">
      <c r="A85" s="60" t="s">
        <v>290</v>
      </c>
      <c r="B85" s="61" t="s">
        <v>291</v>
      </c>
      <c r="C85" s="61" t="s">
        <v>292</v>
      </c>
      <c r="D85" s="61" t="s">
        <v>423</v>
      </c>
      <c r="E85" s="62" t="s">
        <v>414</v>
      </c>
      <c r="F85" s="61" t="s">
        <v>301</v>
      </c>
      <c r="G85" s="61" t="s">
        <v>218</v>
      </c>
      <c r="H85" s="61" t="s">
        <v>12</v>
      </c>
      <c r="I85" s="61" t="s">
        <v>200</v>
      </c>
      <c r="J85" s="61" t="s">
        <v>291</v>
      </c>
      <c r="K85" s="61" t="s">
        <v>291</v>
      </c>
      <c r="L85" s="63">
        <v>52</v>
      </c>
      <c r="M85" s="63">
        <f>L85*VLOOKUP(H85,dagsoorttabel1,2,FALSE)</f>
        <v>41.803921568627452</v>
      </c>
      <c r="N85" s="64">
        <f>prodnorm19</f>
        <v>0</v>
      </c>
      <c r="O85" s="65">
        <f>dagwerk19</f>
        <v>0</v>
      </c>
      <c r="P85" s="61" t="s">
        <v>41</v>
      </c>
      <c r="Q85" s="66">
        <f>uurtarief19</f>
        <v>0</v>
      </c>
      <c r="R85" s="63" t="e">
        <f>IF(ISBLANK(N85),0,M85/ROUND(N85,4))</f>
        <v>#DIV/0!</v>
      </c>
      <c r="S85" s="63" t="e">
        <f>IF(ISBLANK(N85),0,R85*ROUND(O85,2))</f>
        <v>#DIV/0!</v>
      </c>
      <c r="T85" s="66" t="e">
        <f>ROUND(Q85,2)*R85</f>
        <v>#DIV/0!</v>
      </c>
      <c r="U85" s="63" t="e">
        <f>R85*dagenperjaar1</f>
        <v>#DIV/0!</v>
      </c>
      <c r="V85" s="67" t="e">
        <f>U85*ROUND(Q85,2)</f>
        <v>#DIV/0!</v>
      </c>
    </row>
    <row r="86" spans="1:22" x14ac:dyDescent="0.2">
      <c r="A86" s="60" t="s">
        <v>290</v>
      </c>
      <c r="B86" s="61" t="s">
        <v>291</v>
      </c>
      <c r="C86" s="61" t="s">
        <v>292</v>
      </c>
      <c r="D86" s="61" t="s">
        <v>424</v>
      </c>
      <c r="E86" s="62" t="s">
        <v>414</v>
      </c>
      <c r="F86" s="61" t="s">
        <v>301</v>
      </c>
      <c r="G86" s="61" t="s">
        <v>218</v>
      </c>
      <c r="H86" s="61" t="s">
        <v>19</v>
      </c>
      <c r="I86" s="61" t="s">
        <v>200</v>
      </c>
      <c r="J86" s="61" t="s">
        <v>291</v>
      </c>
      <c r="K86" s="61" t="s">
        <v>291</v>
      </c>
      <c r="L86" s="63">
        <v>53</v>
      </c>
      <c r="M86" s="63">
        <f>L86*VLOOKUP(H86,dagsoorttabel1,2,FALSE)</f>
        <v>8.5215686274509803</v>
      </c>
      <c r="N86" s="64">
        <f>prodnorm20</f>
        <v>0</v>
      </c>
      <c r="O86" s="65">
        <f>dagwerk20</f>
        <v>0</v>
      </c>
      <c r="P86" s="61" t="s">
        <v>41</v>
      </c>
      <c r="Q86" s="66">
        <f>uurtarief20</f>
        <v>0</v>
      </c>
      <c r="R86" s="63" t="e">
        <f>IF(ISBLANK(N86),0,M86/ROUND(N86,4))</f>
        <v>#DIV/0!</v>
      </c>
      <c r="S86" s="63" t="e">
        <f>IF(ISBLANK(N86),0,R86*ROUND(O86,2))</f>
        <v>#DIV/0!</v>
      </c>
      <c r="T86" s="66" t="e">
        <f>ROUND(Q86,2)*R86</f>
        <v>#DIV/0!</v>
      </c>
      <c r="U86" s="63" t="e">
        <f>R86*dagenperjaar1</f>
        <v>#DIV/0!</v>
      </c>
      <c r="V86" s="67" t="e">
        <f>U86*ROUND(Q86,2)</f>
        <v>#DIV/0!</v>
      </c>
    </row>
    <row r="87" spans="1:22" x14ac:dyDescent="0.2">
      <c r="A87" s="60" t="s">
        <v>290</v>
      </c>
      <c r="B87" s="61" t="s">
        <v>291</v>
      </c>
      <c r="C87" s="61" t="s">
        <v>292</v>
      </c>
      <c r="D87" s="61" t="s">
        <v>425</v>
      </c>
      <c r="E87" s="62" t="s">
        <v>414</v>
      </c>
      <c r="F87" s="61" t="s">
        <v>301</v>
      </c>
      <c r="G87" s="61" t="s">
        <v>218</v>
      </c>
      <c r="H87" s="61" t="s">
        <v>12</v>
      </c>
      <c r="I87" s="61" t="s">
        <v>200</v>
      </c>
      <c r="J87" s="61" t="s">
        <v>291</v>
      </c>
      <c r="K87" s="61" t="s">
        <v>291</v>
      </c>
      <c r="L87" s="63">
        <v>51</v>
      </c>
      <c r="M87" s="63">
        <f>L87*VLOOKUP(H87,dagsoorttabel1,2,FALSE)</f>
        <v>41</v>
      </c>
      <c r="N87" s="64">
        <f>prodnorm19</f>
        <v>0</v>
      </c>
      <c r="O87" s="65">
        <f>dagwerk19</f>
        <v>0</v>
      </c>
      <c r="P87" s="61" t="s">
        <v>41</v>
      </c>
      <c r="Q87" s="66">
        <f>uurtarief19</f>
        <v>0</v>
      </c>
      <c r="R87" s="63" t="e">
        <f>IF(ISBLANK(N87),0,M87/ROUND(N87,4))</f>
        <v>#DIV/0!</v>
      </c>
      <c r="S87" s="63" t="e">
        <f>IF(ISBLANK(N87),0,R87*ROUND(O87,2))</f>
        <v>#DIV/0!</v>
      </c>
      <c r="T87" s="66" t="e">
        <f>ROUND(Q87,2)*R87</f>
        <v>#DIV/0!</v>
      </c>
      <c r="U87" s="63" t="e">
        <f>R87*dagenperjaar1</f>
        <v>#DIV/0!</v>
      </c>
      <c r="V87" s="67" t="e">
        <f>U87*ROUND(Q87,2)</f>
        <v>#DIV/0!</v>
      </c>
    </row>
    <row r="88" spans="1:22" x14ac:dyDescent="0.2">
      <c r="A88" s="60" t="s">
        <v>290</v>
      </c>
      <c r="B88" s="61" t="s">
        <v>291</v>
      </c>
      <c r="C88" s="61" t="s">
        <v>292</v>
      </c>
      <c r="D88" s="61" t="s">
        <v>426</v>
      </c>
      <c r="E88" s="62" t="s">
        <v>335</v>
      </c>
      <c r="F88" s="61" t="s">
        <v>301</v>
      </c>
      <c r="G88" s="61" t="s">
        <v>262</v>
      </c>
      <c r="H88" s="61" t="s">
        <v>12</v>
      </c>
      <c r="I88" s="61" t="s">
        <v>200</v>
      </c>
      <c r="J88" s="61" t="s">
        <v>291</v>
      </c>
      <c r="K88" s="61" t="s">
        <v>291</v>
      </c>
      <c r="L88" s="63">
        <v>75</v>
      </c>
      <c r="M88" s="63">
        <f>L88*VLOOKUP(H88,dagsoorttabel1,2,FALSE)</f>
        <v>60.294117647058826</v>
      </c>
      <c r="N88" s="64">
        <f>prodnorm50</f>
        <v>0</v>
      </c>
      <c r="O88" s="65">
        <f>dagwerk50</f>
        <v>0</v>
      </c>
      <c r="P88" s="61" t="s">
        <v>41</v>
      </c>
      <c r="Q88" s="66">
        <f>uurtarief50</f>
        <v>0</v>
      </c>
      <c r="R88" s="63" t="e">
        <f>IF(ISBLANK(N88),0,M88/ROUND(N88,4))</f>
        <v>#DIV/0!</v>
      </c>
      <c r="S88" s="63" t="e">
        <f>IF(ISBLANK(N88),0,R88*ROUND(O88,2))</f>
        <v>#DIV/0!</v>
      </c>
      <c r="T88" s="66" t="e">
        <f>ROUND(Q88,2)*R88</f>
        <v>#DIV/0!</v>
      </c>
      <c r="U88" s="63" t="e">
        <f>R88*dagenperjaar1</f>
        <v>#DIV/0!</v>
      </c>
      <c r="V88" s="67" t="e">
        <f>U88*ROUND(Q88,2)</f>
        <v>#DIV/0!</v>
      </c>
    </row>
    <row r="89" spans="1:22" x14ac:dyDescent="0.2">
      <c r="A89" s="60" t="s">
        <v>290</v>
      </c>
      <c r="B89" s="61" t="s">
        <v>291</v>
      </c>
      <c r="C89" s="61" t="s">
        <v>292</v>
      </c>
      <c r="D89" s="61" t="s">
        <v>427</v>
      </c>
      <c r="E89" s="62" t="s">
        <v>400</v>
      </c>
      <c r="F89" s="61" t="s">
        <v>301</v>
      </c>
      <c r="G89" s="61" t="s">
        <v>250</v>
      </c>
      <c r="H89" s="61" t="s">
        <v>19</v>
      </c>
      <c r="I89" s="61" t="s">
        <v>200</v>
      </c>
      <c r="J89" s="61" t="s">
        <v>291</v>
      </c>
      <c r="K89" s="61" t="s">
        <v>291</v>
      </c>
      <c r="L89" s="63">
        <v>10</v>
      </c>
      <c r="M89" s="63">
        <f>L89*VLOOKUP(H89,dagsoorttabel1,2,FALSE)</f>
        <v>1.607843137254902</v>
      </c>
      <c r="N89" s="64">
        <f>prodnorm42</f>
        <v>0</v>
      </c>
      <c r="O89" s="65">
        <f>dagwerk42</f>
        <v>0</v>
      </c>
      <c r="P89" s="61" t="s">
        <v>41</v>
      </c>
      <c r="Q89" s="66">
        <f>uurtarief42</f>
        <v>0</v>
      </c>
      <c r="R89" s="63" t="e">
        <f>IF(ISBLANK(N89),0,M89/ROUND(N89,4))</f>
        <v>#DIV/0!</v>
      </c>
      <c r="S89" s="63" t="e">
        <f>IF(ISBLANK(N89),0,R89*ROUND(O89,2))</f>
        <v>#DIV/0!</v>
      </c>
      <c r="T89" s="66" t="e">
        <f>ROUND(Q89,2)*R89</f>
        <v>#DIV/0!</v>
      </c>
      <c r="U89" s="63" t="e">
        <f>R89*dagenperjaar1</f>
        <v>#DIV/0!</v>
      </c>
      <c r="V89" s="67" t="e">
        <f>U89*ROUND(Q89,2)</f>
        <v>#DIV/0!</v>
      </c>
    </row>
    <row r="90" spans="1:22" x14ac:dyDescent="0.2">
      <c r="A90" s="60" t="s">
        <v>290</v>
      </c>
      <c r="B90" s="61" t="s">
        <v>291</v>
      </c>
      <c r="C90" s="61" t="s">
        <v>292</v>
      </c>
      <c r="D90" s="61" t="s">
        <v>428</v>
      </c>
      <c r="E90" s="62" t="s">
        <v>400</v>
      </c>
      <c r="F90" s="61" t="s">
        <v>301</v>
      </c>
      <c r="G90" s="61" t="s">
        <v>250</v>
      </c>
      <c r="H90" s="61" t="s">
        <v>19</v>
      </c>
      <c r="I90" s="61" t="s">
        <v>200</v>
      </c>
      <c r="J90" s="61" t="s">
        <v>291</v>
      </c>
      <c r="K90" s="61" t="s">
        <v>291</v>
      </c>
      <c r="L90" s="63">
        <v>10</v>
      </c>
      <c r="M90" s="63">
        <f>L90*VLOOKUP(H90,dagsoorttabel1,2,FALSE)</f>
        <v>1.607843137254902</v>
      </c>
      <c r="N90" s="64">
        <f>prodnorm42</f>
        <v>0</v>
      </c>
      <c r="O90" s="65">
        <f>dagwerk42</f>
        <v>0</v>
      </c>
      <c r="P90" s="61" t="s">
        <v>41</v>
      </c>
      <c r="Q90" s="66">
        <f>uurtarief42</f>
        <v>0</v>
      </c>
      <c r="R90" s="63" t="e">
        <f>IF(ISBLANK(N90),0,M90/ROUND(N90,4))</f>
        <v>#DIV/0!</v>
      </c>
      <c r="S90" s="63" t="e">
        <f>IF(ISBLANK(N90),0,R90*ROUND(O90,2))</f>
        <v>#DIV/0!</v>
      </c>
      <c r="T90" s="66" t="e">
        <f>ROUND(Q90,2)*R90</f>
        <v>#DIV/0!</v>
      </c>
      <c r="U90" s="63" t="e">
        <f>R90*dagenperjaar1</f>
        <v>#DIV/0!</v>
      </c>
      <c r="V90" s="67" t="e">
        <f>U90*ROUND(Q90,2)</f>
        <v>#DIV/0!</v>
      </c>
    </row>
    <row r="91" spans="1:22" x14ac:dyDescent="0.2">
      <c r="A91" s="60" t="s">
        <v>290</v>
      </c>
      <c r="B91" s="61" t="s">
        <v>291</v>
      </c>
      <c r="C91" s="61" t="s">
        <v>292</v>
      </c>
      <c r="D91" s="61" t="s">
        <v>429</v>
      </c>
      <c r="E91" s="62" t="s">
        <v>414</v>
      </c>
      <c r="F91" s="61" t="s">
        <v>301</v>
      </c>
      <c r="G91" s="61" t="s">
        <v>218</v>
      </c>
      <c r="H91" s="61" t="s">
        <v>12</v>
      </c>
      <c r="I91" s="61" t="s">
        <v>200</v>
      </c>
      <c r="J91" s="61" t="s">
        <v>291</v>
      </c>
      <c r="K91" s="61" t="s">
        <v>291</v>
      </c>
      <c r="L91" s="63">
        <v>67</v>
      </c>
      <c r="M91" s="63">
        <f>L91*VLOOKUP(H91,dagsoorttabel1,2,FALSE)</f>
        <v>53.86274509803922</v>
      </c>
      <c r="N91" s="64">
        <f>prodnorm19</f>
        <v>0</v>
      </c>
      <c r="O91" s="65">
        <f>dagwerk19</f>
        <v>0</v>
      </c>
      <c r="P91" s="61" t="s">
        <v>41</v>
      </c>
      <c r="Q91" s="66">
        <f>uurtarief19</f>
        <v>0</v>
      </c>
      <c r="R91" s="63" t="e">
        <f>IF(ISBLANK(N91),0,M91/ROUND(N91,4))</f>
        <v>#DIV/0!</v>
      </c>
      <c r="S91" s="63" t="e">
        <f>IF(ISBLANK(N91),0,R91*ROUND(O91,2))</f>
        <v>#DIV/0!</v>
      </c>
      <c r="T91" s="66" t="e">
        <f>ROUND(Q91,2)*R91</f>
        <v>#DIV/0!</v>
      </c>
      <c r="U91" s="63" t="e">
        <f>R91*dagenperjaar1</f>
        <v>#DIV/0!</v>
      </c>
      <c r="V91" s="67" t="e">
        <f>U91*ROUND(Q91,2)</f>
        <v>#DIV/0!</v>
      </c>
    </row>
    <row r="92" spans="1:22" x14ac:dyDescent="0.2">
      <c r="A92" s="60" t="s">
        <v>290</v>
      </c>
      <c r="B92" s="61" t="s">
        <v>291</v>
      </c>
      <c r="C92" s="61" t="s">
        <v>292</v>
      </c>
      <c r="D92" s="61" t="s">
        <v>430</v>
      </c>
      <c r="E92" s="62" t="s">
        <v>337</v>
      </c>
      <c r="F92" s="61" t="s">
        <v>301</v>
      </c>
      <c r="G92" s="61" t="s">
        <v>254</v>
      </c>
      <c r="H92" s="61" t="s">
        <v>12</v>
      </c>
      <c r="I92" s="61" t="s">
        <v>200</v>
      </c>
      <c r="J92" s="61" t="s">
        <v>291</v>
      </c>
      <c r="K92" s="61" t="s">
        <v>291</v>
      </c>
      <c r="L92" s="63">
        <v>73</v>
      </c>
      <c r="M92" s="63">
        <f>L92*VLOOKUP(H92,dagsoorttabel1,2,FALSE)</f>
        <v>58.686274509803923</v>
      </c>
      <c r="N92" s="64">
        <f>prodnorm44</f>
        <v>0</v>
      </c>
      <c r="O92" s="65">
        <f>dagwerk44</f>
        <v>0</v>
      </c>
      <c r="P92" s="61" t="s">
        <v>41</v>
      </c>
      <c r="Q92" s="66">
        <f>uurtarief44</f>
        <v>0</v>
      </c>
      <c r="R92" s="63" t="e">
        <f>IF(ISBLANK(N92),0,M92/ROUND(N92,4))</f>
        <v>#DIV/0!</v>
      </c>
      <c r="S92" s="63" t="e">
        <f>IF(ISBLANK(N92),0,R92*ROUND(O92,2))</f>
        <v>#DIV/0!</v>
      </c>
      <c r="T92" s="66" t="e">
        <f>ROUND(Q92,2)*R92</f>
        <v>#DIV/0!</v>
      </c>
      <c r="U92" s="63" t="e">
        <f>R92*dagenperjaar1</f>
        <v>#DIV/0!</v>
      </c>
      <c r="V92" s="67" t="e">
        <f>U92*ROUND(Q92,2)</f>
        <v>#DIV/0!</v>
      </c>
    </row>
    <row r="93" spans="1:22" x14ac:dyDescent="0.2">
      <c r="A93" s="60" t="s">
        <v>290</v>
      </c>
      <c r="B93" s="61" t="s">
        <v>291</v>
      </c>
      <c r="C93" s="61" t="s">
        <v>292</v>
      </c>
      <c r="D93" s="61" t="s">
        <v>431</v>
      </c>
      <c r="E93" s="62" t="s">
        <v>414</v>
      </c>
      <c r="F93" s="61" t="s">
        <v>301</v>
      </c>
      <c r="G93" s="61" t="s">
        <v>218</v>
      </c>
      <c r="H93" s="61" t="s">
        <v>12</v>
      </c>
      <c r="I93" s="61" t="s">
        <v>200</v>
      </c>
      <c r="J93" s="61" t="s">
        <v>291</v>
      </c>
      <c r="K93" s="61" t="s">
        <v>291</v>
      </c>
      <c r="L93" s="63">
        <v>60</v>
      </c>
      <c r="M93" s="63">
        <f>L93*VLOOKUP(H93,dagsoorttabel1,2,FALSE)</f>
        <v>48.235294117647058</v>
      </c>
      <c r="N93" s="64">
        <f>prodnorm19</f>
        <v>0</v>
      </c>
      <c r="O93" s="65">
        <f>dagwerk19</f>
        <v>0</v>
      </c>
      <c r="P93" s="61" t="s">
        <v>41</v>
      </c>
      <c r="Q93" s="66">
        <f>uurtarief19</f>
        <v>0</v>
      </c>
      <c r="R93" s="63" t="e">
        <f>IF(ISBLANK(N93),0,M93/ROUND(N93,4))</f>
        <v>#DIV/0!</v>
      </c>
      <c r="S93" s="63" t="e">
        <f>IF(ISBLANK(N93),0,R93*ROUND(O93,2))</f>
        <v>#DIV/0!</v>
      </c>
      <c r="T93" s="66" t="e">
        <f>ROUND(Q93,2)*R93</f>
        <v>#DIV/0!</v>
      </c>
      <c r="U93" s="63" t="e">
        <f>R93*dagenperjaar1</f>
        <v>#DIV/0!</v>
      </c>
      <c r="V93" s="67" t="e">
        <f>U93*ROUND(Q93,2)</f>
        <v>#DIV/0!</v>
      </c>
    </row>
    <row r="94" spans="1:22" x14ac:dyDescent="0.2">
      <c r="A94" s="60" t="s">
        <v>290</v>
      </c>
      <c r="B94" s="61" t="s">
        <v>291</v>
      </c>
      <c r="C94" s="61" t="s">
        <v>292</v>
      </c>
      <c r="D94" s="61" t="s">
        <v>432</v>
      </c>
      <c r="E94" s="62" t="s">
        <v>433</v>
      </c>
      <c r="F94" s="61" t="s">
        <v>301</v>
      </c>
      <c r="G94" s="61" t="s">
        <v>230</v>
      </c>
      <c r="H94" s="61" t="s">
        <v>26</v>
      </c>
      <c r="I94" s="61" t="s">
        <v>200</v>
      </c>
      <c r="J94" s="61" t="s">
        <v>291</v>
      </c>
      <c r="K94" s="61" t="s">
        <v>291</v>
      </c>
      <c r="L94" s="63">
        <v>14</v>
      </c>
      <c r="M94" s="63">
        <f>L94*VLOOKUP(H94,dagsoorttabel1,2,FALSE)</f>
        <v>5.4901960784313725E-2</v>
      </c>
      <c r="N94" s="64">
        <f>prodnorm27</f>
        <v>0</v>
      </c>
      <c r="O94" s="65">
        <f>dagwerk27</f>
        <v>0</v>
      </c>
      <c r="P94" s="61" t="s">
        <v>41</v>
      </c>
      <c r="Q94" s="66">
        <f>uurtarief27</f>
        <v>0</v>
      </c>
      <c r="R94" s="63" t="e">
        <f>IF(ISBLANK(N94),0,M94/ROUND(N94,4))</f>
        <v>#DIV/0!</v>
      </c>
      <c r="S94" s="63" t="e">
        <f>IF(ISBLANK(N94),0,R94*ROUND(O94,2))</f>
        <v>#DIV/0!</v>
      </c>
      <c r="T94" s="66" t="e">
        <f>ROUND(Q94,2)*R94</f>
        <v>#DIV/0!</v>
      </c>
      <c r="U94" s="63" t="e">
        <f>R94*dagenperjaar1</f>
        <v>#DIV/0!</v>
      </c>
      <c r="V94" s="67" t="e">
        <f>U94*ROUND(Q94,2)</f>
        <v>#DIV/0!</v>
      </c>
    </row>
    <row r="95" spans="1:22" x14ac:dyDescent="0.2">
      <c r="A95" s="60" t="s">
        <v>290</v>
      </c>
      <c r="B95" s="61" t="s">
        <v>291</v>
      </c>
      <c r="C95" s="61" t="s">
        <v>292</v>
      </c>
      <c r="D95" s="61" t="s">
        <v>434</v>
      </c>
      <c r="E95" s="62" t="s">
        <v>414</v>
      </c>
      <c r="F95" s="61" t="s">
        <v>301</v>
      </c>
      <c r="G95" s="61" t="s">
        <v>218</v>
      </c>
      <c r="H95" s="61" t="s">
        <v>12</v>
      </c>
      <c r="I95" s="61" t="s">
        <v>200</v>
      </c>
      <c r="J95" s="61" t="s">
        <v>291</v>
      </c>
      <c r="K95" s="61" t="s">
        <v>291</v>
      </c>
      <c r="L95" s="63">
        <v>64</v>
      </c>
      <c r="M95" s="63">
        <f>L95*VLOOKUP(H95,dagsoorttabel1,2,FALSE)</f>
        <v>51.450980392156865</v>
      </c>
      <c r="N95" s="64">
        <f>prodnorm19</f>
        <v>0</v>
      </c>
      <c r="O95" s="65">
        <f>dagwerk19</f>
        <v>0</v>
      </c>
      <c r="P95" s="61" t="s">
        <v>41</v>
      </c>
      <c r="Q95" s="66">
        <f>uurtarief19</f>
        <v>0</v>
      </c>
      <c r="R95" s="63" t="e">
        <f>IF(ISBLANK(N95),0,M95/ROUND(N95,4))</f>
        <v>#DIV/0!</v>
      </c>
      <c r="S95" s="63" t="e">
        <f>IF(ISBLANK(N95),0,R95*ROUND(O95,2))</f>
        <v>#DIV/0!</v>
      </c>
      <c r="T95" s="66" t="e">
        <f>ROUND(Q95,2)*R95</f>
        <v>#DIV/0!</v>
      </c>
      <c r="U95" s="63" t="e">
        <f>R95*dagenperjaar1</f>
        <v>#DIV/0!</v>
      </c>
      <c r="V95" s="67" t="e">
        <f>U95*ROUND(Q95,2)</f>
        <v>#DIV/0!</v>
      </c>
    </row>
    <row r="96" spans="1:22" x14ac:dyDescent="0.2">
      <c r="A96" s="60" t="s">
        <v>290</v>
      </c>
      <c r="B96" s="61" t="s">
        <v>291</v>
      </c>
      <c r="C96" s="61" t="s">
        <v>292</v>
      </c>
      <c r="D96" s="61" t="s">
        <v>435</v>
      </c>
      <c r="E96" s="62" t="s">
        <v>414</v>
      </c>
      <c r="F96" s="61" t="s">
        <v>301</v>
      </c>
      <c r="G96" s="61" t="s">
        <v>218</v>
      </c>
      <c r="H96" s="61" t="s">
        <v>12</v>
      </c>
      <c r="I96" s="61" t="s">
        <v>200</v>
      </c>
      <c r="J96" s="61" t="s">
        <v>291</v>
      </c>
      <c r="K96" s="61" t="s">
        <v>291</v>
      </c>
      <c r="L96" s="63">
        <v>65</v>
      </c>
      <c r="M96" s="63">
        <f>L96*VLOOKUP(H96,dagsoorttabel1,2,FALSE)</f>
        <v>52.254901960784316</v>
      </c>
      <c r="N96" s="64">
        <f>prodnorm19</f>
        <v>0</v>
      </c>
      <c r="O96" s="65">
        <f>dagwerk19</f>
        <v>0</v>
      </c>
      <c r="P96" s="61" t="s">
        <v>41</v>
      </c>
      <c r="Q96" s="66">
        <f>uurtarief19</f>
        <v>0</v>
      </c>
      <c r="R96" s="63" t="e">
        <f>IF(ISBLANK(N96),0,M96/ROUND(N96,4))</f>
        <v>#DIV/0!</v>
      </c>
      <c r="S96" s="63" t="e">
        <f>IF(ISBLANK(N96),0,R96*ROUND(O96,2))</f>
        <v>#DIV/0!</v>
      </c>
      <c r="T96" s="66" t="e">
        <f>ROUND(Q96,2)*R96</f>
        <v>#DIV/0!</v>
      </c>
      <c r="U96" s="63" t="e">
        <f>R96*dagenperjaar1</f>
        <v>#DIV/0!</v>
      </c>
      <c r="V96" s="67" t="e">
        <f>U96*ROUND(Q96,2)</f>
        <v>#DIV/0!</v>
      </c>
    </row>
    <row r="97" spans="1:22" x14ac:dyDescent="0.2">
      <c r="A97" s="60" t="s">
        <v>290</v>
      </c>
      <c r="B97" s="61" t="s">
        <v>291</v>
      </c>
      <c r="C97" s="61" t="s">
        <v>292</v>
      </c>
      <c r="D97" s="61" t="s">
        <v>436</v>
      </c>
      <c r="E97" s="62" t="s">
        <v>414</v>
      </c>
      <c r="F97" s="61" t="s">
        <v>301</v>
      </c>
      <c r="G97" s="61" t="s">
        <v>218</v>
      </c>
      <c r="H97" s="61" t="s">
        <v>12</v>
      </c>
      <c r="I97" s="61" t="s">
        <v>200</v>
      </c>
      <c r="J97" s="61" t="s">
        <v>291</v>
      </c>
      <c r="K97" s="61" t="s">
        <v>291</v>
      </c>
      <c r="L97" s="63">
        <v>65</v>
      </c>
      <c r="M97" s="63">
        <f>L97*VLOOKUP(H97,dagsoorttabel1,2,FALSE)</f>
        <v>52.254901960784316</v>
      </c>
      <c r="N97" s="64">
        <f>prodnorm19</f>
        <v>0</v>
      </c>
      <c r="O97" s="65">
        <f>dagwerk19</f>
        <v>0</v>
      </c>
      <c r="P97" s="61" t="s">
        <v>41</v>
      </c>
      <c r="Q97" s="66">
        <f>uurtarief19</f>
        <v>0</v>
      </c>
      <c r="R97" s="63" t="e">
        <f>IF(ISBLANK(N97),0,M97/ROUND(N97,4))</f>
        <v>#DIV/0!</v>
      </c>
      <c r="S97" s="63" t="e">
        <f>IF(ISBLANK(N97),0,R97*ROUND(O97,2))</f>
        <v>#DIV/0!</v>
      </c>
      <c r="T97" s="66" t="e">
        <f>ROUND(Q97,2)*R97</f>
        <v>#DIV/0!</v>
      </c>
      <c r="U97" s="63" t="e">
        <f>R97*dagenperjaar1</f>
        <v>#DIV/0!</v>
      </c>
      <c r="V97" s="67" t="e">
        <f>U97*ROUND(Q97,2)</f>
        <v>#DIV/0!</v>
      </c>
    </row>
    <row r="98" spans="1:22" x14ac:dyDescent="0.2">
      <c r="A98" s="60" t="s">
        <v>290</v>
      </c>
      <c r="B98" s="61" t="s">
        <v>291</v>
      </c>
      <c r="C98" s="61" t="s">
        <v>292</v>
      </c>
      <c r="D98" s="61" t="s">
        <v>437</v>
      </c>
      <c r="E98" s="62" t="s">
        <v>414</v>
      </c>
      <c r="F98" s="61" t="s">
        <v>301</v>
      </c>
      <c r="G98" s="61" t="s">
        <v>218</v>
      </c>
      <c r="H98" s="61" t="s">
        <v>12</v>
      </c>
      <c r="I98" s="61" t="s">
        <v>200</v>
      </c>
      <c r="J98" s="61" t="s">
        <v>291</v>
      </c>
      <c r="K98" s="61" t="s">
        <v>291</v>
      </c>
      <c r="L98" s="63">
        <v>96</v>
      </c>
      <c r="M98" s="63">
        <f>L98*VLOOKUP(H98,dagsoorttabel1,2,FALSE)</f>
        <v>77.176470588235304</v>
      </c>
      <c r="N98" s="64">
        <f>prodnorm19</f>
        <v>0</v>
      </c>
      <c r="O98" s="65">
        <f>dagwerk19</f>
        <v>0</v>
      </c>
      <c r="P98" s="61" t="s">
        <v>41</v>
      </c>
      <c r="Q98" s="66">
        <f>uurtarief19</f>
        <v>0</v>
      </c>
      <c r="R98" s="63" t="e">
        <f>IF(ISBLANK(N98),0,M98/ROUND(N98,4))</f>
        <v>#DIV/0!</v>
      </c>
      <c r="S98" s="63" t="e">
        <f>IF(ISBLANK(N98),0,R98*ROUND(O98,2))</f>
        <v>#DIV/0!</v>
      </c>
      <c r="T98" s="66" t="e">
        <f>ROUND(Q98,2)*R98</f>
        <v>#DIV/0!</v>
      </c>
      <c r="U98" s="63" t="e">
        <f>R98*dagenperjaar1</f>
        <v>#DIV/0!</v>
      </c>
      <c r="V98" s="67" t="e">
        <f>U98*ROUND(Q98,2)</f>
        <v>#DIV/0!</v>
      </c>
    </row>
    <row r="99" spans="1:22" x14ac:dyDescent="0.2">
      <c r="A99" s="60" t="s">
        <v>290</v>
      </c>
      <c r="B99" s="61" t="s">
        <v>291</v>
      </c>
      <c r="C99" s="61" t="s">
        <v>292</v>
      </c>
      <c r="D99" s="61" t="s">
        <v>438</v>
      </c>
      <c r="E99" s="62" t="s">
        <v>439</v>
      </c>
      <c r="F99" s="61" t="s">
        <v>301</v>
      </c>
      <c r="G99" s="61" t="s">
        <v>230</v>
      </c>
      <c r="H99" s="61" t="s">
        <v>26</v>
      </c>
      <c r="I99" s="61" t="s">
        <v>200</v>
      </c>
      <c r="J99" s="61" t="s">
        <v>291</v>
      </c>
      <c r="K99" s="61" t="s">
        <v>291</v>
      </c>
      <c r="L99" s="63">
        <v>27</v>
      </c>
      <c r="M99" s="63">
        <f>L99*VLOOKUP(H99,dagsoorttabel1,2,FALSE)</f>
        <v>0.10588235294117647</v>
      </c>
      <c r="N99" s="64">
        <f>prodnorm27</f>
        <v>0</v>
      </c>
      <c r="O99" s="65">
        <f>dagwerk27</f>
        <v>0</v>
      </c>
      <c r="P99" s="61" t="s">
        <v>41</v>
      </c>
      <c r="Q99" s="66">
        <f>uurtarief27</f>
        <v>0</v>
      </c>
      <c r="R99" s="63" t="e">
        <f>IF(ISBLANK(N99),0,M99/ROUND(N99,4))</f>
        <v>#DIV/0!</v>
      </c>
      <c r="S99" s="63" t="e">
        <f>IF(ISBLANK(N99),0,R99*ROUND(O99,2))</f>
        <v>#DIV/0!</v>
      </c>
      <c r="T99" s="66" t="e">
        <f>ROUND(Q99,2)*R99</f>
        <v>#DIV/0!</v>
      </c>
      <c r="U99" s="63" t="e">
        <f>R99*dagenperjaar1</f>
        <v>#DIV/0!</v>
      </c>
      <c r="V99" s="67" t="e">
        <f>U99*ROUND(Q99,2)</f>
        <v>#DIV/0!</v>
      </c>
    </row>
    <row r="100" spans="1:22" x14ac:dyDescent="0.2">
      <c r="A100" s="60" t="s">
        <v>290</v>
      </c>
      <c r="B100" s="61" t="s">
        <v>291</v>
      </c>
      <c r="C100" s="61" t="s">
        <v>292</v>
      </c>
      <c r="D100" s="61" t="s">
        <v>440</v>
      </c>
      <c r="E100" s="62" t="s">
        <v>381</v>
      </c>
      <c r="F100" s="61" t="s">
        <v>301</v>
      </c>
      <c r="G100" s="61" t="s">
        <v>199</v>
      </c>
      <c r="H100" s="61" t="s">
        <v>12</v>
      </c>
      <c r="I100" s="61" t="s">
        <v>200</v>
      </c>
      <c r="J100" s="61" t="s">
        <v>291</v>
      </c>
      <c r="K100" s="61" t="s">
        <v>291</v>
      </c>
      <c r="L100" s="63">
        <v>15</v>
      </c>
      <c r="M100" s="63">
        <f>L100*VLOOKUP(H100,dagsoorttabel1,2,FALSE)</f>
        <v>12.058823529411764</v>
      </c>
      <c r="N100" s="64">
        <f>prodnorm3</f>
        <v>0</v>
      </c>
      <c r="O100" s="65">
        <f>dagwerk3</f>
        <v>0</v>
      </c>
      <c r="P100" s="61" t="s">
        <v>41</v>
      </c>
      <c r="Q100" s="66">
        <f>uurtarief3</f>
        <v>0</v>
      </c>
      <c r="R100" s="63" t="e">
        <f>IF(ISBLANK(N100),0,M100/ROUND(N100,4))</f>
        <v>#DIV/0!</v>
      </c>
      <c r="S100" s="63" t="e">
        <f>IF(ISBLANK(N100),0,R100*ROUND(O100,2))</f>
        <v>#DIV/0!</v>
      </c>
      <c r="T100" s="66" t="e">
        <f>ROUND(Q100,2)*R100</f>
        <v>#DIV/0!</v>
      </c>
      <c r="U100" s="63" t="e">
        <f>R100*dagenperjaar1</f>
        <v>#DIV/0!</v>
      </c>
      <c r="V100" s="67" t="e">
        <f>U100*ROUND(Q100,2)</f>
        <v>#DIV/0!</v>
      </c>
    </row>
    <row r="101" spans="1:22" x14ac:dyDescent="0.2">
      <c r="A101" s="60" t="s">
        <v>290</v>
      </c>
      <c r="B101" s="61" t="s">
        <v>291</v>
      </c>
      <c r="C101" s="61" t="s">
        <v>292</v>
      </c>
      <c r="D101" s="61" t="s">
        <v>441</v>
      </c>
      <c r="E101" s="62" t="s">
        <v>381</v>
      </c>
      <c r="F101" s="61" t="s">
        <v>301</v>
      </c>
      <c r="G101" s="61" t="s">
        <v>199</v>
      </c>
      <c r="H101" s="61" t="s">
        <v>12</v>
      </c>
      <c r="I101" s="61" t="s">
        <v>200</v>
      </c>
      <c r="J101" s="61" t="s">
        <v>291</v>
      </c>
      <c r="K101" s="61" t="s">
        <v>291</v>
      </c>
      <c r="L101" s="63">
        <v>15</v>
      </c>
      <c r="M101" s="63">
        <f>L101*VLOOKUP(H101,dagsoorttabel1,2,FALSE)</f>
        <v>12.058823529411764</v>
      </c>
      <c r="N101" s="64">
        <f>prodnorm3</f>
        <v>0</v>
      </c>
      <c r="O101" s="65">
        <f>dagwerk3</f>
        <v>0</v>
      </c>
      <c r="P101" s="61" t="s">
        <v>41</v>
      </c>
      <c r="Q101" s="66">
        <f>uurtarief3</f>
        <v>0</v>
      </c>
      <c r="R101" s="63" t="e">
        <f>IF(ISBLANK(N101),0,M101/ROUND(N101,4))</f>
        <v>#DIV/0!</v>
      </c>
      <c r="S101" s="63" t="e">
        <f>IF(ISBLANK(N101),0,R101*ROUND(O101,2))</f>
        <v>#DIV/0!</v>
      </c>
      <c r="T101" s="66" t="e">
        <f>ROUND(Q101,2)*R101</f>
        <v>#DIV/0!</v>
      </c>
      <c r="U101" s="63" t="e">
        <f>R101*dagenperjaar1</f>
        <v>#DIV/0!</v>
      </c>
      <c r="V101" s="67" t="e">
        <f>U101*ROUND(Q101,2)</f>
        <v>#DIV/0!</v>
      </c>
    </row>
    <row r="102" spans="1:22" x14ac:dyDescent="0.2">
      <c r="A102" s="60" t="s">
        <v>290</v>
      </c>
      <c r="B102" s="61" t="s">
        <v>291</v>
      </c>
      <c r="C102" s="61" t="s">
        <v>292</v>
      </c>
      <c r="D102" s="61" t="s">
        <v>442</v>
      </c>
      <c r="E102" s="62" t="s">
        <v>414</v>
      </c>
      <c r="F102" s="61" t="s">
        <v>301</v>
      </c>
      <c r="G102" s="61" t="s">
        <v>218</v>
      </c>
      <c r="H102" s="61" t="s">
        <v>12</v>
      </c>
      <c r="I102" s="61" t="s">
        <v>200</v>
      </c>
      <c r="J102" s="61" t="s">
        <v>291</v>
      </c>
      <c r="K102" s="61" t="s">
        <v>291</v>
      </c>
      <c r="L102" s="63">
        <v>71</v>
      </c>
      <c r="M102" s="63">
        <f>L102*VLOOKUP(H102,dagsoorttabel1,2,FALSE)</f>
        <v>57.078431372549019</v>
      </c>
      <c r="N102" s="64">
        <f>prodnorm19</f>
        <v>0</v>
      </c>
      <c r="O102" s="65">
        <f>dagwerk19</f>
        <v>0</v>
      </c>
      <c r="P102" s="61" t="s">
        <v>41</v>
      </c>
      <c r="Q102" s="66">
        <f>uurtarief19</f>
        <v>0</v>
      </c>
      <c r="R102" s="63" t="e">
        <f>IF(ISBLANK(N102),0,M102/ROUND(N102,4))</f>
        <v>#DIV/0!</v>
      </c>
      <c r="S102" s="63" t="e">
        <f>IF(ISBLANK(N102),0,R102*ROUND(O102,2))</f>
        <v>#DIV/0!</v>
      </c>
      <c r="T102" s="66" t="e">
        <f>ROUND(Q102,2)*R102</f>
        <v>#DIV/0!</v>
      </c>
      <c r="U102" s="63" t="e">
        <f>R102*dagenperjaar1</f>
        <v>#DIV/0!</v>
      </c>
      <c r="V102" s="67" t="e">
        <f>U102*ROUND(Q102,2)</f>
        <v>#DIV/0!</v>
      </c>
    </row>
    <row r="103" spans="1:22" x14ac:dyDescent="0.2">
      <c r="A103" s="60" t="s">
        <v>290</v>
      </c>
      <c r="B103" s="61" t="s">
        <v>291</v>
      </c>
      <c r="C103" s="61" t="s">
        <v>292</v>
      </c>
      <c r="D103" s="61" t="s">
        <v>443</v>
      </c>
      <c r="E103" s="62" t="s">
        <v>444</v>
      </c>
      <c r="F103" s="61" t="s">
        <v>316</v>
      </c>
      <c r="G103" s="61" t="s">
        <v>252</v>
      </c>
      <c r="H103" s="61" t="s">
        <v>12</v>
      </c>
      <c r="I103" s="61" t="s">
        <v>200</v>
      </c>
      <c r="J103" s="61" t="s">
        <v>291</v>
      </c>
      <c r="K103" s="61" t="s">
        <v>291</v>
      </c>
      <c r="L103" s="63">
        <v>22</v>
      </c>
      <c r="M103" s="63">
        <f>L103*VLOOKUP(H103,dagsoorttabel1,2,FALSE)</f>
        <v>17.686274509803923</v>
      </c>
      <c r="N103" s="64">
        <f>prodnorm43</f>
        <v>0</v>
      </c>
      <c r="O103" s="65">
        <f>dagwerk43</f>
        <v>0</v>
      </c>
      <c r="P103" s="61" t="s">
        <v>41</v>
      </c>
      <c r="Q103" s="66">
        <f>uurtarief43</f>
        <v>0</v>
      </c>
      <c r="R103" s="63" t="e">
        <f>IF(ISBLANK(N103),0,M103/ROUND(N103,4))</f>
        <v>#DIV/0!</v>
      </c>
      <c r="S103" s="63" t="e">
        <f>IF(ISBLANK(N103),0,R103*ROUND(O103,2))</f>
        <v>#DIV/0!</v>
      </c>
      <c r="T103" s="66" t="e">
        <f>ROUND(Q103,2)*R103</f>
        <v>#DIV/0!</v>
      </c>
      <c r="U103" s="63" t="e">
        <f>R103*dagenperjaar1</f>
        <v>#DIV/0!</v>
      </c>
      <c r="V103" s="67" t="e">
        <f>U103*ROUND(Q103,2)</f>
        <v>#DIV/0!</v>
      </c>
    </row>
    <row r="104" spans="1:22" x14ac:dyDescent="0.2">
      <c r="A104" s="60" t="s">
        <v>290</v>
      </c>
      <c r="B104" s="61" t="s">
        <v>291</v>
      </c>
      <c r="C104" s="61" t="s">
        <v>292</v>
      </c>
      <c r="D104" s="61" t="s">
        <v>445</v>
      </c>
      <c r="E104" s="62" t="s">
        <v>446</v>
      </c>
      <c r="F104" s="61" t="s">
        <v>316</v>
      </c>
      <c r="G104" s="61" t="s">
        <v>232</v>
      </c>
      <c r="H104" s="61" t="s">
        <v>12</v>
      </c>
      <c r="I104" s="61" t="s">
        <v>200</v>
      </c>
      <c r="J104" s="61" t="s">
        <v>291</v>
      </c>
      <c r="K104" s="61" t="s">
        <v>291</v>
      </c>
      <c r="L104" s="63">
        <v>4</v>
      </c>
      <c r="M104" s="63">
        <f>L104*VLOOKUP(H104,dagsoorttabel1,2,FALSE)</f>
        <v>3.215686274509804</v>
      </c>
      <c r="N104" s="64">
        <f>prodnorm29</f>
        <v>0</v>
      </c>
      <c r="O104" s="65">
        <f>dagwerk29</f>
        <v>0</v>
      </c>
      <c r="P104" s="61" t="s">
        <v>41</v>
      </c>
      <c r="Q104" s="66">
        <f>uurtarief29</f>
        <v>0</v>
      </c>
      <c r="R104" s="63" t="e">
        <f>IF(ISBLANK(N104),0,M104/ROUND(N104,4))</f>
        <v>#DIV/0!</v>
      </c>
      <c r="S104" s="63" t="e">
        <f>IF(ISBLANK(N104),0,R104*ROUND(O104,2))</f>
        <v>#DIV/0!</v>
      </c>
      <c r="T104" s="66" t="e">
        <f>ROUND(Q104,2)*R104</f>
        <v>#DIV/0!</v>
      </c>
      <c r="U104" s="63" t="e">
        <f>R104*dagenperjaar1</f>
        <v>#DIV/0!</v>
      </c>
      <c r="V104" s="67" t="e">
        <f>U104*ROUND(Q104,2)</f>
        <v>#DIV/0!</v>
      </c>
    </row>
    <row r="105" spans="1:22" x14ac:dyDescent="0.2">
      <c r="A105" s="60" t="s">
        <v>290</v>
      </c>
      <c r="B105" s="61" t="s">
        <v>291</v>
      </c>
      <c r="C105" s="61" t="s">
        <v>292</v>
      </c>
      <c r="D105" s="61" t="s">
        <v>447</v>
      </c>
      <c r="E105" s="62" t="s">
        <v>448</v>
      </c>
      <c r="F105" s="61" t="s">
        <v>301</v>
      </c>
      <c r="G105" s="61" t="s">
        <v>222</v>
      </c>
      <c r="H105" s="61" t="s">
        <v>12</v>
      </c>
      <c r="I105" s="61" t="s">
        <v>200</v>
      </c>
      <c r="J105" s="61" t="s">
        <v>291</v>
      </c>
      <c r="K105" s="61" t="s">
        <v>291</v>
      </c>
      <c r="L105" s="63">
        <v>107</v>
      </c>
      <c r="M105" s="63">
        <f>L105*VLOOKUP(H105,dagsoorttabel1,2,FALSE)</f>
        <v>86.019607843137251</v>
      </c>
      <c r="N105" s="64">
        <f>prodnorm23</f>
        <v>0</v>
      </c>
      <c r="O105" s="65">
        <f>dagwerk23</f>
        <v>0</v>
      </c>
      <c r="P105" s="61" t="s">
        <v>41</v>
      </c>
      <c r="Q105" s="66">
        <f>uurtarief23</f>
        <v>0</v>
      </c>
      <c r="R105" s="63" t="e">
        <f>IF(ISBLANK(N105),0,M105/ROUND(N105,4))</f>
        <v>#DIV/0!</v>
      </c>
      <c r="S105" s="63" t="e">
        <f>IF(ISBLANK(N105),0,R105*ROUND(O105,2))</f>
        <v>#DIV/0!</v>
      </c>
      <c r="T105" s="66" t="e">
        <f>ROUND(Q105,2)*R105</f>
        <v>#DIV/0!</v>
      </c>
      <c r="U105" s="63" t="e">
        <f>R105*dagenperjaar1</f>
        <v>#DIV/0!</v>
      </c>
      <c r="V105" s="67" t="e">
        <f>U105*ROUND(Q105,2)</f>
        <v>#DIV/0!</v>
      </c>
    </row>
    <row r="106" spans="1:22" x14ac:dyDescent="0.2">
      <c r="A106" s="60" t="s">
        <v>290</v>
      </c>
      <c r="B106" s="61" t="s">
        <v>291</v>
      </c>
      <c r="C106" s="61" t="s">
        <v>292</v>
      </c>
      <c r="D106" s="61" t="s">
        <v>449</v>
      </c>
      <c r="E106" s="62" t="s">
        <v>450</v>
      </c>
      <c r="F106" s="61" t="s">
        <v>324</v>
      </c>
      <c r="G106" s="61" t="s">
        <v>232</v>
      </c>
      <c r="H106" s="61" t="s">
        <v>12</v>
      </c>
      <c r="I106" s="61" t="s">
        <v>200</v>
      </c>
      <c r="J106" s="61" t="s">
        <v>291</v>
      </c>
      <c r="K106" s="61" t="s">
        <v>291</v>
      </c>
      <c r="L106" s="63">
        <v>180</v>
      </c>
      <c r="M106" s="63">
        <f>L106*VLOOKUP(H106,dagsoorttabel1,2,FALSE)</f>
        <v>144.70588235294119</v>
      </c>
      <c r="N106" s="64">
        <f>prodnorm29</f>
        <v>0</v>
      </c>
      <c r="O106" s="65">
        <f>dagwerk29</f>
        <v>0</v>
      </c>
      <c r="P106" s="61" t="s">
        <v>41</v>
      </c>
      <c r="Q106" s="66">
        <f>uurtarief29</f>
        <v>0</v>
      </c>
      <c r="R106" s="63" t="e">
        <f>IF(ISBLANK(N106),0,M106/ROUND(N106,4))</f>
        <v>#DIV/0!</v>
      </c>
      <c r="S106" s="63" t="e">
        <f>IF(ISBLANK(N106),0,R106*ROUND(O106,2))</f>
        <v>#DIV/0!</v>
      </c>
      <c r="T106" s="66" t="e">
        <f>ROUND(Q106,2)*R106</f>
        <v>#DIV/0!</v>
      </c>
      <c r="U106" s="63" t="e">
        <f>R106*dagenperjaar1</f>
        <v>#DIV/0!</v>
      </c>
      <c r="V106" s="67" t="e">
        <f>U106*ROUND(Q106,2)</f>
        <v>#DIV/0!</v>
      </c>
    </row>
    <row r="107" spans="1:22" x14ac:dyDescent="0.2">
      <c r="A107" s="60" t="s">
        <v>290</v>
      </c>
      <c r="B107" s="61" t="s">
        <v>291</v>
      </c>
      <c r="C107" s="61" t="s">
        <v>292</v>
      </c>
      <c r="D107" s="61" t="s">
        <v>451</v>
      </c>
      <c r="E107" s="62" t="s">
        <v>433</v>
      </c>
      <c r="F107" s="61" t="s">
        <v>301</v>
      </c>
      <c r="G107" s="61" t="s">
        <v>230</v>
      </c>
      <c r="H107" s="61" t="s">
        <v>26</v>
      </c>
      <c r="I107" s="61" t="s">
        <v>200</v>
      </c>
      <c r="J107" s="61" t="s">
        <v>291</v>
      </c>
      <c r="K107" s="61" t="s">
        <v>291</v>
      </c>
      <c r="L107" s="63">
        <v>38</v>
      </c>
      <c r="M107" s="63">
        <f>L107*VLOOKUP(H107,dagsoorttabel1,2,FALSE)</f>
        <v>0.14901960784313725</v>
      </c>
      <c r="N107" s="64">
        <f>prodnorm27</f>
        <v>0</v>
      </c>
      <c r="O107" s="65">
        <f>dagwerk27</f>
        <v>0</v>
      </c>
      <c r="P107" s="61" t="s">
        <v>41</v>
      </c>
      <c r="Q107" s="66">
        <f>uurtarief27</f>
        <v>0</v>
      </c>
      <c r="R107" s="63" t="e">
        <f>IF(ISBLANK(N107),0,M107/ROUND(N107,4))</f>
        <v>#DIV/0!</v>
      </c>
      <c r="S107" s="63" t="e">
        <f>IF(ISBLANK(N107),0,R107*ROUND(O107,2))</f>
        <v>#DIV/0!</v>
      </c>
      <c r="T107" s="66" t="e">
        <f>ROUND(Q107,2)*R107</f>
        <v>#DIV/0!</v>
      </c>
      <c r="U107" s="63" t="e">
        <f>R107*dagenperjaar1</f>
        <v>#DIV/0!</v>
      </c>
      <c r="V107" s="67" t="e">
        <f>U107*ROUND(Q107,2)</f>
        <v>#DIV/0!</v>
      </c>
    </row>
    <row r="108" spans="1:22" x14ac:dyDescent="0.2">
      <c r="A108" s="60" t="s">
        <v>290</v>
      </c>
      <c r="B108" s="61" t="s">
        <v>291</v>
      </c>
      <c r="C108" s="61" t="s">
        <v>292</v>
      </c>
      <c r="D108" s="61" t="s">
        <v>452</v>
      </c>
      <c r="E108" s="62" t="s">
        <v>337</v>
      </c>
      <c r="F108" s="61" t="s">
        <v>301</v>
      </c>
      <c r="G108" s="61" t="s">
        <v>254</v>
      </c>
      <c r="H108" s="61" t="s">
        <v>12</v>
      </c>
      <c r="I108" s="61" t="s">
        <v>200</v>
      </c>
      <c r="J108" s="61" t="s">
        <v>291</v>
      </c>
      <c r="K108" s="61" t="s">
        <v>291</v>
      </c>
      <c r="L108" s="63">
        <v>42</v>
      </c>
      <c r="M108" s="63">
        <f>L108*VLOOKUP(H108,dagsoorttabel1,2,FALSE)</f>
        <v>33.764705882352942</v>
      </c>
      <c r="N108" s="64">
        <f>prodnorm44</f>
        <v>0</v>
      </c>
      <c r="O108" s="65">
        <f>dagwerk44</f>
        <v>0</v>
      </c>
      <c r="P108" s="61" t="s">
        <v>41</v>
      </c>
      <c r="Q108" s="66">
        <f>uurtarief44</f>
        <v>0</v>
      </c>
      <c r="R108" s="63" t="e">
        <f>IF(ISBLANK(N108),0,M108/ROUND(N108,4))</f>
        <v>#DIV/0!</v>
      </c>
      <c r="S108" s="63" t="e">
        <f>IF(ISBLANK(N108),0,R108*ROUND(O108,2))</f>
        <v>#DIV/0!</v>
      </c>
      <c r="T108" s="66" t="e">
        <f>ROUND(Q108,2)*R108</f>
        <v>#DIV/0!</v>
      </c>
      <c r="U108" s="63" t="e">
        <f>R108*dagenperjaar1</f>
        <v>#DIV/0!</v>
      </c>
      <c r="V108" s="67" t="e">
        <f>U108*ROUND(Q108,2)</f>
        <v>#DIV/0!</v>
      </c>
    </row>
    <row r="109" spans="1:22" x14ac:dyDescent="0.2">
      <c r="A109" s="60" t="s">
        <v>290</v>
      </c>
      <c r="B109" s="61" t="s">
        <v>291</v>
      </c>
      <c r="C109" s="61" t="s">
        <v>292</v>
      </c>
      <c r="D109" s="61" t="s">
        <v>453</v>
      </c>
      <c r="E109" s="62" t="s">
        <v>337</v>
      </c>
      <c r="F109" s="61" t="s">
        <v>301</v>
      </c>
      <c r="G109" s="61" t="s">
        <v>254</v>
      </c>
      <c r="H109" s="61" t="s">
        <v>12</v>
      </c>
      <c r="I109" s="61" t="s">
        <v>200</v>
      </c>
      <c r="J109" s="61" t="s">
        <v>291</v>
      </c>
      <c r="K109" s="61" t="s">
        <v>291</v>
      </c>
      <c r="L109" s="63">
        <v>26</v>
      </c>
      <c r="M109" s="63">
        <f>L109*VLOOKUP(H109,dagsoorttabel1,2,FALSE)</f>
        <v>20.901960784313726</v>
      </c>
      <c r="N109" s="64">
        <f>prodnorm44</f>
        <v>0</v>
      </c>
      <c r="O109" s="65">
        <f>dagwerk44</f>
        <v>0</v>
      </c>
      <c r="P109" s="61" t="s">
        <v>41</v>
      </c>
      <c r="Q109" s="66">
        <f>uurtarief44</f>
        <v>0</v>
      </c>
      <c r="R109" s="63" t="e">
        <f>IF(ISBLANK(N109),0,M109/ROUND(N109,4))</f>
        <v>#DIV/0!</v>
      </c>
      <c r="S109" s="63" t="e">
        <f>IF(ISBLANK(N109),0,R109*ROUND(O109,2))</f>
        <v>#DIV/0!</v>
      </c>
      <c r="T109" s="66" t="e">
        <f>ROUND(Q109,2)*R109</f>
        <v>#DIV/0!</v>
      </c>
      <c r="U109" s="63" t="e">
        <f>R109*dagenperjaar1</f>
        <v>#DIV/0!</v>
      </c>
      <c r="V109" s="67" t="e">
        <f>U109*ROUND(Q109,2)</f>
        <v>#DIV/0!</v>
      </c>
    </row>
    <row r="110" spans="1:22" x14ac:dyDescent="0.2">
      <c r="A110" s="60" t="s">
        <v>290</v>
      </c>
      <c r="B110" s="61" t="s">
        <v>291</v>
      </c>
      <c r="C110" s="61" t="s">
        <v>292</v>
      </c>
      <c r="D110" s="61" t="s">
        <v>454</v>
      </c>
      <c r="E110" s="62" t="s">
        <v>455</v>
      </c>
      <c r="F110" s="61" t="s">
        <v>301</v>
      </c>
      <c r="G110" s="61" t="s">
        <v>222</v>
      </c>
      <c r="H110" s="61" t="s">
        <v>12</v>
      </c>
      <c r="I110" s="61" t="s">
        <v>200</v>
      </c>
      <c r="J110" s="61" t="s">
        <v>291</v>
      </c>
      <c r="K110" s="61" t="s">
        <v>291</v>
      </c>
      <c r="L110" s="63">
        <v>185</v>
      </c>
      <c r="M110" s="63">
        <f>L110*VLOOKUP(H110,dagsoorttabel1,2,FALSE)</f>
        <v>148.72549019607843</v>
      </c>
      <c r="N110" s="64">
        <f>prodnorm23</f>
        <v>0</v>
      </c>
      <c r="O110" s="65">
        <f>dagwerk23</f>
        <v>0</v>
      </c>
      <c r="P110" s="61" t="s">
        <v>41</v>
      </c>
      <c r="Q110" s="66">
        <f>uurtarief23</f>
        <v>0</v>
      </c>
      <c r="R110" s="63" t="e">
        <f>IF(ISBLANK(N110),0,M110/ROUND(N110,4))</f>
        <v>#DIV/0!</v>
      </c>
      <c r="S110" s="63" t="e">
        <f>IF(ISBLANK(N110),0,R110*ROUND(O110,2))</f>
        <v>#DIV/0!</v>
      </c>
      <c r="T110" s="66" t="e">
        <f>ROUND(Q110,2)*R110</f>
        <v>#DIV/0!</v>
      </c>
      <c r="U110" s="63" t="e">
        <f>R110*dagenperjaar1</f>
        <v>#DIV/0!</v>
      </c>
      <c r="V110" s="67" t="e">
        <f>U110*ROUND(Q110,2)</f>
        <v>#DIV/0!</v>
      </c>
    </row>
    <row r="111" spans="1:22" ht="25.2" x14ac:dyDescent="0.2">
      <c r="A111" s="60" t="s">
        <v>290</v>
      </c>
      <c r="B111" s="61" t="s">
        <v>291</v>
      </c>
      <c r="C111" s="61" t="s">
        <v>292</v>
      </c>
      <c r="D111" s="61" t="s">
        <v>456</v>
      </c>
      <c r="E111" s="62" t="s">
        <v>457</v>
      </c>
      <c r="F111" s="61" t="s">
        <v>301</v>
      </c>
      <c r="G111" s="61" t="s">
        <v>222</v>
      </c>
      <c r="H111" s="61" t="s">
        <v>12</v>
      </c>
      <c r="I111" s="61" t="s">
        <v>200</v>
      </c>
      <c r="J111" s="61" t="s">
        <v>291</v>
      </c>
      <c r="K111" s="61" t="s">
        <v>291</v>
      </c>
      <c r="L111" s="63">
        <v>48</v>
      </c>
      <c r="M111" s="63">
        <f>L111*VLOOKUP(H111,dagsoorttabel1,2,FALSE)</f>
        <v>38.588235294117652</v>
      </c>
      <c r="N111" s="64">
        <f>prodnorm23</f>
        <v>0</v>
      </c>
      <c r="O111" s="65">
        <f>dagwerk23</f>
        <v>0</v>
      </c>
      <c r="P111" s="61" t="s">
        <v>41</v>
      </c>
      <c r="Q111" s="66">
        <f>uurtarief23</f>
        <v>0</v>
      </c>
      <c r="R111" s="63" t="e">
        <f>IF(ISBLANK(N111),0,M111/ROUND(N111,4))</f>
        <v>#DIV/0!</v>
      </c>
      <c r="S111" s="63" t="e">
        <f>IF(ISBLANK(N111),0,R111*ROUND(O111,2))</f>
        <v>#DIV/0!</v>
      </c>
      <c r="T111" s="66" t="e">
        <f>ROUND(Q111,2)*R111</f>
        <v>#DIV/0!</v>
      </c>
      <c r="U111" s="63" t="e">
        <f>R111*dagenperjaar1</f>
        <v>#DIV/0!</v>
      </c>
      <c r="V111" s="67" t="e">
        <f>U111*ROUND(Q111,2)</f>
        <v>#DIV/0!</v>
      </c>
    </row>
    <row r="112" spans="1:22" x14ac:dyDescent="0.2">
      <c r="A112" s="60" t="s">
        <v>290</v>
      </c>
      <c r="B112" s="61" t="s">
        <v>291</v>
      </c>
      <c r="C112" s="61" t="s">
        <v>292</v>
      </c>
      <c r="D112" s="61" t="s">
        <v>458</v>
      </c>
      <c r="E112" s="62" t="s">
        <v>414</v>
      </c>
      <c r="F112" s="61" t="s">
        <v>301</v>
      </c>
      <c r="G112" s="61" t="s">
        <v>218</v>
      </c>
      <c r="H112" s="61" t="s">
        <v>12</v>
      </c>
      <c r="I112" s="61" t="s">
        <v>200</v>
      </c>
      <c r="J112" s="61" t="s">
        <v>291</v>
      </c>
      <c r="K112" s="61" t="s">
        <v>291</v>
      </c>
      <c r="L112" s="63">
        <v>50</v>
      </c>
      <c r="M112" s="63">
        <f>L112*VLOOKUP(H112,dagsoorttabel1,2,FALSE)</f>
        <v>40.196078431372548</v>
      </c>
      <c r="N112" s="64">
        <f>prodnorm19</f>
        <v>0</v>
      </c>
      <c r="O112" s="65">
        <f>dagwerk19</f>
        <v>0</v>
      </c>
      <c r="P112" s="61" t="s">
        <v>41</v>
      </c>
      <c r="Q112" s="66">
        <f>uurtarief19</f>
        <v>0</v>
      </c>
      <c r="R112" s="63" t="e">
        <f>IF(ISBLANK(N112),0,M112/ROUND(N112,4))</f>
        <v>#DIV/0!</v>
      </c>
      <c r="S112" s="63" t="e">
        <f>IF(ISBLANK(N112),0,R112*ROUND(O112,2))</f>
        <v>#DIV/0!</v>
      </c>
      <c r="T112" s="66" t="e">
        <f>ROUND(Q112,2)*R112</f>
        <v>#DIV/0!</v>
      </c>
      <c r="U112" s="63" t="e">
        <f>R112*dagenperjaar1</f>
        <v>#DIV/0!</v>
      </c>
      <c r="V112" s="67" t="e">
        <f>U112*ROUND(Q112,2)</f>
        <v>#DIV/0!</v>
      </c>
    </row>
    <row r="113" spans="1:22" x14ac:dyDescent="0.2">
      <c r="A113" s="60" t="s">
        <v>290</v>
      </c>
      <c r="B113" s="61" t="s">
        <v>291</v>
      </c>
      <c r="C113" s="61" t="s">
        <v>292</v>
      </c>
      <c r="D113" s="61" t="s">
        <v>459</v>
      </c>
      <c r="E113" s="62" t="s">
        <v>414</v>
      </c>
      <c r="F113" s="61" t="s">
        <v>301</v>
      </c>
      <c r="G113" s="61" t="s">
        <v>218</v>
      </c>
      <c r="H113" s="61" t="s">
        <v>12</v>
      </c>
      <c r="I113" s="61" t="s">
        <v>200</v>
      </c>
      <c r="J113" s="61" t="s">
        <v>291</v>
      </c>
      <c r="K113" s="61" t="s">
        <v>291</v>
      </c>
      <c r="L113" s="63">
        <v>47</v>
      </c>
      <c r="M113" s="63">
        <f>L113*VLOOKUP(H113,dagsoorttabel1,2,FALSE)</f>
        <v>37.7843137254902</v>
      </c>
      <c r="N113" s="64">
        <f>prodnorm19</f>
        <v>0</v>
      </c>
      <c r="O113" s="65">
        <f>dagwerk19</f>
        <v>0</v>
      </c>
      <c r="P113" s="61" t="s">
        <v>41</v>
      </c>
      <c r="Q113" s="66">
        <f>uurtarief19</f>
        <v>0</v>
      </c>
      <c r="R113" s="63" t="e">
        <f>IF(ISBLANK(N113),0,M113/ROUND(N113,4))</f>
        <v>#DIV/0!</v>
      </c>
      <c r="S113" s="63" t="e">
        <f>IF(ISBLANK(N113),0,R113*ROUND(O113,2))</f>
        <v>#DIV/0!</v>
      </c>
      <c r="T113" s="66" t="e">
        <f>ROUND(Q113,2)*R113</f>
        <v>#DIV/0!</v>
      </c>
      <c r="U113" s="63" t="e">
        <f>R113*dagenperjaar1</f>
        <v>#DIV/0!</v>
      </c>
      <c r="V113" s="67" t="e">
        <f>U113*ROUND(Q113,2)</f>
        <v>#DIV/0!</v>
      </c>
    </row>
    <row r="114" spans="1:22" x14ac:dyDescent="0.2">
      <c r="A114" s="60" t="s">
        <v>290</v>
      </c>
      <c r="B114" s="61" t="s">
        <v>291</v>
      </c>
      <c r="C114" s="61" t="s">
        <v>292</v>
      </c>
      <c r="D114" s="61" t="s">
        <v>460</v>
      </c>
      <c r="E114" s="62" t="s">
        <v>461</v>
      </c>
      <c r="F114" s="61" t="s">
        <v>301</v>
      </c>
      <c r="G114" s="61" t="s">
        <v>210</v>
      </c>
      <c r="H114" s="61" t="s">
        <v>12</v>
      </c>
      <c r="I114" s="61" t="s">
        <v>200</v>
      </c>
      <c r="J114" s="61" t="s">
        <v>291</v>
      </c>
      <c r="K114" s="61" t="s">
        <v>291</v>
      </c>
      <c r="L114" s="63">
        <v>71</v>
      </c>
      <c r="M114" s="63">
        <f>L114*VLOOKUP(H114,dagsoorttabel1,2,FALSE)</f>
        <v>57.078431372549019</v>
      </c>
      <c r="N114" s="64">
        <f>prodnorm13</f>
        <v>0</v>
      </c>
      <c r="O114" s="65">
        <f>dagwerk13</f>
        <v>0</v>
      </c>
      <c r="P114" s="61" t="s">
        <v>41</v>
      </c>
      <c r="Q114" s="66">
        <f>uurtarief13</f>
        <v>0</v>
      </c>
      <c r="R114" s="63" t="e">
        <f>IF(ISBLANK(N114),0,M114/ROUND(N114,4))</f>
        <v>#DIV/0!</v>
      </c>
      <c r="S114" s="63" t="e">
        <f>IF(ISBLANK(N114),0,R114*ROUND(O114,2))</f>
        <v>#DIV/0!</v>
      </c>
      <c r="T114" s="66" t="e">
        <f>ROUND(Q114,2)*R114</f>
        <v>#DIV/0!</v>
      </c>
      <c r="U114" s="63" t="e">
        <f>R114*dagenperjaar1</f>
        <v>#DIV/0!</v>
      </c>
      <c r="V114" s="67" t="e">
        <f>U114*ROUND(Q114,2)</f>
        <v>#DIV/0!</v>
      </c>
    </row>
    <row r="115" spans="1:22" x14ac:dyDescent="0.2">
      <c r="A115" s="60" t="s">
        <v>290</v>
      </c>
      <c r="B115" s="61" t="s">
        <v>291</v>
      </c>
      <c r="C115" s="61" t="s">
        <v>292</v>
      </c>
      <c r="D115" s="61" t="s">
        <v>462</v>
      </c>
      <c r="E115" s="62" t="s">
        <v>414</v>
      </c>
      <c r="F115" s="61" t="s">
        <v>301</v>
      </c>
      <c r="G115" s="61" t="s">
        <v>218</v>
      </c>
      <c r="H115" s="61" t="s">
        <v>12</v>
      </c>
      <c r="I115" s="61" t="s">
        <v>200</v>
      </c>
      <c r="J115" s="61" t="s">
        <v>291</v>
      </c>
      <c r="K115" s="61" t="s">
        <v>291</v>
      </c>
      <c r="L115" s="63">
        <v>85</v>
      </c>
      <c r="M115" s="63">
        <f>L115*VLOOKUP(H115,dagsoorttabel1,2,FALSE)</f>
        <v>68.333333333333343</v>
      </c>
      <c r="N115" s="64">
        <f>prodnorm19</f>
        <v>0</v>
      </c>
      <c r="O115" s="65">
        <f>dagwerk19</f>
        <v>0</v>
      </c>
      <c r="P115" s="61" t="s">
        <v>41</v>
      </c>
      <c r="Q115" s="66">
        <f>uurtarief19</f>
        <v>0</v>
      </c>
      <c r="R115" s="63" t="e">
        <f>IF(ISBLANK(N115),0,M115/ROUND(N115,4))</f>
        <v>#DIV/0!</v>
      </c>
      <c r="S115" s="63" t="e">
        <f>IF(ISBLANK(N115),0,R115*ROUND(O115,2))</f>
        <v>#DIV/0!</v>
      </c>
      <c r="T115" s="66" t="e">
        <f>ROUND(Q115,2)*R115</f>
        <v>#DIV/0!</v>
      </c>
      <c r="U115" s="63" t="e">
        <f>R115*dagenperjaar1</f>
        <v>#DIV/0!</v>
      </c>
      <c r="V115" s="67" t="e">
        <f>U115*ROUND(Q115,2)</f>
        <v>#DIV/0!</v>
      </c>
    </row>
    <row r="116" spans="1:22" x14ac:dyDescent="0.2">
      <c r="A116" s="60" t="s">
        <v>290</v>
      </c>
      <c r="B116" s="61" t="s">
        <v>291</v>
      </c>
      <c r="C116" s="61" t="s">
        <v>292</v>
      </c>
      <c r="D116" s="61" t="s">
        <v>463</v>
      </c>
      <c r="E116" s="62" t="s">
        <v>464</v>
      </c>
      <c r="F116" s="61" t="s">
        <v>301</v>
      </c>
      <c r="G116" s="61" t="s">
        <v>238</v>
      </c>
      <c r="H116" s="61" t="s">
        <v>12</v>
      </c>
      <c r="I116" s="61" t="s">
        <v>200</v>
      </c>
      <c r="J116" s="61" t="s">
        <v>291</v>
      </c>
      <c r="K116" s="61" t="s">
        <v>291</v>
      </c>
      <c r="L116" s="63">
        <v>80</v>
      </c>
      <c r="M116" s="63">
        <f>L116*VLOOKUP(H116,dagsoorttabel1,2,FALSE)</f>
        <v>64.313725490196077</v>
      </c>
      <c r="N116" s="64">
        <f>prodnorm32</f>
        <v>0</v>
      </c>
      <c r="O116" s="65">
        <f>dagwerk32</f>
        <v>0</v>
      </c>
      <c r="P116" s="61" t="s">
        <v>41</v>
      </c>
      <c r="Q116" s="66">
        <f>uurtarief32</f>
        <v>0</v>
      </c>
      <c r="R116" s="63" t="e">
        <f>IF(ISBLANK(N116),0,M116/ROUND(N116,4))</f>
        <v>#DIV/0!</v>
      </c>
      <c r="S116" s="63" t="e">
        <f>IF(ISBLANK(N116),0,R116*ROUND(O116,2))</f>
        <v>#DIV/0!</v>
      </c>
      <c r="T116" s="66" t="e">
        <f>ROUND(Q116,2)*R116</f>
        <v>#DIV/0!</v>
      </c>
      <c r="U116" s="63" t="e">
        <f>R116*dagenperjaar1</f>
        <v>#DIV/0!</v>
      </c>
      <c r="V116" s="67" t="e">
        <f>U116*ROUND(Q116,2)</f>
        <v>#DIV/0!</v>
      </c>
    </row>
    <row r="117" spans="1:22" x14ac:dyDescent="0.2">
      <c r="A117" s="68" t="s">
        <v>290</v>
      </c>
      <c r="B117" s="69" t="s">
        <v>291</v>
      </c>
      <c r="C117" s="69" t="s">
        <v>292</v>
      </c>
      <c r="D117" s="69" t="s">
        <v>465</v>
      </c>
      <c r="E117" s="70" t="s">
        <v>414</v>
      </c>
      <c r="F117" s="69" t="s">
        <v>301</v>
      </c>
      <c r="G117" s="69" t="s">
        <v>218</v>
      </c>
      <c r="H117" s="69" t="s">
        <v>12</v>
      </c>
      <c r="I117" s="69" t="s">
        <v>200</v>
      </c>
      <c r="J117" s="69" t="s">
        <v>291</v>
      </c>
      <c r="K117" s="69" t="s">
        <v>291</v>
      </c>
      <c r="L117" s="71">
        <v>81</v>
      </c>
      <c r="M117" s="71">
        <f>L117*VLOOKUP(H117,dagsoorttabel1,2,FALSE)</f>
        <v>65.117647058823536</v>
      </c>
      <c r="N117" s="72">
        <f>prodnorm19</f>
        <v>0</v>
      </c>
      <c r="O117" s="73">
        <f>dagwerk19</f>
        <v>0</v>
      </c>
      <c r="P117" s="69" t="s">
        <v>41</v>
      </c>
      <c r="Q117" s="74">
        <f>uurtarief19</f>
        <v>0</v>
      </c>
      <c r="R117" s="71" t="e">
        <f>IF(ISBLANK(N117),0,M117/ROUND(N117,4))</f>
        <v>#DIV/0!</v>
      </c>
      <c r="S117" s="71" t="e">
        <f>IF(ISBLANK(N117),0,R117*ROUND(O117,2))</f>
        <v>#DIV/0!</v>
      </c>
      <c r="T117" s="74" t="e">
        <f>ROUND(Q117,2)*R117</f>
        <v>#DIV/0!</v>
      </c>
      <c r="U117" s="71" t="e">
        <f>R117*dagenperjaar1</f>
        <v>#DIV/0!</v>
      </c>
      <c r="V117" s="75" t="e">
        <f>U117*ROUND(Q117,2)</f>
        <v>#DIV/0!</v>
      </c>
    </row>
    <row r="118" spans="1:22" x14ac:dyDescent="0.2">
      <c r="A118" s="76" t="s">
        <v>466</v>
      </c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5" t="e">
        <f>IF(_xlfn.SINGLE(object1_urenjaar1)&gt;0,_xlfn.SINGLE(object1_prijsjaar1)/_xlfn.SINGLE(object1_urenjaar1),0)</f>
        <v>#DIV/0!</v>
      </c>
      <c r="R118" s="44" t="e">
        <f>SUM(R5:R117)</f>
        <v>#DIV/0!</v>
      </c>
      <c r="S118" s="44" t="e">
        <f>SUM(S5:S117)</f>
        <v>#DIV/0!</v>
      </c>
      <c r="T118" s="45" t="e">
        <f>SUM(T5:T117)</f>
        <v>#DIV/0!</v>
      </c>
      <c r="U118" s="44" t="e">
        <f>SUM(U5:U117)</f>
        <v>#DIV/0!</v>
      </c>
      <c r="V118" s="46" t="e">
        <f>SUM(V5:V117)</f>
        <v>#DIV/0!</v>
      </c>
    </row>
    <row r="119" spans="1:22" x14ac:dyDescent="0.2">
      <c r="A119" s="51" t="s">
        <v>467</v>
      </c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41"/>
    </row>
    <row r="120" spans="1:22" x14ac:dyDescent="0.2">
      <c r="A120" s="52" t="s">
        <v>468</v>
      </c>
      <c r="B120" s="53" t="s">
        <v>291</v>
      </c>
      <c r="C120" s="53" t="s">
        <v>292</v>
      </c>
      <c r="D120" s="53" t="s">
        <v>293</v>
      </c>
      <c r="E120" s="54" t="s">
        <v>469</v>
      </c>
      <c r="F120" s="53" t="s">
        <v>470</v>
      </c>
      <c r="G120" s="53" t="s">
        <v>264</v>
      </c>
      <c r="H120" s="53" t="s">
        <v>12</v>
      </c>
      <c r="I120" s="53" t="s">
        <v>200</v>
      </c>
      <c r="J120" s="53" t="s">
        <v>471</v>
      </c>
      <c r="K120" s="53" t="s">
        <v>291</v>
      </c>
      <c r="L120" s="55">
        <v>97</v>
      </c>
      <c r="M120" s="55">
        <f>L120*VLOOKUP(H120,dagsoorttabel1,2,FALSE)</f>
        <v>77.980392156862749</v>
      </c>
      <c r="N120" s="56">
        <f>prodnorm52</f>
        <v>0</v>
      </c>
      <c r="O120" s="57">
        <f>dagwerk52</f>
        <v>0</v>
      </c>
      <c r="P120" s="53" t="s">
        <v>41</v>
      </c>
      <c r="Q120" s="58">
        <f>uurtarief52</f>
        <v>0</v>
      </c>
      <c r="R120" s="55" t="e">
        <f>IF(ISBLANK(N120),0,M120/ROUND(N120,4))</f>
        <v>#DIV/0!</v>
      </c>
      <c r="S120" s="55" t="e">
        <f>IF(ISBLANK(N120),0,R120*ROUND(O120,2))</f>
        <v>#DIV/0!</v>
      </c>
      <c r="T120" s="58" t="e">
        <f>ROUND(Q120,2)*R120</f>
        <v>#DIV/0!</v>
      </c>
      <c r="U120" s="55" t="e">
        <f>R120*dagenperjaar1</f>
        <v>#DIV/0!</v>
      </c>
      <c r="V120" s="59" t="e">
        <f>U120*ROUND(Q120,2)</f>
        <v>#DIV/0!</v>
      </c>
    </row>
    <row r="121" spans="1:22" x14ac:dyDescent="0.2">
      <c r="A121" s="60" t="s">
        <v>468</v>
      </c>
      <c r="B121" s="61" t="s">
        <v>291</v>
      </c>
      <c r="C121" s="61" t="s">
        <v>292</v>
      </c>
      <c r="D121" s="61" t="s">
        <v>296</v>
      </c>
      <c r="E121" s="62" t="s">
        <v>472</v>
      </c>
      <c r="F121" s="61" t="s">
        <v>301</v>
      </c>
      <c r="G121" s="61" t="s">
        <v>199</v>
      </c>
      <c r="H121" s="61" t="s">
        <v>12</v>
      </c>
      <c r="I121" s="61" t="s">
        <v>200</v>
      </c>
      <c r="J121" s="61" t="s">
        <v>473</v>
      </c>
      <c r="K121" s="61" t="s">
        <v>291</v>
      </c>
      <c r="L121" s="63">
        <v>13.2</v>
      </c>
      <c r="M121" s="63">
        <f>L121*VLOOKUP(H121,dagsoorttabel1,2,FALSE)</f>
        <v>10.611764705882353</v>
      </c>
      <c r="N121" s="64">
        <f>prodnorm3</f>
        <v>0</v>
      </c>
      <c r="O121" s="65">
        <f>dagwerk3</f>
        <v>0</v>
      </c>
      <c r="P121" s="61" t="s">
        <v>41</v>
      </c>
      <c r="Q121" s="66">
        <f>uurtarief3</f>
        <v>0</v>
      </c>
      <c r="R121" s="63" t="e">
        <f>IF(ISBLANK(N121),0,M121/ROUND(N121,4))</f>
        <v>#DIV/0!</v>
      </c>
      <c r="S121" s="63" t="e">
        <f>IF(ISBLANK(N121),0,R121*ROUND(O121,2))</f>
        <v>#DIV/0!</v>
      </c>
      <c r="T121" s="66" t="e">
        <f>ROUND(Q121,2)*R121</f>
        <v>#DIV/0!</v>
      </c>
      <c r="U121" s="63" t="e">
        <f>R121*dagenperjaar1</f>
        <v>#DIV/0!</v>
      </c>
      <c r="V121" s="67" t="e">
        <f>U121*ROUND(Q121,2)</f>
        <v>#DIV/0!</v>
      </c>
    </row>
    <row r="122" spans="1:22" x14ac:dyDescent="0.2">
      <c r="A122" s="60" t="s">
        <v>468</v>
      </c>
      <c r="B122" s="61" t="s">
        <v>291</v>
      </c>
      <c r="C122" s="61" t="s">
        <v>292</v>
      </c>
      <c r="D122" s="61" t="s">
        <v>474</v>
      </c>
      <c r="E122" s="62" t="s">
        <v>337</v>
      </c>
      <c r="F122" s="61" t="s">
        <v>470</v>
      </c>
      <c r="G122" s="61" t="s">
        <v>254</v>
      </c>
      <c r="H122" s="61" t="s">
        <v>12</v>
      </c>
      <c r="I122" s="61" t="s">
        <v>200</v>
      </c>
      <c r="J122" s="61" t="s">
        <v>471</v>
      </c>
      <c r="K122" s="61" t="s">
        <v>291</v>
      </c>
      <c r="L122" s="63">
        <v>107.5</v>
      </c>
      <c r="M122" s="63">
        <f>L122*VLOOKUP(H122,dagsoorttabel1,2,FALSE)</f>
        <v>86.421568627450981</v>
      </c>
      <c r="N122" s="64">
        <f>prodnorm44</f>
        <v>0</v>
      </c>
      <c r="O122" s="65">
        <f>dagwerk44</f>
        <v>0</v>
      </c>
      <c r="P122" s="61" t="s">
        <v>41</v>
      </c>
      <c r="Q122" s="66">
        <f>uurtarief44</f>
        <v>0</v>
      </c>
      <c r="R122" s="63" t="e">
        <f>IF(ISBLANK(N122),0,M122/ROUND(N122,4))</f>
        <v>#DIV/0!</v>
      </c>
      <c r="S122" s="63" t="e">
        <f>IF(ISBLANK(N122),0,R122*ROUND(O122,2))</f>
        <v>#DIV/0!</v>
      </c>
      <c r="T122" s="66" t="e">
        <f>ROUND(Q122,2)*R122</f>
        <v>#DIV/0!</v>
      </c>
      <c r="U122" s="63" t="e">
        <f>R122*dagenperjaar1</f>
        <v>#DIV/0!</v>
      </c>
      <c r="V122" s="67" t="e">
        <f>U122*ROUND(Q122,2)</f>
        <v>#DIV/0!</v>
      </c>
    </row>
    <row r="123" spans="1:22" x14ac:dyDescent="0.2">
      <c r="A123" s="60" t="s">
        <v>468</v>
      </c>
      <c r="B123" s="61" t="s">
        <v>291</v>
      </c>
      <c r="C123" s="61" t="s">
        <v>292</v>
      </c>
      <c r="D123" s="61" t="s">
        <v>475</v>
      </c>
      <c r="E123" s="62" t="s">
        <v>337</v>
      </c>
      <c r="F123" s="61" t="s">
        <v>470</v>
      </c>
      <c r="G123" s="61" t="s">
        <v>254</v>
      </c>
      <c r="H123" s="61" t="s">
        <v>12</v>
      </c>
      <c r="I123" s="61" t="s">
        <v>200</v>
      </c>
      <c r="J123" s="61" t="s">
        <v>471</v>
      </c>
      <c r="K123" s="61" t="s">
        <v>291</v>
      </c>
      <c r="L123" s="63">
        <v>87.6</v>
      </c>
      <c r="M123" s="63">
        <f>L123*VLOOKUP(H123,dagsoorttabel1,2,FALSE)</f>
        <v>70.423529411764704</v>
      </c>
      <c r="N123" s="64">
        <f>prodnorm44</f>
        <v>0</v>
      </c>
      <c r="O123" s="65">
        <f>dagwerk44</f>
        <v>0</v>
      </c>
      <c r="P123" s="61" t="s">
        <v>41</v>
      </c>
      <c r="Q123" s="66">
        <f>uurtarief44</f>
        <v>0</v>
      </c>
      <c r="R123" s="63" t="e">
        <f>IF(ISBLANK(N123),0,M123/ROUND(N123,4))</f>
        <v>#DIV/0!</v>
      </c>
      <c r="S123" s="63" t="e">
        <f>IF(ISBLANK(N123),0,R123*ROUND(O123,2))</f>
        <v>#DIV/0!</v>
      </c>
      <c r="T123" s="66" t="e">
        <f>ROUND(Q123,2)*R123</f>
        <v>#DIV/0!</v>
      </c>
      <c r="U123" s="63" t="e">
        <f>R123*dagenperjaar1</f>
        <v>#DIV/0!</v>
      </c>
      <c r="V123" s="67" t="e">
        <f>U123*ROUND(Q123,2)</f>
        <v>#DIV/0!</v>
      </c>
    </row>
    <row r="124" spans="1:22" x14ac:dyDescent="0.2">
      <c r="A124" s="60" t="s">
        <v>468</v>
      </c>
      <c r="B124" s="61" t="s">
        <v>291</v>
      </c>
      <c r="C124" s="61" t="s">
        <v>292</v>
      </c>
      <c r="D124" s="61" t="s">
        <v>476</v>
      </c>
      <c r="E124" s="62" t="s">
        <v>337</v>
      </c>
      <c r="F124" s="61" t="s">
        <v>470</v>
      </c>
      <c r="G124" s="61" t="s">
        <v>254</v>
      </c>
      <c r="H124" s="61" t="s">
        <v>12</v>
      </c>
      <c r="I124" s="61" t="s">
        <v>200</v>
      </c>
      <c r="J124" s="61" t="s">
        <v>471</v>
      </c>
      <c r="K124" s="61" t="s">
        <v>291</v>
      </c>
      <c r="L124" s="63">
        <v>50</v>
      </c>
      <c r="M124" s="63">
        <f>L124*VLOOKUP(H124,dagsoorttabel1,2,FALSE)</f>
        <v>40.196078431372548</v>
      </c>
      <c r="N124" s="64">
        <f>prodnorm44</f>
        <v>0</v>
      </c>
      <c r="O124" s="65">
        <f>dagwerk44</f>
        <v>0</v>
      </c>
      <c r="P124" s="61" t="s">
        <v>41</v>
      </c>
      <c r="Q124" s="66">
        <f>uurtarief44</f>
        <v>0</v>
      </c>
      <c r="R124" s="63" t="e">
        <f>IF(ISBLANK(N124),0,M124/ROUND(N124,4))</f>
        <v>#DIV/0!</v>
      </c>
      <c r="S124" s="63" t="e">
        <f>IF(ISBLANK(N124),0,R124*ROUND(O124,2))</f>
        <v>#DIV/0!</v>
      </c>
      <c r="T124" s="66" t="e">
        <f>ROUND(Q124,2)*R124</f>
        <v>#DIV/0!</v>
      </c>
      <c r="U124" s="63" t="e">
        <f>R124*dagenperjaar1</f>
        <v>#DIV/0!</v>
      </c>
      <c r="V124" s="67" t="e">
        <f>U124*ROUND(Q124,2)</f>
        <v>#DIV/0!</v>
      </c>
    </row>
    <row r="125" spans="1:22" x14ac:dyDescent="0.2">
      <c r="A125" s="60" t="s">
        <v>468</v>
      </c>
      <c r="B125" s="61" t="s">
        <v>291</v>
      </c>
      <c r="C125" s="61" t="s">
        <v>292</v>
      </c>
      <c r="D125" s="61" t="s">
        <v>477</v>
      </c>
      <c r="E125" s="62" t="s">
        <v>337</v>
      </c>
      <c r="F125" s="61" t="s">
        <v>470</v>
      </c>
      <c r="G125" s="61" t="s">
        <v>254</v>
      </c>
      <c r="H125" s="61" t="s">
        <v>12</v>
      </c>
      <c r="I125" s="61" t="s">
        <v>200</v>
      </c>
      <c r="J125" s="61" t="s">
        <v>471</v>
      </c>
      <c r="K125" s="61" t="s">
        <v>291</v>
      </c>
      <c r="L125" s="63">
        <v>108.6</v>
      </c>
      <c r="M125" s="63">
        <f>L125*VLOOKUP(H125,dagsoorttabel1,2,FALSE)</f>
        <v>87.305882352941168</v>
      </c>
      <c r="N125" s="64">
        <f>prodnorm44</f>
        <v>0</v>
      </c>
      <c r="O125" s="65">
        <f>dagwerk44</f>
        <v>0</v>
      </c>
      <c r="P125" s="61" t="s">
        <v>41</v>
      </c>
      <c r="Q125" s="66">
        <f>uurtarief44</f>
        <v>0</v>
      </c>
      <c r="R125" s="63" t="e">
        <f>IF(ISBLANK(N125),0,M125/ROUND(N125,4))</f>
        <v>#DIV/0!</v>
      </c>
      <c r="S125" s="63" t="e">
        <f>IF(ISBLANK(N125),0,R125*ROUND(O125,2))</f>
        <v>#DIV/0!</v>
      </c>
      <c r="T125" s="66" t="e">
        <f>ROUND(Q125,2)*R125</f>
        <v>#DIV/0!</v>
      </c>
      <c r="U125" s="63" t="e">
        <f>R125*dagenperjaar1</f>
        <v>#DIV/0!</v>
      </c>
      <c r="V125" s="67" t="e">
        <f>U125*ROUND(Q125,2)</f>
        <v>#DIV/0!</v>
      </c>
    </row>
    <row r="126" spans="1:22" x14ac:dyDescent="0.2">
      <c r="A126" s="60" t="s">
        <v>468</v>
      </c>
      <c r="B126" s="61" t="s">
        <v>291</v>
      </c>
      <c r="C126" s="61" t="s">
        <v>292</v>
      </c>
      <c r="D126" s="61" t="s">
        <v>478</v>
      </c>
      <c r="E126" s="62" t="s">
        <v>337</v>
      </c>
      <c r="F126" s="61" t="s">
        <v>301</v>
      </c>
      <c r="G126" s="61" t="s">
        <v>254</v>
      </c>
      <c r="H126" s="61" t="s">
        <v>12</v>
      </c>
      <c r="I126" s="61" t="s">
        <v>200</v>
      </c>
      <c r="J126" s="61" t="s">
        <v>471</v>
      </c>
      <c r="K126" s="61" t="s">
        <v>291</v>
      </c>
      <c r="L126" s="63">
        <v>13.2</v>
      </c>
      <c r="M126" s="63">
        <f>L126*VLOOKUP(H126,dagsoorttabel1,2,FALSE)</f>
        <v>10.611764705882353</v>
      </c>
      <c r="N126" s="64">
        <f>prodnorm44</f>
        <v>0</v>
      </c>
      <c r="O126" s="65">
        <f>dagwerk44</f>
        <v>0</v>
      </c>
      <c r="P126" s="61" t="s">
        <v>41</v>
      </c>
      <c r="Q126" s="66">
        <f>uurtarief44</f>
        <v>0</v>
      </c>
      <c r="R126" s="63" t="e">
        <f>IF(ISBLANK(N126),0,M126/ROUND(N126,4))</f>
        <v>#DIV/0!</v>
      </c>
      <c r="S126" s="63" t="e">
        <f>IF(ISBLANK(N126),0,R126*ROUND(O126,2))</f>
        <v>#DIV/0!</v>
      </c>
      <c r="T126" s="66" t="e">
        <f>ROUND(Q126,2)*R126</f>
        <v>#DIV/0!</v>
      </c>
      <c r="U126" s="63" t="e">
        <f>R126*dagenperjaar1</f>
        <v>#DIV/0!</v>
      </c>
      <c r="V126" s="67" t="e">
        <f>U126*ROUND(Q126,2)</f>
        <v>#DIV/0!</v>
      </c>
    </row>
    <row r="127" spans="1:22" x14ac:dyDescent="0.2">
      <c r="A127" s="60" t="s">
        <v>468</v>
      </c>
      <c r="B127" s="61" t="s">
        <v>291</v>
      </c>
      <c r="C127" s="61" t="s">
        <v>292</v>
      </c>
      <c r="D127" s="61" t="s">
        <v>302</v>
      </c>
      <c r="E127" s="62" t="s">
        <v>337</v>
      </c>
      <c r="F127" s="61" t="s">
        <v>301</v>
      </c>
      <c r="G127" s="61" t="s">
        <v>254</v>
      </c>
      <c r="H127" s="61" t="s">
        <v>12</v>
      </c>
      <c r="I127" s="61" t="s">
        <v>200</v>
      </c>
      <c r="J127" s="61" t="s">
        <v>471</v>
      </c>
      <c r="K127" s="61" t="s">
        <v>291</v>
      </c>
      <c r="L127" s="63">
        <v>4.58</v>
      </c>
      <c r="M127" s="63">
        <f>L127*VLOOKUP(H127,dagsoorttabel1,2,FALSE)</f>
        <v>3.6819607843137256</v>
      </c>
      <c r="N127" s="64">
        <f>prodnorm44</f>
        <v>0</v>
      </c>
      <c r="O127" s="65">
        <f>dagwerk44</f>
        <v>0</v>
      </c>
      <c r="P127" s="61" t="s">
        <v>41</v>
      </c>
      <c r="Q127" s="66">
        <f>uurtarief44</f>
        <v>0</v>
      </c>
      <c r="R127" s="63" t="e">
        <f>IF(ISBLANK(N127),0,M127/ROUND(N127,4))</f>
        <v>#DIV/0!</v>
      </c>
      <c r="S127" s="63" t="e">
        <f>IF(ISBLANK(N127),0,R127*ROUND(O127,2))</f>
        <v>#DIV/0!</v>
      </c>
      <c r="T127" s="66" t="e">
        <f>ROUND(Q127,2)*R127</f>
        <v>#DIV/0!</v>
      </c>
      <c r="U127" s="63" t="e">
        <f>R127*dagenperjaar1</f>
        <v>#DIV/0!</v>
      </c>
      <c r="V127" s="67" t="e">
        <f>U127*ROUND(Q127,2)</f>
        <v>#DIV/0!</v>
      </c>
    </row>
    <row r="128" spans="1:22" x14ac:dyDescent="0.2">
      <c r="A128" s="60" t="s">
        <v>468</v>
      </c>
      <c r="B128" s="61" t="s">
        <v>291</v>
      </c>
      <c r="C128" s="61" t="s">
        <v>292</v>
      </c>
      <c r="D128" s="61" t="s">
        <v>307</v>
      </c>
      <c r="E128" s="62" t="s">
        <v>479</v>
      </c>
      <c r="F128" s="61" t="s">
        <v>470</v>
      </c>
      <c r="G128" s="61" t="s">
        <v>250</v>
      </c>
      <c r="H128" s="61" t="s">
        <v>12</v>
      </c>
      <c r="I128" s="61" t="s">
        <v>200</v>
      </c>
      <c r="J128" s="61" t="s">
        <v>480</v>
      </c>
      <c r="K128" s="61" t="s">
        <v>291</v>
      </c>
      <c r="L128" s="63">
        <v>1.5</v>
      </c>
      <c r="M128" s="63">
        <f>L128*VLOOKUP(H128,dagsoorttabel1,2,FALSE)</f>
        <v>1.2058823529411766</v>
      </c>
      <c r="N128" s="64">
        <f>prodnorm39</f>
        <v>0</v>
      </c>
      <c r="O128" s="65">
        <f>dagwerk39</f>
        <v>0</v>
      </c>
      <c r="P128" s="61" t="s">
        <v>41</v>
      </c>
      <c r="Q128" s="66">
        <f>uurtarief39</f>
        <v>0</v>
      </c>
      <c r="R128" s="63" t="e">
        <f>IF(ISBLANK(N128),0,M128/ROUND(N128,4))</f>
        <v>#DIV/0!</v>
      </c>
      <c r="S128" s="63" t="e">
        <f>IF(ISBLANK(N128),0,R128*ROUND(O128,2))</f>
        <v>#DIV/0!</v>
      </c>
      <c r="T128" s="66" t="e">
        <f>ROUND(Q128,2)*R128</f>
        <v>#DIV/0!</v>
      </c>
      <c r="U128" s="63" t="e">
        <f>R128*dagenperjaar1</f>
        <v>#DIV/0!</v>
      </c>
      <c r="V128" s="67" t="e">
        <f>U128*ROUND(Q128,2)</f>
        <v>#DIV/0!</v>
      </c>
    </row>
    <row r="129" spans="1:22" x14ac:dyDescent="0.2">
      <c r="A129" s="60" t="s">
        <v>468</v>
      </c>
      <c r="B129" s="61" t="s">
        <v>291</v>
      </c>
      <c r="C129" s="61" t="s">
        <v>292</v>
      </c>
      <c r="D129" s="61" t="s">
        <v>309</v>
      </c>
      <c r="E129" s="62" t="s">
        <v>479</v>
      </c>
      <c r="F129" s="61" t="s">
        <v>470</v>
      </c>
      <c r="G129" s="61" t="s">
        <v>250</v>
      </c>
      <c r="H129" s="61" t="s">
        <v>12</v>
      </c>
      <c r="I129" s="61" t="s">
        <v>200</v>
      </c>
      <c r="J129" s="61" t="s">
        <v>480</v>
      </c>
      <c r="K129" s="61" t="s">
        <v>291</v>
      </c>
      <c r="L129" s="63">
        <v>22</v>
      </c>
      <c r="M129" s="63">
        <f>L129*VLOOKUP(H129,dagsoorttabel1,2,FALSE)</f>
        <v>17.686274509803923</v>
      </c>
      <c r="N129" s="64">
        <f>prodnorm39</f>
        <v>0</v>
      </c>
      <c r="O129" s="65">
        <f>dagwerk39</f>
        <v>0</v>
      </c>
      <c r="P129" s="61" t="s">
        <v>41</v>
      </c>
      <c r="Q129" s="66">
        <f>uurtarief39</f>
        <v>0</v>
      </c>
      <c r="R129" s="63" t="e">
        <f>IF(ISBLANK(N129),0,M129/ROUND(N129,4))</f>
        <v>#DIV/0!</v>
      </c>
      <c r="S129" s="63" t="e">
        <f>IF(ISBLANK(N129),0,R129*ROUND(O129,2))</f>
        <v>#DIV/0!</v>
      </c>
      <c r="T129" s="66" t="e">
        <f>ROUND(Q129,2)*R129</f>
        <v>#DIV/0!</v>
      </c>
      <c r="U129" s="63" t="e">
        <f>R129*dagenperjaar1</f>
        <v>#DIV/0!</v>
      </c>
      <c r="V129" s="67" t="e">
        <f>U129*ROUND(Q129,2)</f>
        <v>#DIV/0!</v>
      </c>
    </row>
    <row r="130" spans="1:22" x14ac:dyDescent="0.2">
      <c r="A130" s="60" t="s">
        <v>468</v>
      </c>
      <c r="B130" s="61" t="s">
        <v>291</v>
      </c>
      <c r="C130" s="61" t="s">
        <v>292</v>
      </c>
      <c r="D130" s="61" t="s">
        <v>311</v>
      </c>
      <c r="E130" s="62" t="s">
        <v>481</v>
      </c>
      <c r="F130" s="61" t="s">
        <v>470</v>
      </c>
      <c r="G130" s="61" t="s">
        <v>268</v>
      </c>
      <c r="H130" s="61" t="s">
        <v>12</v>
      </c>
      <c r="I130" s="61" t="s">
        <v>200</v>
      </c>
      <c r="J130" s="61" t="s">
        <v>471</v>
      </c>
      <c r="K130" s="61" t="s">
        <v>291</v>
      </c>
      <c r="L130" s="63">
        <v>9.6999999999999993</v>
      </c>
      <c r="M130" s="63">
        <f>L130*VLOOKUP(H130,dagsoorttabel1,2,FALSE)</f>
        <v>7.7980392156862743</v>
      </c>
      <c r="N130" s="64">
        <f>prodnorm54</f>
        <v>0</v>
      </c>
      <c r="O130" s="65">
        <f>dagwerk54</f>
        <v>0</v>
      </c>
      <c r="P130" s="61" t="s">
        <v>41</v>
      </c>
      <c r="Q130" s="66">
        <f>uurtarief54</f>
        <v>0</v>
      </c>
      <c r="R130" s="63" t="e">
        <f>IF(ISBLANK(N130),0,M130/ROUND(N130,4))</f>
        <v>#DIV/0!</v>
      </c>
      <c r="S130" s="63" t="e">
        <f>IF(ISBLANK(N130),0,R130*ROUND(O130,2))</f>
        <v>#DIV/0!</v>
      </c>
      <c r="T130" s="66" t="e">
        <f>ROUND(Q130,2)*R130</f>
        <v>#DIV/0!</v>
      </c>
      <c r="U130" s="63" t="e">
        <f>R130*dagenperjaar1</f>
        <v>#DIV/0!</v>
      </c>
      <c r="V130" s="67" t="e">
        <f>U130*ROUND(Q130,2)</f>
        <v>#DIV/0!</v>
      </c>
    </row>
    <row r="131" spans="1:22" x14ac:dyDescent="0.2">
      <c r="A131" s="60" t="s">
        <v>468</v>
      </c>
      <c r="B131" s="61" t="s">
        <v>291</v>
      </c>
      <c r="C131" s="61" t="s">
        <v>292</v>
      </c>
      <c r="D131" s="61" t="s">
        <v>313</v>
      </c>
      <c r="E131" s="62" t="s">
        <v>482</v>
      </c>
      <c r="F131" s="61" t="s">
        <v>470</v>
      </c>
      <c r="G131" s="61" t="s">
        <v>268</v>
      </c>
      <c r="H131" s="61" t="s">
        <v>12</v>
      </c>
      <c r="I131" s="61" t="s">
        <v>200</v>
      </c>
      <c r="J131" s="61" t="s">
        <v>471</v>
      </c>
      <c r="K131" s="61" t="s">
        <v>291</v>
      </c>
      <c r="L131" s="63">
        <v>5.08</v>
      </c>
      <c r="M131" s="63">
        <f>L131*VLOOKUP(H131,dagsoorttabel1,2,FALSE)</f>
        <v>4.083921568627451</v>
      </c>
      <c r="N131" s="64">
        <f>prodnorm54</f>
        <v>0</v>
      </c>
      <c r="O131" s="65">
        <f>dagwerk54</f>
        <v>0</v>
      </c>
      <c r="P131" s="61" t="s">
        <v>41</v>
      </c>
      <c r="Q131" s="66">
        <f>uurtarief54</f>
        <v>0</v>
      </c>
      <c r="R131" s="63" t="e">
        <f>IF(ISBLANK(N131),0,M131/ROUND(N131,4))</f>
        <v>#DIV/0!</v>
      </c>
      <c r="S131" s="63" t="e">
        <f>IF(ISBLANK(N131),0,R131*ROUND(O131,2))</f>
        <v>#DIV/0!</v>
      </c>
      <c r="T131" s="66" t="e">
        <f>ROUND(Q131,2)*R131</f>
        <v>#DIV/0!</v>
      </c>
      <c r="U131" s="63" t="e">
        <f>R131*dagenperjaar1</f>
        <v>#DIV/0!</v>
      </c>
      <c r="V131" s="67" t="e">
        <f>U131*ROUND(Q131,2)</f>
        <v>#DIV/0!</v>
      </c>
    </row>
    <row r="132" spans="1:22" x14ac:dyDescent="0.2">
      <c r="A132" s="60" t="s">
        <v>468</v>
      </c>
      <c r="B132" s="61" t="s">
        <v>291</v>
      </c>
      <c r="C132" s="61" t="s">
        <v>292</v>
      </c>
      <c r="D132" s="61" t="s">
        <v>314</v>
      </c>
      <c r="E132" s="62" t="s">
        <v>483</v>
      </c>
      <c r="F132" s="61" t="s">
        <v>329</v>
      </c>
      <c r="G132" s="61" t="s">
        <v>212</v>
      </c>
      <c r="H132" s="61" t="s">
        <v>12</v>
      </c>
      <c r="I132" s="61" t="s">
        <v>200</v>
      </c>
      <c r="J132" s="61" t="s">
        <v>473</v>
      </c>
      <c r="K132" s="61" t="s">
        <v>291</v>
      </c>
      <c r="L132" s="63">
        <v>31.4</v>
      </c>
      <c r="M132" s="63">
        <f>L132*VLOOKUP(H132,dagsoorttabel1,2,FALSE)</f>
        <v>25.24313725490196</v>
      </c>
      <c r="N132" s="64">
        <f>prodnorm14</f>
        <v>0</v>
      </c>
      <c r="O132" s="65">
        <f>dagwerk14</f>
        <v>0</v>
      </c>
      <c r="P132" s="61" t="s">
        <v>41</v>
      </c>
      <c r="Q132" s="66">
        <f>uurtarief14</f>
        <v>0</v>
      </c>
      <c r="R132" s="63" t="e">
        <f>IF(ISBLANK(N132),0,M132/ROUND(N132,4))</f>
        <v>#DIV/0!</v>
      </c>
      <c r="S132" s="63" t="e">
        <f>IF(ISBLANK(N132),0,R132*ROUND(O132,2))</f>
        <v>#DIV/0!</v>
      </c>
      <c r="T132" s="66" t="e">
        <f>ROUND(Q132,2)*R132</f>
        <v>#DIV/0!</v>
      </c>
      <c r="U132" s="63" t="e">
        <f>R132*dagenperjaar1</f>
        <v>#DIV/0!</v>
      </c>
      <c r="V132" s="67" t="e">
        <f>U132*ROUND(Q132,2)</f>
        <v>#DIV/0!</v>
      </c>
    </row>
    <row r="133" spans="1:22" x14ac:dyDescent="0.2">
      <c r="A133" s="60" t="s">
        <v>468</v>
      </c>
      <c r="B133" s="61" t="s">
        <v>291</v>
      </c>
      <c r="C133" s="61" t="s">
        <v>292</v>
      </c>
      <c r="D133" s="61" t="s">
        <v>317</v>
      </c>
      <c r="E133" s="62" t="s">
        <v>484</v>
      </c>
      <c r="F133" s="61" t="s">
        <v>470</v>
      </c>
      <c r="G133" s="61" t="s">
        <v>250</v>
      </c>
      <c r="H133" s="61" t="s">
        <v>12</v>
      </c>
      <c r="I133" s="61" t="s">
        <v>200</v>
      </c>
      <c r="J133" s="61" t="s">
        <v>480</v>
      </c>
      <c r="K133" s="61" t="s">
        <v>291</v>
      </c>
      <c r="L133" s="63">
        <v>12</v>
      </c>
      <c r="M133" s="63">
        <f>L133*VLOOKUP(H133,dagsoorttabel1,2,FALSE)</f>
        <v>9.647058823529413</v>
      </c>
      <c r="N133" s="64">
        <f>prodnorm39</f>
        <v>0</v>
      </c>
      <c r="O133" s="65">
        <f>dagwerk39</f>
        <v>0</v>
      </c>
      <c r="P133" s="61" t="s">
        <v>41</v>
      </c>
      <c r="Q133" s="66">
        <f>uurtarief39</f>
        <v>0</v>
      </c>
      <c r="R133" s="63" t="e">
        <f>IF(ISBLANK(N133),0,M133/ROUND(N133,4))</f>
        <v>#DIV/0!</v>
      </c>
      <c r="S133" s="63" t="e">
        <f>IF(ISBLANK(N133),0,R133*ROUND(O133,2))</f>
        <v>#DIV/0!</v>
      </c>
      <c r="T133" s="66" t="e">
        <f>ROUND(Q133,2)*R133</f>
        <v>#DIV/0!</v>
      </c>
      <c r="U133" s="63" t="e">
        <f>R133*dagenperjaar1</f>
        <v>#DIV/0!</v>
      </c>
      <c r="V133" s="67" t="e">
        <f>U133*ROUND(Q133,2)</f>
        <v>#DIV/0!</v>
      </c>
    </row>
    <row r="134" spans="1:22" x14ac:dyDescent="0.2">
      <c r="A134" s="60" t="s">
        <v>468</v>
      </c>
      <c r="B134" s="61" t="s">
        <v>291</v>
      </c>
      <c r="C134" s="61" t="s">
        <v>292</v>
      </c>
      <c r="D134" s="61" t="s">
        <v>319</v>
      </c>
      <c r="E134" s="62" t="s">
        <v>485</v>
      </c>
      <c r="F134" s="61" t="s">
        <v>301</v>
      </c>
      <c r="G134" s="61" t="s">
        <v>216</v>
      </c>
      <c r="H134" s="61" t="s">
        <v>12</v>
      </c>
      <c r="I134" s="61" t="s">
        <v>200</v>
      </c>
      <c r="J134" s="61" t="s">
        <v>471</v>
      </c>
      <c r="K134" s="61" t="s">
        <v>291</v>
      </c>
      <c r="L134" s="63">
        <v>8</v>
      </c>
      <c r="M134" s="63">
        <f>L134*VLOOKUP(H134,dagsoorttabel1,2,FALSE)</f>
        <v>6.4313725490196081</v>
      </c>
      <c r="N134" s="64">
        <f>prodnorm17</f>
        <v>0</v>
      </c>
      <c r="O134" s="65">
        <f>dagwerk17</f>
        <v>0</v>
      </c>
      <c r="P134" s="61" t="s">
        <v>41</v>
      </c>
      <c r="Q134" s="66">
        <f>uurtarief17</f>
        <v>0</v>
      </c>
      <c r="R134" s="63" t="e">
        <f>IF(ISBLANK(N134),0,M134/ROUND(N134,4))</f>
        <v>#DIV/0!</v>
      </c>
      <c r="S134" s="63" t="e">
        <f>IF(ISBLANK(N134),0,R134*ROUND(O134,2))</f>
        <v>#DIV/0!</v>
      </c>
      <c r="T134" s="66" t="e">
        <f>ROUND(Q134,2)*R134</f>
        <v>#DIV/0!</v>
      </c>
      <c r="U134" s="63" t="e">
        <f>R134*dagenperjaar1</f>
        <v>#DIV/0!</v>
      </c>
      <c r="V134" s="67" t="e">
        <f>U134*ROUND(Q134,2)</f>
        <v>#DIV/0!</v>
      </c>
    </row>
    <row r="135" spans="1:22" x14ac:dyDescent="0.2">
      <c r="A135" s="60" t="s">
        <v>468</v>
      </c>
      <c r="B135" s="61" t="s">
        <v>291</v>
      </c>
      <c r="C135" s="61" t="s">
        <v>292</v>
      </c>
      <c r="D135" s="61" t="s">
        <v>322</v>
      </c>
      <c r="E135" s="62" t="s">
        <v>486</v>
      </c>
      <c r="F135" s="61" t="s">
        <v>329</v>
      </c>
      <c r="G135" s="61" t="s">
        <v>212</v>
      </c>
      <c r="H135" s="61" t="s">
        <v>12</v>
      </c>
      <c r="I135" s="61" t="s">
        <v>200</v>
      </c>
      <c r="J135" s="61" t="s">
        <v>473</v>
      </c>
      <c r="K135" s="61" t="s">
        <v>291</v>
      </c>
      <c r="L135" s="63">
        <v>19.350000000000001</v>
      </c>
      <c r="M135" s="63">
        <f>L135*VLOOKUP(H135,dagsoorttabel1,2,FALSE)</f>
        <v>15.555882352941179</v>
      </c>
      <c r="N135" s="64">
        <f>prodnorm14</f>
        <v>0</v>
      </c>
      <c r="O135" s="65">
        <f>dagwerk14</f>
        <v>0</v>
      </c>
      <c r="P135" s="61" t="s">
        <v>41</v>
      </c>
      <c r="Q135" s="66">
        <f>uurtarief14</f>
        <v>0</v>
      </c>
      <c r="R135" s="63" t="e">
        <f>IF(ISBLANK(N135),0,M135/ROUND(N135,4))</f>
        <v>#DIV/0!</v>
      </c>
      <c r="S135" s="63" t="e">
        <f>IF(ISBLANK(N135),0,R135*ROUND(O135,2))</f>
        <v>#DIV/0!</v>
      </c>
      <c r="T135" s="66" t="e">
        <f>ROUND(Q135,2)*R135</f>
        <v>#DIV/0!</v>
      </c>
      <c r="U135" s="63" t="e">
        <f>R135*dagenperjaar1</f>
        <v>#DIV/0!</v>
      </c>
      <c r="V135" s="67" t="e">
        <f>U135*ROUND(Q135,2)</f>
        <v>#DIV/0!</v>
      </c>
    </row>
    <row r="136" spans="1:22" x14ac:dyDescent="0.2">
      <c r="A136" s="60" t="s">
        <v>468</v>
      </c>
      <c r="B136" s="61" t="s">
        <v>291</v>
      </c>
      <c r="C136" s="61" t="s">
        <v>292</v>
      </c>
      <c r="D136" s="61" t="s">
        <v>487</v>
      </c>
      <c r="E136" s="62" t="s">
        <v>488</v>
      </c>
      <c r="F136" s="61" t="s">
        <v>301</v>
      </c>
      <c r="G136" s="61" t="s">
        <v>262</v>
      </c>
      <c r="H136" s="61" t="s">
        <v>12</v>
      </c>
      <c r="I136" s="61" t="s">
        <v>200</v>
      </c>
      <c r="J136" s="61" t="s">
        <v>471</v>
      </c>
      <c r="K136" s="61" t="s">
        <v>291</v>
      </c>
      <c r="L136" s="63">
        <v>1.5</v>
      </c>
      <c r="M136" s="63">
        <f>L136*VLOOKUP(H136,dagsoorttabel1,2,FALSE)</f>
        <v>1.2058823529411766</v>
      </c>
      <c r="N136" s="64">
        <f>prodnorm50</f>
        <v>0</v>
      </c>
      <c r="O136" s="65">
        <f>dagwerk50</f>
        <v>0</v>
      </c>
      <c r="P136" s="61" t="s">
        <v>41</v>
      </c>
      <c r="Q136" s="66">
        <f>uurtarief50</f>
        <v>0</v>
      </c>
      <c r="R136" s="63" t="e">
        <f>IF(ISBLANK(N136),0,M136/ROUND(N136,4))</f>
        <v>#DIV/0!</v>
      </c>
      <c r="S136" s="63" t="e">
        <f>IF(ISBLANK(N136),0,R136*ROUND(O136,2))</f>
        <v>#DIV/0!</v>
      </c>
      <c r="T136" s="66" t="e">
        <f>ROUND(Q136,2)*R136</f>
        <v>#DIV/0!</v>
      </c>
      <c r="U136" s="63" t="e">
        <f>R136*dagenperjaar1</f>
        <v>#DIV/0!</v>
      </c>
      <c r="V136" s="67" t="e">
        <f>U136*ROUND(Q136,2)</f>
        <v>#DIV/0!</v>
      </c>
    </row>
    <row r="137" spans="1:22" x14ac:dyDescent="0.2">
      <c r="A137" s="60" t="s">
        <v>468</v>
      </c>
      <c r="B137" s="61" t="s">
        <v>291</v>
      </c>
      <c r="C137" s="61" t="s">
        <v>292</v>
      </c>
      <c r="D137" s="61" t="s">
        <v>325</v>
      </c>
      <c r="E137" s="62" t="s">
        <v>489</v>
      </c>
      <c r="F137" s="61" t="s">
        <v>470</v>
      </c>
      <c r="G137" s="61" t="s">
        <v>250</v>
      </c>
      <c r="H137" s="61" t="s">
        <v>12</v>
      </c>
      <c r="I137" s="61" t="s">
        <v>200</v>
      </c>
      <c r="J137" s="61" t="s">
        <v>480</v>
      </c>
      <c r="K137" s="61" t="s">
        <v>291</v>
      </c>
      <c r="L137" s="63">
        <v>15</v>
      </c>
      <c r="M137" s="63">
        <f>L137*VLOOKUP(H137,dagsoorttabel1,2,FALSE)</f>
        <v>12.058823529411764</v>
      </c>
      <c r="N137" s="64">
        <f>prodnorm39</f>
        <v>0</v>
      </c>
      <c r="O137" s="65">
        <f>dagwerk39</f>
        <v>0</v>
      </c>
      <c r="P137" s="61" t="s">
        <v>41</v>
      </c>
      <c r="Q137" s="66">
        <f>uurtarief39</f>
        <v>0</v>
      </c>
      <c r="R137" s="63" t="e">
        <f>IF(ISBLANK(N137),0,M137/ROUND(N137,4))</f>
        <v>#DIV/0!</v>
      </c>
      <c r="S137" s="63" t="e">
        <f>IF(ISBLANK(N137),0,R137*ROUND(O137,2))</f>
        <v>#DIV/0!</v>
      </c>
      <c r="T137" s="66" t="e">
        <f>ROUND(Q137,2)*R137</f>
        <v>#DIV/0!</v>
      </c>
      <c r="U137" s="63" t="e">
        <f>R137*dagenperjaar1</f>
        <v>#DIV/0!</v>
      </c>
      <c r="V137" s="67" t="e">
        <f>U137*ROUND(Q137,2)</f>
        <v>#DIV/0!</v>
      </c>
    </row>
    <row r="138" spans="1:22" x14ac:dyDescent="0.2">
      <c r="A138" s="60" t="s">
        <v>468</v>
      </c>
      <c r="B138" s="61" t="s">
        <v>291</v>
      </c>
      <c r="C138" s="61" t="s">
        <v>292</v>
      </c>
      <c r="D138" s="61" t="s">
        <v>332</v>
      </c>
      <c r="E138" s="62" t="s">
        <v>490</v>
      </c>
      <c r="F138" s="61" t="s">
        <v>470</v>
      </c>
      <c r="G138" s="61" t="s">
        <v>250</v>
      </c>
      <c r="H138" s="61" t="s">
        <v>12</v>
      </c>
      <c r="I138" s="61" t="s">
        <v>200</v>
      </c>
      <c r="J138" s="61" t="s">
        <v>480</v>
      </c>
      <c r="K138" s="61" t="s">
        <v>291</v>
      </c>
      <c r="L138" s="63">
        <v>5</v>
      </c>
      <c r="M138" s="63">
        <f>L138*VLOOKUP(H138,dagsoorttabel1,2,FALSE)</f>
        <v>4.0196078431372548</v>
      </c>
      <c r="N138" s="64">
        <f>prodnorm39</f>
        <v>0</v>
      </c>
      <c r="O138" s="65">
        <f>dagwerk39</f>
        <v>0</v>
      </c>
      <c r="P138" s="61" t="s">
        <v>41</v>
      </c>
      <c r="Q138" s="66">
        <f>uurtarief39</f>
        <v>0</v>
      </c>
      <c r="R138" s="63" t="e">
        <f>IF(ISBLANK(N138),0,M138/ROUND(N138,4))</f>
        <v>#DIV/0!</v>
      </c>
      <c r="S138" s="63" t="e">
        <f>IF(ISBLANK(N138),0,R138*ROUND(O138,2))</f>
        <v>#DIV/0!</v>
      </c>
      <c r="T138" s="66" t="e">
        <f>ROUND(Q138,2)*R138</f>
        <v>#DIV/0!</v>
      </c>
      <c r="U138" s="63" t="e">
        <f>R138*dagenperjaar1</f>
        <v>#DIV/0!</v>
      </c>
      <c r="V138" s="67" t="e">
        <f>U138*ROUND(Q138,2)</f>
        <v>#DIV/0!</v>
      </c>
    </row>
    <row r="139" spans="1:22" x14ac:dyDescent="0.2">
      <c r="A139" s="60" t="s">
        <v>468</v>
      </c>
      <c r="B139" s="61" t="s">
        <v>291</v>
      </c>
      <c r="C139" s="61" t="s">
        <v>292</v>
      </c>
      <c r="D139" s="61" t="s">
        <v>334</v>
      </c>
      <c r="E139" s="62" t="s">
        <v>491</v>
      </c>
      <c r="F139" s="61" t="s">
        <v>470</v>
      </c>
      <c r="G139" s="61" t="s">
        <v>250</v>
      </c>
      <c r="H139" s="61" t="s">
        <v>12</v>
      </c>
      <c r="I139" s="61" t="s">
        <v>200</v>
      </c>
      <c r="J139" s="61" t="s">
        <v>480</v>
      </c>
      <c r="K139" s="61" t="s">
        <v>291</v>
      </c>
      <c r="L139" s="63">
        <v>9.6</v>
      </c>
      <c r="M139" s="63">
        <f>L139*VLOOKUP(H139,dagsoorttabel1,2,FALSE)</f>
        <v>7.7176470588235295</v>
      </c>
      <c r="N139" s="64">
        <f>prodnorm39</f>
        <v>0</v>
      </c>
      <c r="O139" s="65">
        <f>dagwerk39</f>
        <v>0</v>
      </c>
      <c r="P139" s="61" t="s">
        <v>41</v>
      </c>
      <c r="Q139" s="66">
        <f>uurtarief39</f>
        <v>0</v>
      </c>
      <c r="R139" s="63" t="e">
        <f>IF(ISBLANK(N139),0,M139/ROUND(N139,4))</f>
        <v>#DIV/0!</v>
      </c>
      <c r="S139" s="63" t="e">
        <f>IF(ISBLANK(N139),0,R139*ROUND(O139,2))</f>
        <v>#DIV/0!</v>
      </c>
      <c r="T139" s="66" t="e">
        <f>ROUND(Q139,2)*R139</f>
        <v>#DIV/0!</v>
      </c>
      <c r="U139" s="63" t="e">
        <f>R139*dagenperjaar1</f>
        <v>#DIV/0!</v>
      </c>
      <c r="V139" s="67" t="e">
        <f>U139*ROUND(Q139,2)</f>
        <v>#DIV/0!</v>
      </c>
    </row>
    <row r="140" spans="1:22" x14ac:dyDescent="0.2">
      <c r="A140" s="60" t="s">
        <v>468</v>
      </c>
      <c r="B140" s="61" t="s">
        <v>291</v>
      </c>
      <c r="C140" s="61" t="s">
        <v>292</v>
      </c>
      <c r="D140" s="61" t="s">
        <v>336</v>
      </c>
      <c r="E140" s="62" t="s">
        <v>492</v>
      </c>
      <c r="F140" s="61" t="s">
        <v>329</v>
      </c>
      <c r="G140" s="61" t="s">
        <v>212</v>
      </c>
      <c r="H140" s="61" t="s">
        <v>12</v>
      </c>
      <c r="I140" s="61" t="s">
        <v>200</v>
      </c>
      <c r="J140" s="61" t="s">
        <v>473</v>
      </c>
      <c r="K140" s="61" t="s">
        <v>291</v>
      </c>
      <c r="L140" s="63">
        <v>22</v>
      </c>
      <c r="M140" s="63">
        <f>L140*VLOOKUP(H140,dagsoorttabel1,2,FALSE)</f>
        <v>17.686274509803923</v>
      </c>
      <c r="N140" s="64">
        <f>prodnorm14</f>
        <v>0</v>
      </c>
      <c r="O140" s="65">
        <f>dagwerk14</f>
        <v>0</v>
      </c>
      <c r="P140" s="61" t="s">
        <v>41</v>
      </c>
      <c r="Q140" s="66">
        <f>uurtarief14</f>
        <v>0</v>
      </c>
      <c r="R140" s="63" t="e">
        <f>IF(ISBLANK(N140),0,M140/ROUND(N140,4))</f>
        <v>#DIV/0!</v>
      </c>
      <c r="S140" s="63" t="e">
        <f>IF(ISBLANK(N140),0,R140*ROUND(O140,2))</f>
        <v>#DIV/0!</v>
      </c>
      <c r="T140" s="66" t="e">
        <f>ROUND(Q140,2)*R140</f>
        <v>#DIV/0!</v>
      </c>
      <c r="U140" s="63" t="e">
        <f>R140*dagenperjaar1</f>
        <v>#DIV/0!</v>
      </c>
      <c r="V140" s="67" t="e">
        <f>U140*ROUND(Q140,2)</f>
        <v>#DIV/0!</v>
      </c>
    </row>
    <row r="141" spans="1:22" x14ac:dyDescent="0.2">
      <c r="A141" s="60" t="s">
        <v>468</v>
      </c>
      <c r="B141" s="61" t="s">
        <v>291</v>
      </c>
      <c r="C141" s="61" t="s">
        <v>292</v>
      </c>
      <c r="D141" s="61" t="s">
        <v>493</v>
      </c>
      <c r="E141" s="62" t="s">
        <v>341</v>
      </c>
      <c r="F141" s="61" t="s">
        <v>329</v>
      </c>
      <c r="G141" s="61" t="s">
        <v>202</v>
      </c>
      <c r="H141" s="61" t="s">
        <v>12</v>
      </c>
      <c r="I141" s="61" t="s">
        <v>200</v>
      </c>
      <c r="J141" s="61" t="s">
        <v>473</v>
      </c>
      <c r="K141" s="61" t="s">
        <v>291</v>
      </c>
      <c r="L141" s="63">
        <v>22</v>
      </c>
      <c r="M141" s="63">
        <f>L141*VLOOKUP(H141,dagsoorttabel1,2,FALSE)</f>
        <v>17.686274509803923</v>
      </c>
      <c r="N141" s="64">
        <f>prodnorm5</f>
        <v>0</v>
      </c>
      <c r="O141" s="65">
        <f>dagwerk5</f>
        <v>0</v>
      </c>
      <c r="P141" s="61" t="s">
        <v>41</v>
      </c>
      <c r="Q141" s="66">
        <f>uurtarief5</f>
        <v>0</v>
      </c>
      <c r="R141" s="63" t="e">
        <f>IF(ISBLANK(N141),0,M141/ROUND(N141,4))</f>
        <v>#DIV/0!</v>
      </c>
      <c r="S141" s="63" t="e">
        <f>IF(ISBLANK(N141),0,R141*ROUND(O141,2))</f>
        <v>#DIV/0!</v>
      </c>
      <c r="T141" s="66" t="e">
        <f>ROUND(Q141,2)*R141</f>
        <v>#DIV/0!</v>
      </c>
      <c r="U141" s="63" t="e">
        <f>R141*dagenperjaar1</f>
        <v>#DIV/0!</v>
      </c>
      <c r="V141" s="67" t="e">
        <f>U141*ROUND(Q141,2)</f>
        <v>#DIV/0!</v>
      </c>
    </row>
    <row r="142" spans="1:22" x14ac:dyDescent="0.2">
      <c r="A142" s="60" t="s">
        <v>468</v>
      </c>
      <c r="B142" s="61" t="s">
        <v>291</v>
      </c>
      <c r="C142" s="61" t="s">
        <v>292</v>
      </c>
      <c r="D142" s="61" t="s">
        <v>494</v>
      </c>
      <c r="E142" s="62" t="s">
        <v>303</v>
      </c>
      <c r="F142" s="61" t="s">
        <v>329</v>
      </c>
      <c r="G142" s="61" t="s">
        <v>266</v>
      </c>
      <c r="H142" s="61" t="s">
        <v>12</v>
      </c>
      <c r="I142" s="61" t="s">
        <v>200</v>
      </c>
      <c r="J142" s="61" t="s">
        <v>471</v>
      </c>
      <c r="K142" s="61" t="s">
        <v>291</v>
      </c>
      <c r="L142" s="63">
        <v>10</v>
      </c>
      <c r="M142" s="63">
        <f>L142*VLOOKUP(H142,dagsoorttabel1,2,FALSE)</f>
        <v>8.0392156862745097</v>
      </c>
      <c r="N142" s="64">
        <f>prodnorm53</f>
        <v>0</v>
      </c>
      <c r="O142" s="65">
        <f>dagwerk53</f>
        <v>0</v>
      </c>
      <c r="P142" s="61" t="s">
        <v>41</v>
      </c>
      <c r="Q142" s="66">
        <f>uurtarief53</f>
        <v>0</v>
      </c>
      <c r="R142" s="63" t="e">
        <f>IF(ISBLANK(N142),0,M142/ROUND(N142,4))</f>
        <v>#DIV/0!</v>
      </c>
      <c r="S142" s="63" t="e">
        <f>IF(ISBLANK(N142),0,R142*ROUND(O142,2))</f>
        <v>#DIV/0!</v>
      </c>
      <c r="T142" s="66" t="e">
        <f>ROUND(Q142,2)*R142</f>
        <v>#DIV/0!</v>
      </c>
      <c r="U142" s="63" t="e">
        <f>R142*dagenperjaar1</f>
        <v>#DIV/0!</v>
      </c>
      <c r="V142" s="67" t="e">
        <f>U142*ROUND(Q142,2)</f>
        <v>#DIV/0!</v>
      </c>
    </row>
    <row r="143" spans="1:22" x14ac:dyDescent="0.2">
      <c r="A143" s="60" t="s">
        <v>468</v>
      </c>
      <c r="B143" s="61" t="s">
        <v>291</v>
      </c>
      <c r="C143" s="61" t="s">
        <v>292</v>
      </c>
      <c r="D143" s="61" t="s">
        <v>340</v>
      </c>
      <c r="E143" s="62" t="s">
        <v>495</v>
      </c>
      <c r="F143" s="61" t="s">
        <v>329</v>
      </c>
      <c r="G143" s="61" t="s">
        <v>202</v>
      </c>
      <c r="H143" s="61" t="s">
        <v>12</v>
      </c>
      <c r="I143" s="61" t="s">
        <v>200</v>
      </c>
      <c r="J143" s="61" t="s">
        <v>473</v>
      </c>
      <c r="K143" s="61" t="s">
        <v>291</v>
      </c>
      <c r="L143" s="63">
        <v>22</v>
      </c>
      <c r="M143" s="63">
        <f>L143*VLOOKUP(H143,dagsoorttabel1,2,FALSE)</f>
        <v>17.686274509803923</v>
      </c>
      <c r="N143" s="64">
        <f>prodnorm5</f>
        <v>0</v>
      </c>
      <c r="O143" s="65">
        <f>dagwerk5</f>
        <v>0</v>
      </c>
      <c r="P143" s="61" t="s">
        <v>41</v>
      </c>
      <c r="Q143" s="66">
        <f>uurtarief5</f>
        <v>0</v>
      </c>
      <c r="R143" s="63" t="e">
        <f>IF(ISBLANK(N143),0,M143/ROUND(N143,4))</f>
        <v>#DIV/0!</v>
      </c>
      <c r="S143" s="63" t="e">
        <f>IF(ISBLANK(N143),0,R143*ROUND(O143,2))</f>
        <v>#DIV/0!</v>
      </c>
      <c r="T143" s="66" t="e">
        <f>ROUND(Q143,2)*R143</f>
        <v>#DIV/0!</v>
      </c>
      <c r="U143" s="63" t="e">
        <f>R143*dagenperjaar1</f>
        <v>#DIV/0!</v>
      </c>
      <c r="V143" s="67" t="e">
        <f>U143*ROUND(Q143,2)</f>
        <v>#DIV/0!</v>
      </c>
    </row>
    <row r="144" spans="1:22" x14ac:dyDescent="0.2">
      <c r="A144" s="60" t="s">
        <v>468</v>
      </c>
      <c r="B144" s="61" t="s">
        <v>291</v>
      </c>
      <c r="C144" s="61" t="s">
        <v>292</v>
      </c>
      <c r="D144" s="61" t="s">
        <v>342</v>
      </c>
      <c r="E144" s="62" t="s">
        <v>341</v>
      </c>
      <c r="F144" s="61" t="s">
        <v>329</v>
      </c>
      <c r="G144" s="61" t="s">
        <v>202</v>
      </c>
      <c r="H144" s="61" t="s">
        <v>12</v>
      </c>
      <c r="I144" s="61" t="s">
        <v>200</v>
      </c>
      <c r="J144" s="61" t="s">
        <v>473</v>
      </c>
      <c r="K144" s="61" t="s">
        <v>291</v>
      </c>
      <c r="L144" s="63">
        <v>15</v>
      </c>
      <c r="M144" s="63">
        <f>L144*VLOOKUP(H144,dagsoorttabel1,2,FALSE)</f>
        <v>12.058823529411764</v>
      </c>
      <c r="N144" s="64">
        <f>prodnorm5</f>
        <v>0</v>
      </c>
      <c r="O144" s="65">
        <f>dagwerk5</f>
        <v>0</v>
      </c>
      <c r="P144" s="61" t="s">
        <v>41</v>
      </c>
      <c r="Q144" s="66">
        <f>uurtarief5</f>
        <v>0</v>
      </c>
      <c r="R144" s="63" t="e">
        <f>IF(ISBLANK(N144),0,M144/ROUND(N144,4))</f>
        <v>#DIV/0!</v>
      </c>
      <c r="S144" s="63" t="e">
        <f>IF(ISBLANK(N144),0,R144*ROUND(O144,2))</f>
        <v>#DIV/0!</v>
      </c>
      <c r="T144" s="66" t="e">
        <f>ROUND(Q144,2)*R144</f>
        <v>#DIV/0!</v>
      </c>
      <c r="U144" s="63" t="e">
        <f>R144*dagenperjaar1</f>
        <v>#DIV/0!</v>
      </c>
      <c r="V144" s="67" t="e">
        <f>U144*ROUND(Q144,2)</f>
        <v>#DIV/0!</v>
      </c>
    </row>
    <row r="145" spans="1:22" x14ac:dyDescent="0.2">
      <c r="A145" s="60" t="s">
        <v>468</v>
      </c>
      <c r="B145" s="61" t="s">
        <v>291</v>
      </c>
      <c r="C145" s="61" t="s">
        <v>292</v>
      </c>
      <c r="D145" s="61" t="s">
        <v>496</v>
      </c>
      <c r="E145" s="62" t="s">
        <v>497</v>
      </c>
      <c r="F145" s="61" t="s">
        <v>301</v>
      </c>
      <c r="G145" s="61" t="s">
        <v>222</v>
      </c>
      <c r="H145" s="61" t="s">
        <v>12</v>
      </c>
      <c r="I145" s="61" t="s">
        <v>200</v>
      </c>
      <c r="J145" s="61" t="s">
        <v>498</v>
      </c>
      <c r="K145" s="61" t="s">
        <v>291</v>
      </c>
      <c r="L145" s="63">
        <v>560</v>
      </c>
      <c r="M145" s="63">
        <f>L145*VLOOKUP(H145,dagsoorttabel1,2,FALSE)</f>
        <v>450.19607843137254</v>
      </c>
      <c r="N145" s="64">
        <f>prodnorm23</f>
        <v>0</v>
      </c>
      <c r="O145" s="65">
        <f>dagwerk23</f>
        <v>0</v>
      </c>
      <c r="P145" s="61" t="s">
        <v>41</v>
      </c>
      <c r="Q145" s="66">
        <f>uurtarief23</f>
        <v>0</v>
      </c>
      <c r="R145" s="63" t="e">
        <f>IF(ISBLANK(N145),0,M145/ROUND(N145,4))</f>
        <v>#DIV/0!</v>
      </c>
      <c r="S145" s="63" t="e">
        <f>IF(ISBLANK(N145),0,R145*ROUND(O145,2))</f>
        <v>#DIV/0!</v>
      </c>
      <c r="T145" s="66" t="e">
        <f>ROUND(Q145,2)*R145</f>
        <v>#DIV/0!</v>
      </c>
      <c r="U145" s="63" t="e">
        <f>R145*dagenperjaar1</f>
        <v>#DIV/0!</v>
      </c>
      <c r="V145" s="67" t="e">
        <f>U145*ROUND(Q145,2)</f>
        <v>#DIV/0!</v>
      </c>
    </row>
    <row r="146" spans="1:22" x14ac:dyDescent="0.2">
      <c r="A146" s="60" t="s">
        <v>468</v>
      </c>
      <c r="B146" s="61" t="s">
        <v>291</v>
      </c>
      <c r="C146" s="61" t="s">
        <v>292</v>
      </c>
      <c r="D146" s="61" t="s">
        <v>343</v>
      </c>
      <c r="E146" s="62" t="s">
        <v>499</v>
      </c>
      <c r="F146" s="61" t="s">
        <v>329</v>
      </c>
      <c r="G146" s="61" t="s">
        <v>236</v>
      </c>
      <c r="H146" s="61" t="s">
        <v>12</v>
      </c>
      <c r="I146" s="61" t="s">
        <v>200</v>
      </c>
      <c r="J146" s="61" t="s">
        <v>498</v>
      </c>
      <c r="K146" s="61" t="s">
        <v>291</v>
      </c>
      <c r="L146" s="63">
        <v>66</v>
      </c>
      <c r="M146" s="63">
        <f>L146*VLOOKUP(H146,dagsoorttabel1,2,FALSE)</f>
        <v>53.058823529411768</v>
      </c>
      <c r="N146" s="64">
        <f>prodnorm31</f>
        <v>0</v>
      </c>
      <c r="O146" s="65">
        <f>dagwerk31</f>
        <v>0</v>
      </c>
      <c r="P146" s="61" t="s">
        <v>41</v>
      </c>
      <c r="Q146" s="66">
        <f>uurtarief31</f>
        <v>0</v>
      </c>
      <c r="R146" s="63" t="e">
        <f>IF(ISBLANK(N146),0,M146/ROUND(N146,4))</f>
        <v>#DIV/0!</v>
      </c>
      <c r="S146" s="63" t="e">
        <f>IF(ISBLANK(N146),0,R146*ROUND(O146,2))</f>
        <v>#DIV/0!</v>
      </c>
      <c r="T146" s="66" t="e">
        <f>ROUND(Q146,2)*R146</f>
        <v>#DIV/0!</v>
      </c>
      <c r="U146" s="63" t="e">
        <f>R146*dagenperjaar1</f>
        <v>#DIV/0!</v>
      </c>
      <c r="V146" s="67" t="e">
        <f>U146*ROUND(Q146,2)</f>
        <v>#DIV/0!</v>
      </c>
    </row>
    <row r="147" spans="1:22" x14ac:dyDescent="0.2">
      <c r="A147" s="60" t="s">
        <v>468</v>
      </c>
      <c r="B147" s="61" t="s">
        <v>291</v>
      </c>
      <c r="C147" s="61" t="s">
        <v>292</v>
      </c>
      <c r="D147" s="61" t="s">
        <v>347</v>
      </c>
      <c r="E147" s="62" t="s">
        <v>500</v>
      </c>
      <c r="F147" s="61" t="s">
        <v>470</v>
      </c>
      <c r="G147" s="61" t="s">
        <v>273</v>
      </c>
      <c r="H147" s="61" t="s">
        <v>25</v>
      </c>
      <c r="I147" s="61" t="s">
        <v>271</v>
      </c>
      <c r="J147" s="61" t="s">
        <v>498</v>
      </c>
      <c r="K147" s="61" t="s">
        <v>291</v>
      </c>
      <c r="L147" s="63">
        <v>1</v>
      </c>
      <c r="M147" s="63">
        <f>L147*VLOOKUP(H147,dagsoorttabel1,2,FALSE)</f>
        <v>7.8431372549019607E-3</v>
      </c>
      <c r="N147" s="64">
        <f>prodnorm2</f>
        <v>0</v>
      </c>
      <c r="O147" s="65">
        <f>dagwerk2</f>
        <v>0</v>
      </c>
      <c r="P147" s="61" t="s">
        <v>275</v>
      </c>
      <c r="Q147" s="66">
        <f>uurtarief2</f>
        <v>0</v>
      </c>
      <c r="R147" s="63">
        <f>M147*ROUND(N147,4)/60</f>
        <v>0</v>
      </c>
      <c r="S147" s="63">
        <f>IF(ISBLANK(N147),0,R147*ROUND(O147,2))</f>
        <v>0</v>
      </c>
      <c r="T147" s="66">
        <f>ROUND(Q147,2)*R147</f>
        <v>0</v>
      </c>
      <c r="U147" s="63">
        <f>R147*dagenperjaar1</f>
        <v>0</v>
      </c>
      <c r="V147" s="67">
        <f>U147*ROUND(Q147,2)</f>
        <v>0</v>
      </c>
    </row>
    <row r="148" spans="1:22" x14ac:dyDescent="0.2">
      <c r="A148" s="60" t="s">
        <v>468</v>
      </c>
      <c r="B148" s="61" t="s">
        <v>291</v>
      </c>
      <c r="C148" s="61" t="s">
        <v>292</v>
      </c>
      <c r="D148" s="61" t="s">
        <v>347</v>
      </c>
      <c r="E148" s="62" t="s">
        <v>500</v>
      </c>
      <c r="F148" s="61" t="s">
        <v>470</v>
      </c>
      <c r="G148" s="61" t="s">
        <v>234</v>
      </c>
      <c r="H148" s="61" t="s">
        <v>12</v>
      </c>
      <c r="I148" s="61" t="s">
        <v>200</v>
      </c>
      <c r="J148" s="61" t="s">
        <v>498</v>
      </c>
      <c r="K148" s="61" t="s">
        <v>291</v>
      </c>
      <c r="L148" s="63">
        <v>94.3</v>
      </c>
      <c r="M148" s="63">
        <f>L148*VLOOKUP(H148,dagsoorttabel1,2,FALSE)</f>
        <v>75.80980392156863</v>
      </c>
      <c r="N148" s="64">
        <f>prodnorm30</f>
        <v>0</v>
      </c>
      <c r="O148" s="65">
        <f>dagwerk30</f>
        <v>0</v>
      </c>
      <c r="P148" s="61" t="s">
        <v>41</v>
      </c>
      <c r="Q148" s="66">
        <f>uurtarief30</f>
        <v>0</v>
      </c>
      <c r="R148" s="63" t="e">
        <f>IF(ISBLANK(N148),0,M148/ROUND(N148,4))</f>
        <v>#DIV/0!</v>
      </c>
      <c r="S148" s="63" t="e">
        <f>IF(ISBLANK(N148),0,R148*ROUND(O148,2))</f>
        <v>#DIV/0!</v>
      </c>
      <c r="T148" s="66" t="e">
        <f>ROUND(Q148,2)*R148</f>
        <v>#DIV/0!</v>
      </c>
      <c r="U148" s="63" t="e">
        <f>R148*dagenperjaar1</f>
        <v>#DIV/0!</v>
      </c>
      <c r="V148" s="67" t="e">
        <f>U148*ROUND(Q148,2)</f>
        <v>#DIV/0!</v>
      </c>
    </row>
    <row r="149" spans="1:22" x14ac:dyDescent="0.2">
      <c r="A149" s="60" t="s">
        <v>468</v>
      </c>
      <c r="B149" s="61" t="s">
        <v>291</v>
      </c>
      <c r="C149" s="61" t="s">
        <v>292</v>
      </c>
      <c r="D149" s="61" t="s">
        <v>501</v>
      </c>
      <c r="E149" s="62" t="s">
        <v>502</v>
      </c>
      <c r="F149" s="61" t="s">
        <v>470</v>
      </c>
      <c r="G149" s="61" t="s">
        <v>252</v>
      </c>
      <c r="H149" s="61" t="s">
        <v>12</v>
      </c>
      <c r="I149" s="61" t="s">
        <v>200</v>
      </c>
      <c r="J149" s="61" t="s">
        <v>471</v>
      </c>
      <c r="K149" s="61" t="s">
        <v>291</v>
      </c>
      <c r="L149" s="63">
        <v>20</v>
      </c>
      <c r="M149" s="63">
        <f>L149*VLOOKUP(H149,dagsoorttabel1,2,FALSE)</f>
        <v>16.078431372549019</v>
      </c>
      <c r="N149" s="64">
        <f>prodnorm43</f>
        <v>0</v>
      </c>
      <c r="O149" s="65">
        <f>dagwerk43</f>
        <v>0</v>
      </c>
      <c r="P149" s="61" t="s">
        <v>41</v>
      </c>
      <c r="Q149" s="66">
        <f>uurtarief43</f>
        <v>0</v>
      </c>
      <c r="R149" s="63" t="e">
        <f>IF(ISBLANK(N149),0,M149/ROUND(N149,4))</f>
        <v>#DIV/0!</v>
      </c>
      <c r="S149" s="63" t="e">
        <f>IF(ISBLANK(N149),0,R149*ROUND(O149,2))</f>
        <v>#DIV/0!</v>
      </c>
      <c r="T149" s="66" t="e">
        <f>ROUND(Q149,2)*R149</f>
        <v>#DIV/0!</v>
      </c>
      <c r="U149" s="63" t="e">
        <f>R149*dagenperjaar1</f>
        <v>#DIV/0!</v>
      </c>
      <c r="V149" s="67" t="e">
        <f>U149*ROUND(Q149,2)</f>
        <v>#DIV/0!</v>
      </c>
    </row>
    <row r="150" spans="1:22" x14ac:dyDescent="0.2">
      <c r="A150" s="60" t="s">
        <v>468</v>
      </c>
      <c r="B150" s="61" t="s">
        <v>291</v>
      </c>
      <c r="C150" s="61" t="s">
        <v>292</v>
      </c>
      <c r="D150" s="61" t="s">
        <v>503</v>
      </c>
      <c r="E150" s="62" t="s">
        <v>504</v>
      </c>
      <c r="F150" s="61" t="s">
        <v>301</v>
      </c>
      <c r="G150" s="61" t="s">
        <v>230</v>
      </c>
      <c r="H150" s="61" t="s">
        <v>19</v>
      </c>
      <c r="I150" s="61" t="s">
        <v>200</v>
      </c>
      <c r="J150" s="61" t="s">
        <v>471</v>
      </c>
      <c r="K150" s="61" t="s">
        <v>291</v>
      </c>
      <c r="L150" s="63">
        <v>8.6</v>
      </c>
      <c r="M150" s="63">
        <f>L150*VLOOKUP(H150,dagsoorttabel1,2,FALSE)</f>
        <v>1.3827450980392157</v>
      </c>
      <c r="N150" s="64">
        <f>prodnorm28</f>
        <v>0</v>
      </c>
      <c r="O150" s="65">
        <f>dagwerk28</f>
        <v>0</v>
      </c>
      <c r="P150" s="61" t="s">
        <v>41</v>
      </c>
      <c r="Q150" s="66">
        <f>uurtarief28</f>
        <v>0</v>
      </c>
      <c r="R150" s="63" t="e">
        <f>IF(ISBLANK(N150),0,M150/ROUND(N150,4))</f>
        <v>#DIV/0!</v>
      </c>
      <c r="S150" s="63" t="e">
        <f>IF(ISBLANK(N150),0,R150*ROUND(O150,2))</f>
        <v>#DIV/0!</v>
      </c>
      <c r="T150" s="66" t="e">
        <f>ROUND(Q150,2)*R150</f>
        <v>#DIV/0!</v>
      </c>
      <c r="U150" s="63" t="e">
        <f>R150*dagenperjaar1</f>
        <v>#DIV/0!</v>
      </c>
      <c r="V150" s="67" t="e">
        <f>U150*ROUND(Q150,2)</f>
        <v>#DIV/0!</v>
      </c>
    </row>
    <row r="151" spans="1:22" x14ac:dyDescent="0.2">
      <c r="A151" s="60" t="s">
        <v>468</v>
      </c>
      <c r="B151" s="61" t="s">
        <v>291</v>
      </c>
      <c r="C151" s="61" t="s">
        <v>292</v>
      </c>
      <c r="D151" s="61" t="s">
        <v>505</v>
      </c>
      <c r="E151" s="62" t="s">
        <v>506</v>
      </c>
      <c r="F151" s="61" t="s">
        <v>301</v>
      </c>
      <c r="G151" s="61" t="s">
        <v>199</v>
      </c>
      <c r="H151" s="61" t="s">
        <v>12</v>
      </c>
      <c r="I151" s="61" t="s">
        <v>200</v>
      </c>
      <c r="J151" s="61" t="s">
        <v>473</v>
      </c>
      <c r="K151" s="61" t="s">
        <v>291</v>
      </c>
      <c r="L151" s="63">
        <v>5</v>
      </c>
      <c r="M151" s="63">
        <f>L151*VLOOKUP(H151,dagsoorttabel1,2,FALSE)</f>
        <v>4.0196078431372548</v>
      </c>
      <c r="N151" s="64">
        <f>prodnorm3</f>
        <v>0</v>
      </c>
      <c r="O151" s="65">
        <f>dagwerk3</f>
        <v>0</v>
      </c>
      <c r="P151" s="61" t="s">
        <v>41</v>
      </c>
      <c r="Q151" s="66">
        <f>uurtarief3</f>
        <v>0</v>
      </c>
      <c r="R151" s="63" t="e">
        <f>IF(ISBLANK(N151),0,M151/ROUND(N151,4))</f>
        <v>#DIV/0!</v>
      </c>
      <c r="S151" s="63" t="e">
        <f>IF(ISBLANK(N151),0,R151*ROUND(O151,2))</f>
        <v>#DIV/0!</v>
      </c>
      <c r="T151" s="66" t="e">
        <f>ROUND(Q151,2)*R151</f>
        <v>#DIV/0!</v>
      </c>
      <c r="U151" s="63" t="e">
        <f>R151*dagenperjaar1</f>
        <v>#DIV/0!</v>
      </c>
      <c r="V151" s="67" t="e">
        <f>U151*ROUND(Q151,2)</f>
        <v>#DIV/0!</v>
      </c>
    </row>
    <row r="152" spans="1:22" x14ac:dyDescent="0.2">
      <c r="A152" s="60" t="s">
        <v>468</v>
      </c>
      <c r="B152" s="61" t="s">
        <v>291</v>
      </c>
      <c r="C152" s="61" t="s">
        <v>292</v>
      </c>
      <c r="D152" s="61" t="s">
        <v>507</v>
      </c>
      <c r="E152" s="62" t="s">
        <v>508</v>
      </c>
      <c r="F152" s="61" t="s">
        <v>301</v>
      </c>
      <c r="G152" s="61" t="s">
        <v>240</v>
      </c>
      <c r="H152" s="61" t="s">
        <v>12</v>
      </c>
      <c r="I152" s="61" t="s">
        <v>200</v>
      </c>
      <c r="J152" s="61" t="s">
        <v>498</v>
      </c>
      <c r="K152" s="61" t="s">
        <v>291</v>
      </c>
      <c r="L152" s="63">
        <v>180.7</v>
      </c>
      <c r="M152" s="63">
        <f>L152*VLOOKUP(H152,dagsoorttabel1,2,FALSE)</f>
        <v>145.26862745098038</v>
      </c>
      <c r="N152" s="64">
        <f>prodnorm33</f>
        <v>0</v>
      </c>
      <c r="O152" s="65">
        <f>dagwerk33</f>
        <v>0</v>
      </c>
      <c r="P152" s="61" t="s">
        <v>41</v>
      </c>
      <c r="Q152" s="66">
        <f>uurtarief33</f>
        <v>0</v>
      </c>
      <c r="R152" s="63" t="e">
        <f>IF(ISBLANK(N152),0,M152/ROUND(N152,4))</f>
        <v>#DIV/0!</v>
      </c>
      <c r="S152" s="63" t="e">
        <f>IF(ISBLANK(N152),0,R152*ROUND(O152,2))</f>
        <v>#DIV/0!</v>
      </c>
      <c r="T152" s="66" t="e">
        <f>ROUND(Q152,2)*R152</f>
        <v>#DIV/0!</v>
      </c>
      <c r="U152" s="63" t="e">
        <f>R152*dagenperjaar1</f>
        <v>#DIV/0!</v>
      </c>
      <c r="V152" s="67" t="e">
        <f>U152*ROUND(Q152,2)</f>
        <v>#DIV/0!</v>
      </c>
    </row>
    <row r="153" spans="1:22" x14ac:dyDescent="0.2">
      <c r="A153" s="60" t="s">
        <v>468</v>
      </c>
      <c r="B153" s="61" t="s">
        <v>291</v>
      </c>
      <c r="C153" s="61" t="s">
        <v>292</v>
      </c>
      <c r="D153" s="61" t="s">
        <v>351</v>
      </c>
      <c r="E153" s="62" t="s">
        <v>509</v>
      </c>
      <c r="F153" s="61" t="s">
        <v>470</v>
      </c>
      <c r="G153" s="61" t="s">
        <v>234</v>
      </c>
      <c r="H153" s="61" t="s">
        <v>12</v>
      </c>
      <c r="I153" s="61" t="s">
        <v>200</v>
      </c>
      <c r="J153" s="61" t="s">
        <v>498</v>
      </c>
      <c r="K153" s="61" t="s">
        <v>291</v>
      </c>
      <c r="L153" s="63">
        <v>98</v>
      </c>
      <c r="M153" s="63">
        <f>L153*VLOOKUP(H153,dagsoorttabel1,2,FALSE)</f>
        <v>78.784313725490193</v>
      </c>
      <c r="N153" s="64">
        <f>prodnorm30</f>
        <v>0</v>
      </c>
      <c r="O153" s="65">
        <f>dagwerk30</f>
        <v>0</v>
      </c>
      <c r="P153" s="61" t="s">
        <v>41</v>
      </c>
      <c r="Q153" s="66">
        <f>uurtarief30</f>
        <v>0</v>
      </c>
      <c r="R153" s="63" t="e">
        <f>IF(ISBLANK(N153),0,M153/ROUND(N153,4))</f>
        <v>#DIV/0!</v>
      </c>
      <c r="S153" s="63" t="e">
        <f>IF(ISBLANK(N153),0,R153*ROUND(O153,2))</f>
        <v>#DIV/0!</v>
      </c>
      <c r="T153" s="66" t="e">
        <f>ROUND(Q153,2)*R153</f>
        <v>#DIV/0!</v>
      </c>
      <c r="U153" s="63" t="e">
        <f>R153*dagenperjaar1</f>
        <v>#DIV/0!</v>
      </c>
      <c r="V153" s="67" t="e">
        <f>U153*ROUND(Q153,2)</f>
        <v>#DIV/0!</v>
      </c>
    </row>
    <row r="154" spans="1:22" x14ac:dyDescent="0.2">
      <c r="A154" s="60" t="s">
        <v>468</v>
      </c>
      <c r="B154" s="61" t="s">
        <v>291</v>
      </c>
      <c r="C154" s="61" t="s">
        <v>292</v>
      </c>
      <c r="D154" s="61" t="s">
        <v>510</v>
      </c>
      <c r="E154" s="62" t="s">
        <v>511</v>
      </c>
      <c r="F154" s="61" t="s">
        <v>301</v>
      </c>
      <c r="G154" s="61" t="s">
        <v>218</v>
      </c>
      <c r="H154" s="61" t="s">
        <v>12</v>
      </c>
      <c r="I154" s="61" t="s">
        <v>200</v>
      </c>
      <c r="J154" s="61" t="s">
        <v>498</v>
      </c>
      <c r="K154" s="61" t="s">
        <v>291</v>
      </c>
      <c r="L154" s="63">
        <v>94</v>
      </c>
      <c r="M154" s="63">
        <f>L154*VLOOKUP(H154,dagsoorttabel1,2,FALSE)</f>
        <v>75.568627450980401</v>
      </c>
      <c r="N154" s="64">
        <f>prodnorm19</f>
        <v>0</v>
      </c>
      <c r="O154" s="65">
        <f>dagwerk19</f>
        <v>0</v>
      </c>
      <c r="P154" s="61" t="s">
        <v>41</v>
      </c>
      <c r="Q154" s="66">
        <f>uurtarief19</f>
        <v>0</v>
      </c>
      <c r="R154" s="63" t="e">
        <f>IF(ISBLANK(N154),0,M154/ROUND(N154,4))</f>
        <v>#DIV/0!</v>
      </c>
      <c r="S154" s="63" t="e">
        <f>IF(ISBLANK(N154),0,R154*ROUND(O154,2))</f>
        <v>#DIV/0!</v>
      </c>
      <c r="T154" s="66" t="e">
        <f>ROUND(Q154,2)*R154</f>
        <v>#DIV/0!</v>
      </c>
      <c r="U154" s="63" t="e">
        <f>R154*dagenperjaar1</f>
        <v>#DIV/0!</v>
      </c>
      <c r="V154" s="67" t="e">
        <f>U154*ROUND(Q154,2)</f>
        <v>#DIV/0!</v>
      </c>
    </row>
    <row r="155" spans="1:22" x14ac:dyDescent="0.2">
      <c r="A155" s="60" t="s">
        <v>468</v>
      </c>
      <c r="B155" s="61" t="s">
        <v>291</v>
      </c>
      <c r="C155" s="61" t="s">
        <v>292</v>
      </c>
      <c r="D155" s="61" t="s">
        <v>360</v>
      </c>
      <c r="E155" s="62" t="s">
        <v>512</v>
      </c>
      <c r="F155" s="61" t="s">
        <v>301</v>
      </c>
      <c r="G155" s="61" t="s">
        <v>254</v>
      </c>
      <c r="H155" s="61" t="s">
        <v>12</v>
      </c>
      <c r="I155" s="61" t="s">
        <v>200</v>
      </c>
      <c r="J155" s="61" t="s">
        <v>471</v>
      </c>
      <c r="K155" s="61" t="s">
        <v>291</v>
      </c>
      <c r="L155" s="63">
        <v>17.3</v>
      </c>
      <c r="M155" s="63">
        <f>L155*VLOOKUP(H155,dagsoorttabel1,2,FALSE)</f>
        <v>13.907843137254902</v>
      </c>
      <c r="N155" s="64">
        <f>prodnorm44</f>
        <v>0</v>
      </c>
      <c r="O155" s="65">
        <f>dagwerk44</f>
        <v>0</v>
      </c>
      <c r="P155" s="61" t="s">
        <v>41</v>
      </c>
      <c r="Q155" s="66">
        <f>uurtarief44</f>
        <v>0</v>
      </c>
      <c r="R155" s="63" t="e">
        <f>IF(ISBLANK(N155),0,M155/ROUND(N155,4))</f>
        <v>#DIV/0!</v>
      </c>
      <c r="S155" s="63" t="e">
        <f>IF(ISBLANK(N155),0,R155*ROUND(O155,2))</f>
        <v>#DIV/0!</v>
      </c>
      <c r="T155" s="66" t="e">
        <f>ROUND(Q155,2)*R155</f>
        <v>#DIV/0!</v>
      </c>
      <c r="U155" s="63" t="e">
        <f>R155*dagenperjaar1</f>
        <v>#DIV/0!</v>
      </c>
      <c r="V155" s="67" t="e">
        <f>U155*ROUND(Q155,2)</f>
        <v>#DIV/0!</v>
      </c>
    </row>
    <row r="156" spans="1:22" x14ac:dyDescent="0.2">
      <c r="A156" s="60" t="s">
        <v>468</v>
      </c>
      <c r="B156" s="61" t="s">
        <v>291</v>
      </c>
      <c r="C156" s="61" t="s">
        <v>292</v>
      </c>
      <c r="D156" s="61" t="s">
        <v>513</v>
      </c>
      <c r="E156" s="62" t="s">
        <v>514</v>
      </c>
      <c r="F156" s="61" t="s">
        <v>301</v>
      </c>
      <c r="G156" s="61" t="s">
        <v>222</v>
      </c>
      <c r="H156" s="61" t="s">
        <v>12</v>
      </c>
      <c r="I156" s="61" t="s">
        <v>200</v>
      </c>
      <c r="J156" s="61" t="s">
        <v>498</v>
      </c>
      <c r="K156" s="61" t="s">
        <v>291</v>
      </c>
      <c r="L156" s="63">
        <v>294</v>
      </c>
      <c r="M156" s="63">
        <f>L156*VLOOKUP(H156,dagsoorttabel1,2,FALSE)</f>
        <v>236.35294117647061</v>
      </c>
      <c r="N156" s="64">
        <f>prodnorm23</f>
        <v>0</v>
      </c>
      <c r="O156" s="65">
        <f>dagwerk23</f>
        <v>0</v>
      </c>
      <c r="P156" s="61" t="s">
        <v>41</v>
      </c>
      <c r="Q156" s="66">
        <f>uurtarief23</f>
        <v>0</v>
      </c>
      <c r="R156" s="63" t="e">
        <f>IF(ISBLANK(N156),0,M156/ROUND(N156,4))</f>
        <v>#DIV/0!</v>
      </c>
      <c r="S156" s="63" t="e">
        <f>IF(ISBLANK(N156),0,R156*ROUND(O156,2))</f>
        <v>#DIV/0!</v>
      </c>
      <c r="T156" s="66" t="e">
        <f>ROUND(Q156,2)*R156</f>
        <v>#DIV/0!</v>
      </c>
      <c r="U156" s="63" t="e">
        <f>R156*dagenperjaar1</f>
        <v>#DIV/0!</v>
      </c>
      <c r="V156" s="67" t="e">
        <f>U156*ROUND(Q156,2)</f>
        <v>#DIV/0!</v>
      </c>
    </row>
    <row r="157" spans="1:22" x14ac:dyDescent="0.2">
      <c r="A157" s="60" t="s">
        <v>468</v>
      </c>
      <c r="B157" s="61" t="s">
        <v>291</v>
      </c>
      <c r="C157" s="61" t="s">
        <v>292</v>
      </c>
      <c r="D157" s="61" t="s">
        <v>515</v>
      </c>
      <c r="E157" s="62" t="s">
        <v>481</v>
      </c>
      <c r="F157" s="61" t="s">
        <v>516</v>
      </c>
      <c r="G157" s="61" t="s">
        <v>268</v>
      </c>
      <c r="H157" s="61" t="s">
        <v>12</v>
      </c>
      <c r="I157" s="61" t="s">
        <v>200</v>
      </c>
      <c r="J157" s="61" t="s">
        <v>471</v>
      </c>
      <c r="K157" s="61" t="s">
        <v>291</v>
      </c>
      <c r="L157" s="63">
        <v>4.4000000000000004</v>
      </c>
      <c r="M157" s="63">
        <f>L157*VLOOKUP(H157,dagsoorttabel1,2,FALSE)</f>
        <v>3.5372549019607846</v>
      </c>
      <c r="N157" s="64">
        <f>prodnorm54</f>
        <v>0</v>
      </c>
      <c r="O157" s="65">
        <f>dagwerk54</f>
        <v>0</v>
      </c>
      <c r="P157" s="61" t="s">
        <v>41</v>
      </c>
      <c r="Q157" s="66">
        <f>uurtarief54</f>
        <v>0</v>
      </c>
      <c r="R157" s="63" t="e">
        <f>IF(ISBLANK(N157),0,M157/ROUND(N157,4))</f>
        <v>#DIV/0!</v>
      </c>
      <c r="S157" s="63" t="e">
        <f>IF(ISBLANK(N157),0,R157*ROUND(O157,2))</f>
        <v>#DIV/0!</v>
      </c>
      <c r="T157" s="66" t="e">
        <f>ROUND(Q157,2)*R157</f>
        <v>#DIV/0!</v>
      </c>
      <c r="U157" s="63" t="e">
        <f>R157*dagenperjaar1</f>
        <v>#DIV/0!</v>
      </c>
      <c r="V157" s="67" t="e">
        <f>U157*ROUND(Q157,2)</f>
        <v>#DIV/0!</v>
      </c>
    </row>
    <row r="158" spans="1:22" x14ac:dyDescent="0.2">
      <c r="A158" s="60" t="s">
        <v>468</v>
      </c>
      <c r="B158" s="61" t="s">
        <v>291</v>
      </c>
      <c r="C158" s="61" t="s">
        <v>292</v>
      </c>
      <c r="D158" s="61" t="s">
        <v>517</v>
      </c>
      <c r="E158" s="62" t="s">
        <v>518</v>
      </c>
      <c r="F158" s="61" t="s">
        <v>301</v>
      </c>
      <c r="G158" s="61" t="s">
        <v>254</v>
      </c>
      <c r="H158" s="61" t="s">
        <v>12</v>
      </c>
      <c r="I158" s="61" t="s">
        <v>200</v>
      </c>
      <c r="J158" s="61" t="s">
        <v>471</v>
      </c>
      <c r="K158" s="61" t="s">
        <v>291</v>
      </c>
      <c r="L158" s="63">
        <v>65</v>
      </c>
      <c r="M158" s="63">
        <f>L158*VLOOKUP(H158,dagsoorttabel1,2,FALSE)</f>
        <v>52.254901960784316</v>
      </c>
      <c r="N158" s="64">
        <f>prodnorm44</f>
        <v>0</v>
      </c>
      <c r="O158" s="65">
        <f>dagwerk44</f>
        <v>0</v>
      </c>
      <c r="P158" s="61" t="s">
        <v>41</v>
      </c>
      <c r="Q158" s="66">
        <f>uurtarief44</f>
        <v>0</v>
      </c>
      <c r="R158" s="63" t="e">
        <f>IF(ISBLANK(N158),0,M158/ROUND(N158,4))</f>
        <v>#DIV/0!</v>
      </c>
      <c r="S158" s="63" t="e">
        <f>IF(ISBLANK(N158),0,R158*ROUND(O158,2))</f>
        <v>#DIV/0!</v>
      </c>
      <c r="T158" s="66" t="e">
        <f>ROUND(Q158,2)*R158</f>
        <v>#DIV/0!</v>
      </c>
      <c r="U158" s="63" t="e">
        <f>R158*dagenperjaar1</f>
        <v>#DIV/0!</v>
      </c>
      <c r="V158" s="67" t="e">
        <f>U158*ROUND(Q158,2)</f>
        <v>#DIV/0!</v>
      </c>
    </row>
    <row r="159" spans="1:22" x14ac:dyDescent="0.2">
      <c r="A159" s="60" t="s">
        <v>468</v>
      </c>
      <c r="B159" s="61" t="s">
        <v>291</v>
      </c>
      <c r="C159" s="61" t="s">
        <v>292</v>
      </c>
      <c r="D159" s="61" t="s">
        <v>519</v>
      </c>
      <c r="E159" s="62" t="s">
        <v>481</v>
      </c>
      <c r="F159" s="61" t="s">
        <v>516</v>
      </c>
      <c r="G159" s="61" t="s">
        <v>268</v>
      </c>
      <c r="H159" s="61" t="s">
        <v>12</v>
      </c>
      <c r="I159" s="61" t="s">
        <v>200</v>
      </c>
      <c r="J159" s="61" t="s">
        <v>471</v>
      </c>
      <c r="K159" s="61" t="s">
        <v>291</v>
      </c>
      <c r="L159" s="63">
        <v>4.4000000000000004</v>
      </c>
      <c r="M159" s="63">
        <f>L159*VLOOKUP(H159,dagsoorttabel1,2,FALSE)</f>
        <v>3.5372549019607846</v>
      </c>
      <c r="N159" s="64">
        <f>prodnorm54</f>
        <v>0</v>
      </c>
      <c r="O159" s="65">
        <f>dagwerk54</f>
        <v>0</v>
      </c>
      <c r="P159" s="61" t="s">
        <v>41</v>
      </c>
      <c r="Q159" s="66">
        <f>uurtarief54</f>
        <v>0</v>
      </c>
      <c r="R159" s="63" t="e">
        <f>IF(ISBLANK(N159),0,M159/ROUND(N159,4))</f>
        <v>#DIV/0!</v>
      </c>
      <c r="S159" s="63" t="e">
        <f>IF(ISBLANK(N159),0,R159*ROUND(O159,2))</f>
        <v>#DIV/0!</v>
      </c>
      <c r="T159" s="66" t="e">
        <f>ROUND(Q159,2)*R159</f>
        <v>#DIV/0!</v>
      </c>
      <c r="U159" s="63" t="e">
        <f>R159*dagenperjaar1</f>
        <v>#DIV/0!</v>
      </c>
      <c r="V159" s="67" t="e">
        <f>U159*ROUND(Q159,2)</f>
        <v>#DIV/0!</v>
      </c>
    </row>
    <row r="160" spans="1:22" x14ac:dyDescent="0.2">
      <c r="A160" s="60" t="s">
        <v>468</v>
      </c>
      <c r="B160" s="61" t="s">
        <v>291</v>
      </c>
      <c r="C160" s="61" t="s">
        <v>292</v>
      </c>
      <c r="D160" s="61" t="s">
        <v>520</v>
      </c>
      <c r="E160" s="62" t="s">
        <v>521</v>
      </c>
      <c r="F160" s="61" t="s">
        <v>301</v>
      </c>
      <c r="G160" s="61" t="s">
        <v>254</v>
      </c>
      <c r="H160" s="61" t="s">
        <v>12</v>
      </c>
      <c r="I160" s="61" t="s">
        <v>200</v>
      </c>
      <c r="J160" s="61" t="s">
        <v>471</v>
      </c>
      <c r="K160" s="61" t="s">
        <v>291</v>
      </c>
      <c r="L160" s="63">
        <v>65</v>
      </c>
      <c r="M160" s="63">
        <f>L160*VLOOKUP(H160,dagsoorttabel1,2,FALSE)</f>
        <v>52.254901960784316</v>
      </c>
      <c r="N160" s="64">
        <f>prodnorm44</f>
        <v>0</v>
      </c>
      <c r="O160" s="65">
        <f>dagwerk44</f>
        <v>0</v>
      </c>
      <c r="P160" s="61" t="s">
        <v>41</v>
      </c>
      <c r="Q160" s="66">
        <f>uurtarief44</f>
        <v>0</v>
      </c>
      <c r="R160" s="63" t="e">
        <f>IF(ISBLANK(N160),0,M160/ROUND(N160,4))</f>
        <v>#DIV/0!</v>
      </c>
      <c r="S160" s="63" t="e">
        <f>IF(ISBLANK(N160),0,R160*ROUND(O160,2))</f>
        <v>#DIV/0!</v>
      </c>
      <c r="T160" s="66" t="e">
        <f>ROUND(Q160,2)*R160</f>
        <v>#DIV/0!</v>
      </c>
      <c r="U160" s="63" t="e">
        <f>R160*dagenperjaar1</f>
        <v>#DIV/0!</v>
      </c>
      <c r="V160" s="67" t="e">
        <f>U160*ROUND(Q160,2)</f>
        <v>#DIV/0!</v>
      </c>
    </row>
    <row r="161" spans="1:22" x14ac:dyDescent="0.2">
      <c r="A161" s="60" t="s">
        <v>468</v>
      </c>
      <c r="B161" s="61" t="s">
        <v>291</v>
      </c>
      <c r="C161" s="61" t="s">
        <v>292</v>
      </c>
      <c r="D161" s="61" t="s">
        <v>362</v>
      </c>
      <c r="E161" s="62" t="s">
        <v>489</v>
      </c>
      <c r="F161" s="61" t="s">
        <v>470</v>
      </c>
      <c r="G161" s="61" t="s">
        <v>250</v>
      </c>
      <c r="H161" s="61" t="s">
        <v>12</v>
      </c>
      <c r="I161" s="61" t="s">
        <v>200</v>
      </c>
      <c r="J161" s="61" t="s">
        <v>480</v>
      </c>
      <c r="K161" s="61" t="s">
        <v>291</v>
      </c>
      <c r="L161" s="63">
        <v>7.9</v>
      </c>
      <c r="M161" s="63">
        <f>L161*VLOOKUP(H161,dagsoorttabel1,2,FALSE)</f>
        <v>6.3509803921568633</v>
      </c>
      <c r="N161" s="64">
        <f>prodnorm39</f>
        <v>0</v>
      </c>
      <c r="O161" s="65">
        <f>dagwerk39</f>
        <v>0</v>
      </c>
      <c r="P161" s="61" t="s">
        <v>41</v>
      </c>
      <c r="Q161" s="66">
        <f>uurtarief39</f>
        <v>0</v>
      </c>
      <c r="R161" s="63" t="e">
        <f>IF(ISBLANK(N161),0,M161/ROUND(N161,4))</f>
        <v>#DIV/0!</v>
      </c>
      <c r="S161" s="63" t="e">
        <f>IF(ISBLANK(N161),0,R161*ROUND(O161,2))</f>
        <v>#DIV/0!</v>
      </c>
      <c r="T161" s="66" t="e">
        <f>ROUND(Q161,2)*R161</f>
        <v>#DIV/0!</v>
      </c>
      <c r="U161" s="63" t="e">
        <f>R161*dagenperjaar1</f>
        <v>#DIV/0!</v>
      </c>
      <c r="V161" s="67" t="e">
        <f>U161*ROUND(Q161,2)</f>
        <v>#DIV/0!</v>
      </c>
    </row>
    <row r="162" spans="1:22" x14ac:dyDescent="0.2">
      <c r="A162" s="60" t="s">
        <v>468</v>
      </c>
      <c r="B162" s="61" t="s">
        <v>291</v>
      </c>
      <c r="C162" s="61" t="s">
        <v>292</v>
      </c>
      <c r="D162" s="61" t="s">
        <v>364</v>
      </c>
      <c r="E162" s="62" t="s">
        <v>489</v>
      </c>
      <c r="F162" s="61" t="s">
        <v>470</v>
      </c>
      <c r="G162" s="61" t="s">
        <v>250</v>
      </c>
      <c r="H162" s="61" t="s">
        <v>12</v>
      </c>
      <c r="I162" s="61" t="s">
        <v>200</v>
      </c>
      <c r="J162" s="61" t="s">
        <v>480</v>
      </c>
      <c r="K162" s="61" t="s">
        <v>291</v>
      </c>
      <c r="L162" s="63">
        <v>6.8</v>
      </c>
      <c r="M162" s="63">
        <f>L162*VLOOKUP(H162,dagsoorttabel1,2,FALSE)</f>
        <v>5.4666666666666668</v>
      </c>
      <c r="N162" s="64">
        <f>prodnorm39</f>
        <v>0</v>
      </c>
      <c r="O162" s="65">
        <f>dagwerk39</f>
        <v>0</v>
      </c>
      <c r="P162" s="61" t="s">
        <v>41</v>
      </c>
      <c r="Q162" s="66">
        <f>uurtarief39</f>
        <v>0</v>
      </c>
      <c r="R162" s="63" t="e">
        <f>IF(ISBLANK(N162),0,M162/ROUND(N162,4))</f>
        <v>#DIV/0!</v>
      </c>
      <c r="S162" s="63" t="e">
        <f>IF(ISBLANK(N162),0,R162*ROUND(O162,2))</f>
        <v>#DIV/0!</v>
      </c>
      <c r="T162" s="66" t="e">
        <f>ROUND(Q162,2)*R162</f>
        <v>#DIV/0!</v>
      </c>
      <c r="U162" s="63" t="e">
        <f>R162*dagenperjaar1</f>
        <v>#DIV/0!</v>
      </c>
      <c r="V162" s="67" t="e">
        <f>U162*ROUND(Q162,2)</f>
        <v>#DIV/0!</v>
      </c>
    </row>
    <row r="163" spans="1:22" x14ac:dyDescent="0.2">
      <c r="A163" s="60" t="s">
        <v>468</v>
      </c>
      <c r="B163" s="61" t="s">
        <v>291</v>
      </c>
      <c r="C163" s="61" t="s">
        <v>292</v>
      </c>
      <c r="D163" s="61" t="s">
        <v>371</v>
      </c>
      <c r="E163" s="62" t="s">
        <v>522</v>
      </c>
      <c r="F163" s="61" t="s">
        <v>324</v>
      </c>
      <c r="G163" s="61" t="s">
        <v>244</v>
      </c>
      <c r="H163" s="61" t="s">
        <v>26</v>
      </c>
      <c r="I163" s="61" t="s">
        <v>200</v>
      </c>
      <c r="J163" s="61" t="s">
        <v>498</v>
      </c>
      <c r="K163" s="61" t="s">
        <v>291</v>
      </c>
      <c r="L163" s="63">
        <v>96</v>
      </c>
      <c r="M163" s="63">
        <f>L163*VLOOKUP(H163,dagsoorttabel1,2,FALSE)</f>
        <v>0.37647058823529411</v>
      </c>
      <c r="N163" s="64">
        <f>prodnorm35</f>
        <v>0</v>
      </c>
      <c r="O163" s="65">
        <f>dagwerk35</f>
        <v>0</v>
      </c>
      <c r="P163" s="61" t="s">
        <v>41</v>
      </c>
      <c r="Q163" s="66">
        <f>uurtarief35</f>
        <v>0</v>
      </c>
      <c r="R163" s="63" t="e">
        <f>IF(ISBLANK(N163),0,M163/ROUND(N163,4))</f>
        <v>#DIV/0!</v>
      </c>
      <c r="S163" s="63" t="e">
        <f>IF(ISBLANK(N163),0,R163*ROUND(O163,2))</f>
        <v>#DIV/0!</v>
      </c>
      <c r="T163" s="66" t="e">
        <f>ROUND(Q163,2)*R163</f>
        <v>#DIV/0!</v>
      </c>
      <c r="U163" s="63" t="e">
        <f>R163*dagenperjaar1</f>
        <v>#DIV/0!</v>
      </c>
      <c r="V163" s="67" t="e">
        <f>U163*ROUND(Q163,2)</f>
        <v>#DIV/0!</v>
      </c>
    </row>
    <row r="164" spans="1:22" x14ac:dyDescent="0.2">
      <c r="A164" s="60" t="s">
        <v>468</v>
      </c>
      <c r="B164" s="61" t="s">
        <v>291</v>
      </c>
      <c r="C164" s="61" t="s">
        <v>292</v>
      </c>
      <c r="D164" s="61" t="s">
        <v>378</v>
      </c>
      <c r="E164" s="62" t="s">
        <v>523</v>
      </c>
      <c r="F164" s="61" t="s">
        <v>324</v>
      </c>
      <c r="G164" s="61" t="s">
        <v>199</v>
      </c>
      <c r="H164" s="61" t="s">
        <v>12</v>
      </c>
      <c r="I164" s="61" t="s">
        <v>200</v>
      </c>
      <c r="J164" s="61" t="s">
        <v>473</v>
      </c>
      <c r="K164" s="61" t="s">
        <v>291</v>
      </c>
      <c r="L164" s="63">
        <v>18.2</v>
      </c>
      <c r="M164" s="63">
        <f>L164*VLOOKUP(H164,dagsoorttabel1,2,FALSE)</f>
        <v>14.631372549019607</v>
      </c>
      <c r="N164" s="64">
        <f>prodnorm3</f>
        <v>0</v>
      </c>
      <c r="O164" s="65">
        <f>dagwerk3</f>
        <v>0</v>
      </c>
      <c r="P164" s="61" t="s">
        <v>41</v>
      </c>
      <c r="Q164" s="66">
        <f>uurtarief3</f>
        <v>0</v>
      </c>
      <c r="R164" s="63" t="e">
        <f>IF(ISBLANK(N164),0,M164/ROUND(N164,4))</f>
        <v>#DIV/0!</v>
      </c>
      <c r="S164" s="63" t="e">
        <f>IF(ISBLANK(N164),0,R164*ROUND(O164,2))</f>
        <v>#DIV/0!</v>
      </c>
      <c r="T164" s="66" t="e">
        <f>ROUND(Q164,2)*R164</f>
        <v>#DIV/0!</v>
      </c>
      <c r="U164" s="63" t="e">
        <f>R164*dagenperjaar1</f>
        <v>#DIV/0!</v>
      </c>
      <c r="V164" s="67" t="e">
        <f>U164*ROUND(Q164,2)</f>
        <v>#DIV/0!</v>
      </c>
    </row>
    <row r="165" spans="1:22" x14ac:dyDescent="0.2">
      <c r="A165" s="60" t="s">
        <v>468</v>
      </c>
      <c r="B165" s="61" t="s">
        <v>291</v>
      </c>
      <c r="C165" s="61" t="s">
        <v>292</v>
      </c>
      <c r="D165" s="61" t="s">
        <v>380</v>
      </c>
      <c r="E165" s="62" t="s">
        <v>524</v>
      </c>
      <c r="F165" s="61" t="s">
        <v>324</v>
      </c>
      <c r="G165" s="61" t="s">
        <v>244</v>
      </c>
      <c r="H165" s="61" t="s">
        <v>26</v>
      </c>
      <c r="I165" s="61" t="s">
        <v>200</v>
      </c>
      <c r="J165" s="61" t="s">
        <v>498</v>
      </c>
      <c r="K165" s="61" t="s">
        <v>291</v>
      </c>
      <c r="L165" s="63">
        <v>72.2</v>
      </c>
      <c r="M165" s="63">
        <f>L165*VLOOKUP(H165,dagsoorttabel1,2,FALSE)</f>
        <v>0.28313725490196079</v>
      </c>
      <c r="N165" s="64">
        <f>prodnorm35</f>
        <v>0</v>
      </c>
      <c r="O165" s="65">
        <f>dagwerk35</f>
        <v>0</v>
      </c>
      <c r="P165" s="61" t="s">
        <v>41</v>
      </c>
      <c r="Q165" s="66">
        <f>uurtarief35</f>
        <v>0</v>
      </c>
      <c r="R165" s="63" t="e">
        <f>IF(ISBLANK(N165),0,M165/ROUND(N165,4))</f>
        <v>#DIV/0!</v>
      </c>
      <c r="S165" s="63" t="e">
        <f>IF(ISBLANK(N165),0,R165*ROUND(O165,2))</f>
        <v>#DIV/0!</v>
      </c>
      <c r="T165" s="66" t="e">
        <f>ROUND(Q165,2)*R165</f>
        <v>#DIV/0!</v>
      </c>
      <c r="U165" s="63" t="e">
        <f>R165*dagenperjaar1</f>
        <v>#DIV/0!</v>
      </c>
      <c r="V165" s="67" t="e">
        <f>U165*ROUND(Q165,2)</f>
        <v>#DIV/0!</v>
      </c>
    </row>
    <row r="166" spans="1:22" x14ac:dyDescent="0.2">
      <c r="A166" s="60" t="s">
        <v>468</v>
      </c>
      <c r="B166" s="61" t="s">
        <v>291</v>
      </c>
      <c r="C166" s="61" t="s">
        <v>292</v>
      </c>
      <c r="D166" s="61" t="s">
        <v>383</v>
      </c>
      <c r="E166" s="62" t="s">
        <v>525</v>
      </c>
      <c r="F166" s="61" t="s">
        <v>324</v>
      </c>
      <c r="G166" s="61" t="s">
        <v>244</v>
      </c>
      <c r="H166" s="61" t="s">
        <v>26</v>
      </c>
      <c r="I166" s="61" t="s">
        <v>200</v>
      </c>
      <c r="J166" s="61" t="s">
        <v>291</v>
      </c>
      <c r="K166" s="61" t="s">
        <v>291</v>
      </c>
      <c r="L166" s="63">
        <v>240</v>
      </c>
      <c r="M166" s="63">
        <f>L166*VLOOKUP(H166,dagsoorttabel1,2,FALSE)</f>
        <v>0.94117647058823528</v>
      </c>
      <c r="N166" s="64">
        <f>prodnorm35</f>
        <v>0</v>
      </c>
      <c r="O166" s="65">
        <f>dagwerk35</f>
        <v>0</v>
      </c>
      <c r="P166" s="61" t="s">
        <v>41</v>
      </c>
      <c r="Q166" s="66">
        <f>uurtarief35</f>
        <v>0</v>
      </c>
      <c r="R166" s="63" t="e">
        <f>IF(ISBLANK(N166),0,M166/ROUND(N166,4))</f>
        <v>#DIV/0!</v>
      </c>
      <c r="S166" s="63" t="e">
        <f>IF(ISBLANK(N166),0,R166*ROUND(O166,2))</f>
        <v>#DIV/0!</v>
      </c>
      <c r="T166" s="66" t="e">
        <f>ROUND(Q166,2)*R166</f>
        <v>#DIV/0!</v>
      </c>
      <c r="U166" s="63" t="e">
        <f>R166*dagenperjaar1</f>
        <v>#DIV/0!</v>
      </c>
      <c r="V166" s="67" t="e">
        <f>U166*ROUND(Q166,2)</f>
        <v>#DIV/0!</v>
      </c>
    </row>
    <row r="167" spans="1:22" x14ac:dyDescent="0.2">
      <c r="A167" s="60" t="s">
        <v>468</v>
      </c>
      <c r="B167" s="61" t="s">
        <v>291</v>
      </c>
      <c r="C167" s="61" t="s">
        <v>292</v>
      </c>
      <c r="D167" s="61" t="s">
        <v>384</v>
      </c>
      <c r="E167" s="62" t="s">
        <v>526</v>
      </c>
      <c r="F167" s="61" t="s">
        <v>357</v>
      </c>
      <c r="G167" s="61" t="s">
        <v>244</v>
      </c>
      <c r="H167" s="61" t="s">
        <v>26</v>
      </c>
      <c r="I167" s="61" t="s">
        <v>200</v>
      </c>
      <c r="J167" s="61" t="s">
        <v>291</v>
      </c>
      <c r="K167" s="61" t="s">
        <v>291</v>
      </c>
      <c r="L167" s="63">
        <v>80</v>
      </c>
      <c r="M167" s="63">
        <f>L167*VLOOKUP(H167,dagsoorttabel1,2,FALSE)</f>
        <v>0.31372549019607843</v>
      </c>
      <c r="N167" s="64">
        <f>prodnorm35</f>
        <v>0</v>
      </c>
      <c r="O167" s="65">
        <f>dagwerk35</f>
        <v>0</v>
      </c>
      <c r="P167" s="61" t="s">
        <v>41</v>
      </c>
      <c r="Q167" s="66">
        <f>uurtarief35</f>
        <v>0</v>
      </c>
      <c r="R167" s="63" t="e">
        <f>IF(ISBLANK(N167),0,M167/ROUND(N167,4))</f>
        <v>#DIV/0!</v>
      </c>
      <c r="S167" s="63" t="e">
        <f>IF(ISBLANK(N167),0,R167*ROUND(O167,2))</f>
        <v>#DIV/0!</v>
      </c>
      <c r="T167" s="66" t="e">
        <f>ROUND(Q167,2)*R167</f>
        <v>#DIV/0!</v>
      </c>
      <c r="U167" s="63" t="e">
        <f>R167*dagenperjaar1</f>
        <v>#DIV/0!</v>
      </c>
      <c r="V167" s="67" t="e">
        <f>U167*ROUND(Q167,2)</f>
        <v>#DIV/0!</v>
      </c>
    </row>
    <row r="168" spans="1:22" x14ac:dyDescent="0.2">
      <c r="A168" s="60" t="s">
        <v>468</v>
      </c>
      <c r="B168" s="61" t="s">
        <v>291</v>
      </c>
      <c r="C168" s="61" t="s">
        <v>292</v>
      </c>
      <c r="D168" s="61" t="s">
        <v>385</v>
      </c>
      <c r="E168" s="62" t="s">
        <v>527</v>
      </c>
      <c r="F168" s="61" t="s">
        <v>324</v>
      </c>
      <c r="G168" s="61" t="s">
        <v>244</v>
      </c>
      <c r="H168" s="61" t="s">
        <v>26</v>
      </c>
      <c r="I168" s="61" t="s">
        <v>200</v>
      </c>
      <c r="J168" s="61" t="s">
        <v>291</v>
      </c>
      <c r="K168" s="61" t="s">
        <v>291</v>
      </c>
      <c r="L168" s="63">
        <v>22</v>
      </c>
      <c r="M168" s="63">
        <f>L168*VLOOKUP(H168,dagsoorttabel1,2,FALSE)</f>
        <v>8.6274509803921567E-2</v>
      </c>
      <c r="N168" s="64">
        <f>prodnorm35</f>
        <v>0</v>
      </c>
      <c r="O168" s="65">
        <f>dagwerk35</f>
        <v>0</v>
      </c>
      <c r="P168" s="61" t="s">
        <v>41</v>
      </c>
      <c r="Q168" s="66">
        <f>uurtarief35</f>
        <v>0</v>
      </c>
      <c r="R168" s="63" t="e">
        <f>IF(ISBLANK(N168),0,M168/ROUND(N168,4))</f>
        <v>#DIV/0!</v>
      </c>
      <c r="S168" s="63" t="e">
        <f>IF(ISBLANK(N168),0,R168*ROUND(O168,2))</f>
        <v>#DIV/0!</v>
      </c>
      <c r="T168" s="66" t="e">
        <f>ROUND(Q168,2)*R168</f>
        <v>#DIV/0!</v>
      </c>
      <c r="U168" s="63" t="e">
        <f>R168*dagenperjaar1</f>
        <v>#DIV/0!</v>
      </c>
      <c r="V168" s="67" t="e">
        <f>U168*ROUND(Q168,2)</f>
        <v>#DIV/0!</v>
      </c>
    </row>
    <row r="169" spans="1:22" x14ac:dyDescent="0.2">
      <c r="A169" s="60" t="s">
        <v>468</v>
      </c>
      <c r="B169" s="61" t="s">
        <v>291</v>
      </c>
      <c r="C169" s="61" t="s">
        <v>292</v>
      </c>
      <c r="D169" s="61" t="s">
        <v>528</v>
      </c>
      <c r="E169" s="62" t="s">
        <v>529</v>
      </c>
      <c r="F169" s="61" t="s">
        <v>324</v>
      </c>
      <c r="G169" s="61" t="s">
        <v>199</v>
      </c>
      <c r="H169" s="61" t="s">
        <v>12</v>
      </c>
      <c r="I169" s="61" t="s">
        <v>200</v>
      </c>
      <c r="J169" s="61" t="s">
        <v>291</v>
      </c>
      <c r="K169" s="61" t="s">
        <v>291</v>
      </c>
      <c r="L169" s="63">
        <v>8</v>
      </c>
      <c r="M169" s="63">
        <f>L169*VLOOKUP(H169,dagsoorttabel1,2,FALSE)</f>
        <v>6.4313725490196081</v>
      </c>
      <c r="N169" s="64">
        <f>prodnorm3</f>
        <v>0</v>
      </c>
      <c r="O169" s="65">
        <f>dagwerk3</f>
        <v>0</v>
      </c>
      <c r="P169" s="61" t="s">
        <v>41</v>
      </c>
      <c r="Q169" s="66">
        <f>uurtarief3</f>
        <v>0</v>
      </c>
      <c r="R169" s="63" t="e">
        <f>IF(ISBLANK(N169),0,M169/ROUND(N169,4))</f>
        <v>#DIV/0!</v>
      </c>
      <c r="S169" s="63" t="e">
        <f>IF(ISBLANK(N169),0,R169*ROUND(O169,2))</f>
        <v>#DIV/0!</v>
      </c>
      <c r="T169" s="66" t="e">
        <f>ROUND(Q169,2)*R169</f>
        <v>#DIV/0!</v>
      </c>
      <c r="U169" s="63" t="e">
        <f>R169*dagenperjaar1</f>
        <v>#DIV/0!</v>
      </c>
      <c r="V169" s="67" t="e">
        <f>U169*ROUND(Q169,2)</f>
        <v>#DIV/0!</v>
      </c>
    </row>
    <row r="170" spans="1:22" x14ac:dyDescent="0.2">
      <c r="A170" s="60" t="s">
        <v>468</v>
      </c>
      <c r="B170" s="61" t="s">
        <v>291</v>
      </c>
      <c r="C170" s="61" t="s">
        <v>292</v>
      </c>
      <c r="D170" s="61" t="s">
        <v>530</v>
      </c>
      <c r="E170" s="62" t="s">
        <v>531</v>
      </c>
      <c r="F170" s="61" t="s">
        <v>532</v>
      </c>
      <c r="G170" s="61" t="s">
        <v>244</v>
      </c>
      <c r="H170" s="61" t="s">
        <v>26</v>
      </c>
      <c r="I170" s="61" t="s">
        <v>200</v>
      </c>
      <c r="J170" s="61" t="s">
        <v>291</v>
      </c>
      <c r="K170" s="61" t="s">
        <v>291</v>
      </c>
      <c r="L170" s="63">
        <v>12</v>
      </c>
      <c r="M170" s="63">
        <f>L170*VLOOKUP(H170,dagsoorttabel1,2,FALSE)</f>
        <v>4.7058823529411764E-2</v>
      </c>
      <c r="N170" s="64">
        <f>prodnorm35</f>
        <v>0</v>
      </c>
      <c r="O170" s="65">
        <f>dagwerk35</f>
        <v>0</v>
      </c>
      <c r="P170" s="61" t="s">
        <v>41</v>
      </c>
      <c r="Q170" s="66">
        <f>uurtarief35</f>
        <v>0</v>
      </c>
      <c r="R170" s="63" t="e">
        <f>IF(ISBLANK(N170),0,M170/ROUND(N170,4))</f>
        <v>#DIV/0!</v>
      </c>
      <c r="S170" s="63" t="e">
        <f>IF(ISBLANK(N170),0,R170*ROUND(O170,2))</f>
        <v>#DIV/0!</v>
      </c>
      <c r="T170" s="66" t="e">
        <f>ROUND(Q170,2)*R170</f>
        <v>#DIV/0!</v>
      </c>
      <c r="U170" s="63" t="e">
        <f>R170*dagenperjaar1</f>
        <v>#DIV/0!</v>
      </c>
      <c r="V170" s="67" t="e">
        <f>U170*ROUND(Q170,2)</f>
        <v>#DIV/0!</v>
      </c>
    </row>
    <row r="171" spans="1:22" x14ac:dyDescent="0.2">
      <c r="A171" s="60" t="s">
        <v>468</v>
      </c>
      <c r="B171" s="61" t="s">
        <v>291</v>
      </c>
      <c r="C171" s="61" t="s">
        <v>292</v>
      </c>
      <c r="D171" s="61" t="s">
        <v>533</v>
      </c>
      <c r="E171" s="62" t="s">
        <v>534</v>
      </c>
      <c r="F171" s="61" t="s">
        <v>324</v>
      </c>
      <c r="G171" s="61" t="s">
        <v>199</v>
      </c>
      <c r="H171" s="61" t="s">
        <v>12</v>
      </c>
      <c r="I171" s="61" t="s">
        <v>200</v>
      </c>
      <c r="J171" s="61" t="s">
        <v>291</v>
      </c>
      <c r="K171" s="61" t="s">
        <v>291</v>
      </c>
      <c r="L171" s="63">
        <v>16.3</v>
      </c>
      <c r="M171" s="63">
        <f>L171*VLOOKUP(H171,dagsoorttabel1,2,FALSE)</f>
        <v>13.103921568627452</v>
      </c>
      <c r="N171" s="64">
        <f>prodnorm3</f>
        <v>0</v>
      </c>
      <c r="O171" s="65">
        <f>dagwerk3</f>
        <v>0</v>
      </c>
      <c r="P171" s="61" t="s">
        <v>41</v>
      </c>
      <c r="Q171" s="66">
        <f>uurtarief3</f>
        <v>0</v>
      </c>
      <c r="R171" s="63" t="e">
        <f>IF(ISBLANK(N171),0,M171/ROUND(N171,4))</f>
        <v>#DIV/0!</v>
      </c>
      <c r="S171" s="63" t="e">
        <f>IF(ISBLANK(N171),0,R171*ROUND(O171,2))</f>
        <v>#DIV/0!</v>
      </c>
      <c r="T171" s="66" t="e">
        <f>ROUND(Q171,2)*R171</f>
        <v>#DIV/0!</v>
      </c>
      <c r="U171" s="63" t="e">
        <f>R171*dagenperjaar1</f>
        <v>#DIV/0!</v>
      </c>
      <c r="V171" s="67" t="e">
        <f>U171*ROUND(Q171,2)</f>
        <v>#DIV/0!</v>
      </c>
    </row>
    <row r="172" spans="1:22" x14ac:dyDescent="0.2">
      <c r="A172" s="60" t="s">
        <v>468</v>
      </c>
      <c r="B172" s="61" t="s">
        <v>291</v>
      </c>
      <c r="C172" s="61" t="s">
        <v>292</v>
      </c>
      <c r="D172" s="61" t="s">
        <v>386</v>
      </c>
      <c r="E172" s="62" t="s">
        <v>535</v>
      </c>
      <c r="F172" s="61" t="s">
        <v>532</v>
      </c>
      <c r="G172" s="61" t="s">
        <v>244</v>
      </c>
      <c r="H172" s="61" t="s">
        <v>26</v>
      </c>
      <c r="I172" s="61" t="s">
        <v>200</v>
      </c>
      <c r="J172" s="61" t="s">
        <v>291</v>
      </c>
      <c r="K172" s="61" t="s">
        <v>291</v>
      </c>
      <c r="L172" s="63">
        <v>272</v>
      </c>
      <c r="M172" s="63">
        <f>L172*VLOOKUP(H172,dagsoorttabel1,2,FALSE)</f>
        <v>1.0666666666666667</v>
      </c>
      <c r="N172" s="64">
        <f>prodnorm35</f>
        <v>0</v>
      </c>
      <c r="O172" s="65">
        <f>dagwerk35</f>
        <v>0</v>
      </c>
      <c r="P172" s="61" t="s">
        <v>41</v>
      </c>
      <c r="Q172" s="66">
        <f>uurtarief35</f>
        <v>0</v>
      </c>
      <c r="R172" s="63" t="e">
        <f>IF(ISBLANK(N172),0,M172/ROUND(N172,4))</f>
        <v>#DIV/0!</v>
      </c>
      <c r="S172" s="63" t="e">
        <f>IF(ISBLANK(N172),0,R172*ROUND(O172,2))</f>
        <v>#DIV/0!</v>
      </c>
      <c r="T172" s="66" t="e">
        <f>ROUND(Q172,2)*R172</f>
        <v>#DIV/0!</v>
      </c>
      <c r="U172" s="63" t="e">
        <f>R172*dagenperjaar1</f>
        <v>#DIV/0!</v>
      </c>
      <c r="V172" s="67" t="e">
        <f>U172*ROUND(Q172,2)</f>
        <v>#DIV/0!</v>
      </c>
    </row>
    <row r="173" spans="1:22" x14ac:dyDescent="0.2">
      <c r="A173" s="60" t="s">
        <v>468</v>
      </c>
      <c r="B173" s="61" t="s">
        <v>291</v>
      </c>
      <c r="C173" s="61" t="s">
        <v>292</v>
      </c>
      <c r="D173" s="61" t="s">
        <v>387</v>
      </c>
      <c r="E173" s="62" t="s">
        <v>536</v>
      </c>
      <c r="F173" s="61" t="s">
        <v>301</v>
      </c>
      <c r="G173" s="61" t="s">
        <v>199</v>
      </c>
      <c r="H173" s="61" t="s">
        <v>12</v>
      </c>
      <c r="I173" s="61" t="s">
        <v>200</v>
      </c>
      <c r="J173" s="61" t="s">
        <v>291</v>
      </c>
      <c r="K173" s="61" t="s">
        <v>291</v>
      </c>
      <c r="L173" s="63">
        <v>13</v>
      </c>
      <c r="M173" s="63">
        <f>L173*VLOOKUP(H173,dagsoorttabel1,2,FALSE)</f>
        <v>10.450980392156863</v>
      </c>
      <c r="N173" s="64">
        <f>prodnorm3</f>
        <v>0</v>
      </c>
      <c r="O173" s="65">
        <f>dagwerk3</f>
        <v>0</v>
      </c>
      <c r="P173" s="61" t="s">
        <v>41</v>
      </c>
      <c r="Q173" s="66">
        <f>uurtarief3</f>
        <v>0</v>
      </c>
      <c r="R173" s="63" t="e">
        <f>IF(ISBLANK(N173),0,M173/ROUND(N173,4))</f>
        <v>#DIV/0!</v>
      </c>
      <c r="S173" s="63" t="e">
        <f>IF(ISBLANK(N173),0,R173*ROUND(O173,2))</f>
        <v>#DIV/0!</v>
      </c>
      <c r="T173" s="66" t="e">
        <f>ROUND(Q173,2)*R173</f>
        <v>#DIV/0!</v>
      </c>
      <c r="U173" s="63" t="e">
        <f>R173*dagenperjaar1</f>
        <v>#DIV/0!</v>
      </c>
      <c r="V173" s="67" t="e">
        <f>U173*ROUND(Q173,2)</f>
        <v>#DIV/0!</v>
      </c>
    </row>
    <row r="174" spans="1:22" x14ac:dyDescent="0.2">
      <c r="A174" s="60" t="s">
        <v>468</v>
      </c>
      <c r="B174" s="61" t="s">
        <v>291</v>
      </c>
      <c r="C174" s="61" t="s">
        <v>292</v>
      </c>
      <c r="D174" s="61" t="s">
        <v>388</v>
      </c>
      <c r="E174" s="62" t="s">
        <v>537</v>
      </c>
      <c r="F174" s="61" t="s">
        <v>324</v>
      </c>
      <c r="G174" s="61" t="s">
        <v>244</v>
      </c>
      <c r="H174" s="61" t="s">
        <v>26</v>
      </c>
      <c r="I174" s="61" t="s">
        <v>200</v>
      </c>
      <c r="J174" s="61" t="s">
        <v>291</v>
      </c>
      <c r="K174" s="61" t="s">
        <v>291</v>
      </c>
      <c r="L174" s="63">
        <v>197.6</v>
      </c>
      <c r="M174" s="63">
        <f>L174*VLOOKUP(H174,dagsoorttabel1,2,FALSE)</f>
        <v>0.77490196078431373</v>
      </c>
      <c r="N174" s="64">
        <f>prodnorm35</f>
        <v>0</v>
      </c>
      <c r="O174" s="65">
        <f>dagwerk35</f>
        <v>0</v>
      </c>
      <c r="P174" s="61" t="s">
        <v>41</v>
      </c>
      <c r="Q174" s="66">
        <f>uurtarief35</f>
        <v>0</v>
      </c>
      <c r="R174" s="63" t="e">
        <f>IF(ISBLANK(N174),0,M174/ROUND(N174,4))</f>
        <v>#DIV/0!</v>
      </c>
      <c r="S174" s="63" t="e">
        <f>IF(ISBLANK(N174),0,R174*ROUND(O174,2))</f>
        <v>#DIV/0!</v>
      </c>
      <c r="T174" s="66" t="e">
        <f>ROUND(Q174,2)*R174</f>
        <v>#DIV/0!</v>
      </c>
      <c r="U174" s="63" t="e">
        <f>R174*dagenperjaar1</f>
        <v>#DIV/0!</v>
      </c>
      <c r="V174" s="67" t="e">
        <f>U174*ROUND(Q174,2)</f>
        <v>#DIV/0!</v>
      </c>
    </row>
    <row r="175" spans="1:22" x14ac:dyDescent="0.2">
      <c r="A175" s="60" t="s">
        <v>468</v>
      </c>
      <c r="B175" s="61" t="s">
        <v>291</v>
      </c>
      <c r="C175" s="61" t="s">
        <v>292</v>
      </c>
      <c r="D175" s="61" t="s">
        <v>538</v>
      </c>
      <c r="E175" s="62" t="s">
        <v>539</v>
      </c>
      <c r="F175" s="61" t="s">
        <v>324</v>
      </c>
      <c r="G175" s="61" t="s">
        <v>244</v>
      </c>
      <c r="H175" s="61" t="s">
        <v>26</v>
      </c>
      <c r="I175" s="61" t="s">
        <v>200</v>
      </c>
      <c r="J175" s="61" t="s">
        <v>291</v>
      </c>
      <c r="K175" s="61" t="s">
        <v>291</v>
      </c>
      <c r="L175" s="63">
        <v>60</v>
      </c>
      <c r="M175" s="63">
        <f>L175*VLOOKUP(H175,dagsoorttabel1,2,FALSE)</f>
        <v>0.23529411764705882</v>
      </c>
      <c r="N175" s="64">
        <f>prodnorm35</f>
        <v>0</v>
      </c>
      <c r="O175" s="65">
        <f>dagwerk35</f>
        <v>0</v>
      </c>
      <c r="P175" s="61" t="s">
        <v>41</v>
      </c>
      <c r="Q175" s="66">
        <f>uurtarief35</f>
        <v>0</v>
      </c>
      <c r="R175" s="63" t="e">
        <f>IF(ISBLANK(N175),0,M175/ROUND(N175,4))</f>
        <v>#DIV/0!</v>
      </c>
      <c r="S175" s="63" t="e">
        <f>IF(ISBLANK(N175),0,R175*ROUND(O175,2))</f>
        <v>#DIV/0!</v>
      </c>
      <c r="T175" s="66" t="e">
        <f>ROUND(Q175,2)*R175</f>
        <v>#DIV/0!</v>
      </c>
      <c r="U175" s="63" t="e">
        <f>R175*dagenperjaar1</f>
        <v>#DIV/0!</v>
      </c>
      <c r="V175" s="67" t="e">
        <f>U175*ROUND(Q175,2)</f>
        <v>#DIV/0!</v>
      </c>
    </row>
    <row r="176" spans="1:22" ht="25.2" x14ac:dyDescent="0.2">
      <c r="A176" s="60" t="s">
        <v>468</v>
      </c>
      <c r="B176" s="61" t="s">
        <v>291</v>
      </c>
      <c r="C176" s="61" t="s">
        <v>292</v>
      </c>
      <c r="D176" s="61" t="s">
        <v>389</v>
      </c>
      <c r="E176" s="62" t="s">
        <v>540</v>
      </c>
      <c r="F176" s="61" t="s">
        <v>324</v>
      </c>
      <c r="G176" s="61" t="s">
        <v>244</v>
      </c>
      <c r="H176" s="61" t="s">
        <v>26</v>
      </c>
      <c r="I176" s="61" t="s">
        <v>200</v>
      </c>
      <c r="J176" s="61" t="s">
        <v>291</v>
      </c>
      <c r="K176" s="61" t="s">
        <v>291</v>
      </c>
      <c r="L176" s="63">
        <v>148.25</v>
      </c>
      <c r="M176" s="63">
        <f>L176*VLOOKUP(H176,dagsoorttabel1,2,FALSE)</f>
        <v>0.58137254901960789</v>
      </c>
      <c r="N176" s="64">
        <f>prodnorm35</f>
        <v>0</v>
      </c>
      <c r="O176" s="65">
        <f>dagwerk35</f>
        <v>0</v>
      </c>
      <c r="P176" s="61" t="s">
        <v>41</v>
      </c>
      <c r="Q176" s="66">
        <f>uurtarief35</f>
        <v>0</v>
      </c>
      <c r="R176" s="63" t="e">
        <f>IF(ISBLANK(N176),0,M176/ROUND(N176,4))</f>
        <v>#DIV/0!</v>
      </c>
      <c r="S176" s="63" t="e">
        <f>IF(ISBLANK(N176),0,R176*ROUND(O176,2))</f>
        <v>#DIV/0!</v>
      </c>
      <c r="T176" s="66" t="e">
        <f>ROUND(Q176,2)*R176</f>
        <v>#DIV/0!</v>
      </c>
      <c r="U176" s="63" t="e">
        <f>R176*dagenperjaar1</f>
        <v>#DIV/0!</v>
      </c>
      <c r="V176" s="67" t="e">
        <f>U176*ROUND(Q176,2)</f>
        <v>#DIV/0!</v>
      </c>
    </row>
    <row r="177" spans="1:22" x14ac:dyDescent="0.2">
      <c r="A177" s="60" t="s">
        <v>468</v>
      </c>
      <c r="B177" s="61" t="s">
        <v>291</v>
      </c>
      <c r="C177" s="61" t="s">
        <v>292</v>
      </c>
      <c r="D177" s="61" t="s">
        <v>394</v>
      </c>
      <c r="E177" s="62" t="s">
        <v>541</v>
      </c>
      <c r="F177" s="61" t="s">
        <v>542</v>
      </c>
      <c r="G177" s="61" t="s">
        <v>244</v>
      </c>
      <c r="H177" s="61" t="s">
        <v>26</v>
      </c>
      <c r="I177" s="61" t="s">
        <v>200</v>
      </c>
      <c r="J177" s="61" t="s">
        <v>291</v>
      </c>
      <c r="K177" s="61" t="s">
        <v>291</v>
      </c>
      <c r="L177" s="63">
        <v>29.6</v>
      </c>
      <c r="M177" s="63">
        <f>L177*VLOOKUP(H177,dagsoorttabel1,2,FALSE)</f>
        <v>0.11607843137254903</v>
      </c>
      <c r="N177" s="64">
        <f>prodnorm35</f>
        <v>0</v>
      </c>
      <c r="O177" s="65">
        <f>dagwerk35</f>
        <v>0</v>
      </c>
      <c r="P177" s="61" t="s">
        <v>41</v>
      </c>
      <c r="Q177" s="66">
        <f>uurtarief35</f>
        <v>0</v>
      </c>
      <c r="R177" s="63" t="e">
        <f>IF(ISBLANK(N177),0,M177/ROUND(N177,4))</f>
        <v>#DIV/0!</v>
      </c>
      <c r="S177" s="63" t="e">
        <f>IF(ISBLANK(N177),0,R177*ROUND(O177,2))</f>
        <v>#DIV/0!</v>
      </c>
      <c r="T177" s="66" t="e">
        <f>ROUND(Q177,2)*R177</f>
        <v>#DIV/0!</v>
      </c>
      <c r="U177" s="63" t="e">
        <f>R177*dagenperjaar1</f>
        <v>#DIV/0!</v>
      </c>
      <c r="V177" s="67" t="e">
        <f>U177*ROUND(Q177,2)</f>
        <v>#DIV/0!</v>
      </c>
    </row>
    <row r="178" spans="1:22" x14ac:dyDescent="0.2">
      <c r="A178" s="60" t="s">
        <v>468</v>
      </c>
      <c r="B178" s="61" t="s">
        <v>291</v>
      </c>
      <c r="C178" s="61" t="s">
        <v>292</v>
      </c>
      <c r="D178" s="61" t="s">
        <v>398</v>
      </c>
      <c r="E178" s="62" t="s">
        <v>541</v>
      </c>
      <c r="F178" s="61" t="s">
        <v>532</v>
      </c>
      <c r="G178" s="61" t="s">
        <v>244</v>
      </c>
      <c r="H178" s="61" t="s">
        <v>26</v>
      </c>
      <c r="I178" s="61" t="s">
        <v>200</v>
      </c>
      <c r="J178" s="61" t="s">
        <v>291</v>
      </c>
      <c r="K178" s="61" t="s">
        <v>291</v>
      </c>
      <c r="L178" s="63">
        <v>73.3</v>
      </c>
      <c r="M178" s="63">
        <f>L178*VLOOKUP(H178,dagsoorttabel1,2,FALSE)</f>
        <v>0.28745098039215683</v>
      </c>
      <c r="N178" s="64">
        <f>prodnorm35</f>
        <v>0</v>
      </c>
      <c r="O178" s="65">
        <f>dagwerk35</f>
        <v>0</v>
      </c>
      <c r="P178" s="61" t="s">
        <v>41</v>
      </c>
      <c r="Q178" s="66">
        <f>uurtarief35</f>
        <v>0</v>
      </c>
      <c r="R178" s="63" t="e">
        <f>IF(ISBLANK(N178),0,M178/ROUND(N178,4))</f>
        <v>#DIV/0!</v>
      </c>
      <c r="S178" s="63" t="e">
        <f>IF(ISBLANK(N178),0,R178*ROUND(O178,2))</f>
        <v>#DIV/0!</v>
      </c>
      <c r="T178" s="66" t="e">
        <f>ROUND(Q178,2)*R178</f>
        <v>#DIV/0!</v>
      </c>
      <c r="U178" s="63" t="e">
        <f>R178*dagenperjaar1</f>
        <v>#DIV/0!</v>
      </c>
      <c r="V178" s="67" t="e">
        <f>U178*ROUND(Q178,2)</f>
        <v>#DIV/0!</v>
      </c>
    </row>
    <row r="179" spans="1:22" x14ac:dyDescent="0.2">
      <c r="A179" s="60" t="s">
        <v>468</v>
      </c>
      <c r="B179" s="61" t="s">
        <v>291</v>
      </c>
      <c r="C179" s="61" t="s">
        <v>292</v>
      </c>
      <c r="D179" s="61" t="s">
        <v>399</v>
      </c>
      <c r="E179" s="62" t="s">
        <v>541</v>
      </c>
      <c r="F179" s="61" t="s">
        <v>532</v>
      </c>
      <c r="G179" s="61" t="s">
        <v>244</v>
      </c>
      <c r="H179" s="61" t="s">
        <v>26</v>
      </c>
      <c r="I179" s="61" t="s">
        <v>200</v>
      </c>
      <c r="J179" s="61" t="s">
        <v>291</v>
      </c>
      <c r="K179" s="61" t="s">
        <v>291</v>
      </c>
      <c r="L179" s="63">
        <v>10.6</v>
      </c>
      <c r="M179" s="63">
        <f>L179*VLOOKUP(H179,dagsoorttabel1,2,FALSE)</f>
        <v>4.1568627450980389E-2</v>
      </c>
      <c r="N179" s="64">
        <f>prodnorm35</f>
        <v>0</v>
      </c>
      <c r="O179" s="65">
        <f>dagwerk35</f>
        <v>0</v>
      </c>
      <c r="P179" s="61" t="s">
        <v>41</v>
      </c>
      <c r="Q179" s="66">
        <f>uurtarief35</f>
        <v>0</v>
      </c>
      <c r="R179" s="63" t="e">
        <f>IF(ISBLANK(N179),0,M179/ROUND(N179,4))</f>
        <v>#DIV/0!</v>
      </c>
      <c r="S179" s="63" t="e">
        <f>IF(ISBLANK(N179),0,R179*ROUND(O179,2))</f>
        <v>#DIV/0!</v>
      </c>
      <c r="T179" s="66" t="e">
        <f>ROUND(Q179,2)*R179</f>
        <v>#DIV/0!</v>
      </c>
      <c r="U179" s="63" t="e">
        <f>R179*dagenperjaar1</f>
        <v>#DIV/0!</v>
      </c>
      <c r="V179" s="67" t="e">
        <f>U179*ROUND(Q179,2)</f>
        <v>#DIV/0!</v>
      </c>
    </row>
    <row r="180" spans="1:22" x14ac:dyDescent="0.2">
      <c r="A180" s="60" t="s">
        <v>468</v>
      </c>
      <c r="B180" s="61" t="s">
        <v>291</v>
      </c>
      <c r="C180" s="61" t="s">
        <v>292</v>
      </c>
      <c r="D180" s="61" t="s">
        <v>543</v>
      </c>
      <c r="E180" s="62" t="s">
        <v>541</v>
      </c>
      <c r="F180" s="61" t="s">
        <v>470</v>
      </c>
      <c r="G180" s="61" t="s">
        <v>244</v>
      </c>
      <c r="H180" s="61" t="s">
        <v>26</v>
      </c>
      <c r="I180" s="61" t="s">
        <v>200</v>
      </c>
      <c r="J180" s="61" t="s">
        <v>291</v>
      </c>
      <c r="K180" s="61" t="s">
        <v>291</v>
      </c>
      <c r="L180" s="63">
        <v>3.8</v>
      </c>
      <c r="M180" s="63">
        <f>L180*VLOOKUP(H180,dagsoorttabel1,2,FALSE)</f>
        <v>1.4901960784313724E-2</v>
      </c>
      <c r="N180" s="64">
        <f>prodnorm35</f>
        <v>0</v>
      </c>
      <c r="O180" s="65">
        <f>dagwerk35</f>
        <v>0</v>
      </c>
      <c r="P180" s="61" t="s">
        <v>41</v>
      </c>
      <c r="Q180" s="66">
        <f>uurtarief35</f>
        <v>0</v>
      </c>
      <c r="R180" s="63" t="e">
        <f>IF(ISBLANK(N180),0,M180/ROUND(N180,4))</f>
        <v>#DIV/0!</v>
      </c>
      <c r="S180" s="63" t="e">
        <f>IF(ISBLANK(N180),0,R180*ROUND(O180,2))</f>
        <v>#DIV/0!</v>
      </c>
      <c r="T180" s="66" t="e">
        <f>ROUND(Q180,2)*R180</f>
        <v>#DIV/0!</v>
      </c>
      <c r="U180" s="63" t="e">
        <f>R180*dagenperjaar1</f>
        <v>#DIV/0!</v>
      </c>
      <c r="V180" s="67" t="e">
        <f>U180*ROUND(Q180,2)</f>
        <v>#DIV/0!</v>
      </c>
    </row>
    <row r="181" spans="1:22" x14ac:dyDescent="0.2">
      <c r="A181" s="60" t="s">
        <v>468</v>
      </c>
      <c r="B181" s="61" t="s">
        <v>291</v>
      </c>
      <c r="C181" s="61" t="s">
        <v>292</v>
      </c>
      <c r="D181" s="61" t="s">
        <v>401</v>
      </c>
      <c r="E181" s="62" t="s">
        <v>541</v>
      </c>
      <c r="F181" s="61" t="s">
        <v>470</v>
      </c>
      <c r="G181" s="61" t="s">
        <v>244</v>
      </c>
      <c r="H181" s="61" t="s">
        <v>26</v>
      </c>
      <c r="I181" s="61" t="s">
        <v>200</v>
      </c>
      <c r="J181" s="61" t="s">
        <v>291</v>
      </c>
      <c r="K181" s="61" t="s">
        <v>291</v>
      </c>
      <c r="L181" s="63">
        <v>3.8</v>
      </c>
      <c r="M181" s="63">
        <f>L181*VLOOKUP(H181,dagsoorttabel1,2,FALSE)</f>
        <v>1.4901960784313724E-2</v>
      </c>
      <c r="N181" s="64">
        <f>prodnorm35</f>
        <v>0</v>
      </c>
      <c r="O181" s="65">
        <f>dagwerk35</f>
        <v>0</v>
      </c>
      <c r="P181" s="61" t="s">
        <v>41</v>
      </c>
      <c r="Q181" s="66">
        <f>uurtarief35</f>
        <v>0</v>
      </c>
      <c r="R181" s="63" t="e">
        <f>IF(ISBLANK(N181),0,M181/ROUND(N181,4))</f>
        <v>#DIV/0!</v>
      </c>
      <c r="S181" s="63" t="e">
        <f>IF(ISBLANK(N181),0,R181*ROUND(O181,2))</f>
        <v>#DIV/0!</v>
      </c>
      <c r="T181" s="66" t="e">
        <f>ROUND(Q181,2)*R181</f>
        <v>#DIV/0!</v>
      </c>
      <c r="U181" s="63" t="e">
        <f>R181*dagenperjaar1</f>
        <v>#DIV/0!</v>
      </c>
      <c r="V181" s="67" t="e">
        <f>U181*ROUND(Q181,2)</f>
        <v>#DIV/0!</v>
      </c>
    </row>
    <row r="182" spans="1:22" x14ac:dyDescent="0.2">
      <c r="A182" s="60" t="s">
        <v>468</v>
      </c>
      <c r="B182" s="61" t="s">
        <v>291</v>
      </c>
      <c r="C182" s="61" t="s">
        <v>544</v>
      </c>
      <c r="D182" s="61" t="s">
        <v>293</v>
      </c>
      <c r="E182" s="62" t="s">
        <v>294</v>
      </c>
      <c r="F182" s="61" t="s">
        <v>470</v>
      </c>
      <c r="G182" s="61" t="s">
        <v>258</v>
      </c>
      <c r="H182" s="61" t="s">
        <v>12</v>
      </c>
      <c r="I182" s="61" t="s">
        <v>200</v>
      </c>
      <c r="J182" s="61" t="s">
        <v>471</v>
      </c>
      <c r="K182" s="61" t="s">
        <v>291</v>
      </c>
      <c r="L182" s="63">
        <v>8.8000000000000007</v>
      </c>
      <c r="M182" s="63">
        <f>L182*VLOOKUP(H182,dagsoorttabel1,2,FALSE)</f>
        <v>7.0745098039215693</v>
      </c>
      <c r="N182" s="64">
        <f>prodnorm48</f>
        <v>0</v>
      </c>
      <c r="O182" s="65">
        <f>dagwerk48</f>
        <v>0</v>
      </c>
      <c r="P182" s="61" t="s">
        <v>41</v>
      </c>
      <c r="Q182" s="66">
        <f>uurtarief48</f>
        <v>0</v>
      </c>
      <c r="R182" s="63" t="e">
        <f>IF(ISBLANK(N182),0,M182/ROUND(N182,4))</f>
        <v>#DIV/0!</v>
      </c>
      <c r="S182" s="63" t="e">
        <f>IF(ISBLANK(N182),0,R182*ROUND(O182,2))</f>
        <v>#DIV/0!</v>
      </c>
      <c r="T182" s="66" t="e">
        <f>ROUND(Q182,2)*R182</f>
        <v>#DIV/0!</v>
      </c>
      <c r="U182" s="63" t="e">
        <f>R182*dagenperjaar1</f>
        <v>#DIV/0!</v>
      </c>
      <c r="V182" s="67" t="e">
        <f>U182*ROUND(Q182,2)</f>
        <v>#DIV/0!</v>
      </c>
    </row>
    <row r="183" spans="1:22" x14ac:dyDescent="0.2">
      <c r="A183" s="60" t="s">
        <v>468</v>
      </c>
      <c r="B183" s="61" t="s">
        <v>291</v>
      </c>
      <c r="C183" s="61" t="s">
        <v>544</v>
      </c>
      <c r="D183" s="61" t="s">
        <v>296</v>
      </c>
      <c r="E183" s="62" t="s">
        <v>479</v>
      </c>
      <c r="F183" s="61" t="s">
        <v>470</v>
      </c>
      <c r="G183" s="61" t="s">
        <v>250</v>
      </c>
      <c r="H183" s="61" t="s">
        <v>12</v>
      </c>
      <c r="I183" s="61" t="s">
        <v>200</v>
      </c>
      <c r="J183" s="61" t="s">
        <v>480</v>
      </c>
      <c r="K183" s="61" t="s">
        <v>291</v>
      </c>
      <c r="L183" s="63">
        <v>1.1000000000000001</v>
      </c>
      <c r="M183" s="63">
        <f>L183*VLOOKUP(H183,dagsoorttabel1,2,FALSE)</f>
        <v>0.88431372549019616</v>
      </c>
      <c r="N183" s="64">
        <f>prodnorm39</f>
        <v>0</v>
      </c>
      <c r="O183" s="65">
        <f>dagwerk39</f>
        <v>0</v>
      </c>
      <c r="P183" s="61" t="s">
        <v>41</v>
      </c>
      <c r="Q183" s="66">
        <f>uurtarief39</f>
        <v>0</v>
      </c>
      <c r="R183" s="63" t="e">
        <f>IF(ISBLANK(N183),0,M183/ROUND(N183,4))</f>
        <v>#DIV/0!</v>
      </c>
      <c r="S183" s="63" t="e">
        <f>IF(ISBLANK(N183),0,R183*ROUND(O183,2))</f>
        <v>#DIV/0!</v>
      </c>
      <c r="T183" s="66" t="e">
        <f>ROUND(Q183,2)*R183</f>
        <v>#DIV/0!</v>
      </c>
      <c r="U183" s="63" t="e">
        <f>R183*dagenperjaar1</f>
        <v>#DIV/0!</v>
      </c>
      <c r="V183" s="67" t="e">
        <f>U183*ROUND(Q183,2)</f>
        <v>#DIV/0!</v>
      </c>
    </row>
    <row r="184" spans="1:22" x14ac:dyDescent="0.2">
      <c r="A184" s="60" t="s">
        <v>468</v>
      </c>
      <c r="B184" s="61" t="s">
        <v>291</v>
      </c>
      <c r="C184" s="61" t="s">
        <v>544</v>
      </c>
      <c r="D184" s="61" t="s">
        <v>299</v>
      </c>
      <c r="E184" s="62" t="s">
        <v>545</v>
      </c>
      <c r="F184" s="61" t="s">
        <v>324</v>
      </c>
      <c r="G184" s="61" t="s">
        <v>218</v>
      </c>
      <c r="H184" s="61" t="s">
        <v>12</v>
      </c>
      <c r="I184" s="61" t="s">
        <v>200</v>
      </c>
      <c r="J184" s="61" t="s">
        <v>498</v>
      </c>
      <c r="K184" s="61" t="s">
        <v>291</v>
      </c>
      <c r="L184" s="63">
        <v>38</v>
      </c>
      <c r="M184" s="63">
        <f>L184*VLOOKUP(H184,dagsoorttabel1,2,FALSE)</f>
        <v>30.549019607843139</v>
      </c>
      <c r="N184" s="64">
        <f>prodnorm19</f>
        <v>0</v>
      </c>
      <c r="O184" s="65">
        <f>dagwerk19</f>
        <v>0</v>
      </c>
      <c r="P184" s="61" t="s">
        <v>41</v>
      </c>
      <c r="Q184" s="66">
        <f>uurtarief19</f>
        <v>0</v>
      </c>
      <c r="R184" s="63" t="e">
        <f>IF(ISBLANK(N184),0,M184/ROUND(N184,4))</f>
        <v>#DIV/0!</v>
      </c>
      <c r="S184" s="63" t="e">
        <f>IF(ISBLANK(N184),0,R184*ROUND(O184,2))</f>
        <v>#DIV/0!</v>
      </c>
      <c r="T184" s="66" t="e">
        <f>ROUND(Q184,2)*R184</f>
        <v>#DIV/0!</v>
      </c>
      <c r="U184" s="63" t="e">
        <f>R184*dagenperjaar1</f>
        <v>#DIV/0!</v>
      </c>
      <c r="V184" s="67" t="e">
        <f>U184*ROUND(Q184,2)</f>
        <v>#DIV/0!</v>
      </c>
    </row>
    <row r="185" spans="1:22" x14ac:dyDescent="0.2">
      <c r="A185" s="60" t="s">
        <v>468</v>
      </c>
      <c r="B185" s="61" t="s">
        <v>291</v>
      </c>
      <c r="C185" s="61" t="s">
        <v>544</v>
      </c>
      <c r="D185" s="61" t="s">
        <v>302</v>
      </c>
      <c r="E185" s="62" t="s">
        <v>546</v>
      </c>
      <c r="F185" s="61" t="s">
        <v>470</v>
      </c>
      <c r="G185" s="61" t="s">
        <v>230</v>
      </c>
      <c r="H185" s="61" t="s">
        <v>19</v>
      </c>
      <c r="I185" s="61" t="s">
        <v>200</v>
      </c>
      <c r="J185" s="61" t="s">
        <v>291</v>
      </c>
      <c r="K185" s="61" t="s">
        <v>291</v>
      </c>
      <c r="L185" s="63">
        <v>13.7</v>
      </c>
      <c r="M185" s="63">
        <f>L185*VLOOKUP(H185,dagsoorttabel1,2,FALSE)</f>
        <v>2.2027450980392156</v>
      </c>
      <c r="N185" s="64">
        <f>prodnorm28</f>
        <v>0</v>
      </c>
      <c r="O185" s="65">
        <f>dagwerk28</f>
        <v>0</v>
      </c>
      <c r="P185" s="61" t="s">
        <v>41</v>
      </c>
      <c r="Q185" s="66">
        <f>uurtarief28</f>
        <v>0</v>
      </c>
      <c r="R185" s="63" t="e">
        <f>IF(ISBLANK(N185),0,M185/ROUND(N185,4))</f>
        <v>#DIV/0!</v>
      </c>
      <c r="S185" s="63" t="e">
        <f>IF(ISBLANK(N185),0,R185*ROUND(O185,2))</f>
        <v>#DIV/0!</v>
      </c>
      <c r="T185" s="66" t="e">
        <f>ROUND(Q185,2)*R185</f>
        <v>#DIV/0!</v>
      </c>
      <c r="U185" s="63" t="e">
        <f>R185*dagenperjaar1</f>
        <v>#DIV/0!</v>
      </c>
      <c r="V185" s="67" t="e">
        <f>U185*ROUND(Q185,2)</f>
        <v>#DIV/0!</v>
      </c>
    </row>
    <row r="186" spans="1:22" x14ac:dyDescent="0.2">
      <c r="A186" s="60" t="s">
        <v>468</v>
      </c>
      <c r="B186" s="61" t="s">
        <v>291</v>
      </c>
      <c r="C186" s="61" t="s">
        <v>544</v>
      </c>
      <c r="D186" s="61" t="s">
        <v>547</v>
      </c>
      <c r="E186" s="62" t="s">
        <v>548</v>
      </c>
      <c r="F186" s="61" t="s">
        <v>470</v>
      </c>
      <c r="G186" s="61" t="s">
        <v>264</v>
      </c>
      <c r="H186" s="61" t="s">
        <v>12</v>
      </c>
      <c r="I186" s="61" t="s">
        <v>200</v>
      </c>
      <c r="J186" s="61" t="s">
        <v>471</v>
      </c>
      <c r="K186" s="61" t="s">
        <v>291</v>
      </c>
      <c r="L186" s="63">
        <v>11.6</v>
      </c>
      <c r="M186" s="63">
        <f>L186*VLOOKUP(H186,dagsoorttabel1,2,FALSE)</f>
        <v>9.325490196078432</v>
      </c>
      <c r="N186" s="64">
        <f>prodnorm52</f>
        <v>0</v>
      </c>
      <c r="O186" s="65">
        <f>dagwerk52</f>
        <v>0</v>
      </c>
      <c r="P186" s="61" t="s">
        <v>41</v>
      </c>
      <c r="Q186" s="66">
        <f>uurtarief52</f>
        <v>0</v>
      </c>
      <c r="R186" s="63" t="e">
        <f>IF(ISBLANK(N186),0,M186/ROUND(N186,4))</f>
        <v>#DIV/0!</v>
      </c>
      <c r="S186" s="63" t="e">
        <f>IF(ISBLANK(N186),0,R186*ROUND(O186,2))</f>
        <v>#DIV/0!</v>
      </c>
      <c r="T186" s="66" t="e">
        <f>ROUND(Q186,2)*R186</f>
        <v>#DIV/0!</v>
      </c>
      <c r="U186" s="63" t="e">
        <f>R186*dagenperjaar1</f>
        <v>#DIV/0!</v>
      </c>
      <c r="V186" s="67" t="e">
        <f>U186*ROUND(Q186,2)</f>
        <v>#DIV/0!</v>
      </c>
    </row>
    <row r="187" spans="1:22" x14ac:dyDescent="0.2">
      <c r="A187" s="60" t="s">
        <v>468</v>
      </c>
      <c r="B187" s="61" t="s">
        <v>291</v>
      </c>
      <c r="C187" s="61" t="s">
        <v>544</v>
      </c>
      <c r="D187" s="61" t="s">
        <v>549</v>
      </c>
      <c r="E187" s="62" t="s">
        <v>545</v>
      </c>
      <c r="F187" s="61" t="s">
        <v>301</v>
      </c>
      <c r="G187" s="61" t="s">
        <v>218</v>
      </c>
      <c r="H187" s="61" t="s">
        <v>12</v>
      </c>
      <c r="I187" s="61" t="s">
        <v>200</v>
      </c>
      <c r="J187" s="61" t="s">
        <v>498</v>
      </c>
      <c r="K187" s="61" t="s">
        <v>291</v>
      </c>
      <c r="L187" s="63">
        <v>53.75</v>
      </c>
      <c r="M187" s="63">
        <f>L187*VLOOKUP(H187,dagsoorttabel1,2,FALSE)</f>
        <v>43.21078431372549</v>
      </c>
      <c r="N187" s="64">
        <f>prodnorm19</f>
        <v>0</v>
      </c>
      <c r="O187" s="65">
        <f>dagwerk19</f>
        <v>0</v>
      </c>
      <c r="P187" s="61" t="s">
        <v>41</v>
      </c>
      <c r="Q187" s="66">
        <f>uurtarief19</f>
        <v>0</v>
      </c>
      <c r="R187" s="63" t="e">
        <f>IF(ISBLANK(N187),0,M187/ROUND(N187,4))</f>
        <v>#DIV/0!</v>
      </c>
      <c r="S187" s="63" t="e">
        <f>IF(ISBLANK(N187),0,R187*ROUND(O187,2))</f>
        <v>#DIV/0!</v>
      </c>
      <c r="T187" s="66" t="e">
        <f>ROUND(Q187,2)*R187</f>
        <v>#DIV/0!</v>
      </c>
      <c r="U187" s="63" t="e">
        <f>R187*dagenperjaar1</f>
        <v>#DIV/0!</v>
      </c>
      <c r="V187" s="67" t="e">
        <f>U187*ROUND(Q187,2)</f>
        <v>#DIV/0!</v>
      </c>
    </row>
    <row r="188" spans="1:22" x14ac:dyDescent="0.2">
      <c r="A188" s="60" t="s">
        <v>468</v>
      </c>
      <c r="B188" s="61" t="s">
        <v>291</v>
      </c>
      <c r="C188" s="61" t="s">
        <v>544</v>
      </c>
      <c r="D188" s="61" t="s">
        <v>304</v>
      </c>
      <c r="E188" s="62" t="s">
        <v>485</v>
      </c>
      <c r="F188" s="61" t="s">
        <v>470</v>
      </c>
      <c r="G188" s="61" t="s">
        <v>216</v>
      </c>
      <c r="H188" s="61" t="s">
        <v>12</v>
      </c>
      <c r="I188" s="61" t="s">
        <v>200</v>
      </c>
      <c r="J188" s="61" t="s">
        <v>471</v>
      </c>
      <c r="K188" s="61" t="s">
        <v>291</v>
      </c>
      <c r="L188" s="63">
        <v>9.4</v>
      </c>
      <c r="M188" s="63">
        <f>L188*VLOOKUP(H188,dagsoorttabel1,2,FALSE)</f>
        <v>7.5568627450980399</v>
      </c>
      <c r="N188" s="64">
        <f>prodnorm17</f>
        <v>0</v>
      </c>
      <c r="O188" s="65">
        <f>dagwerk17</f>
        <v>0</v>
      </c>
      <c r="P188" s="61" t="s">
        <v>41</v>
      </c>
      <c r="Q188" s="66">
        <f>uurtarief17</f>
        <v>0</v>
      </c>
      <c r="R188" s="63" t="e">
        <f>IF(ISBLANK(N188),0,M188/ROUND(N188,4))</f>
        <v>#DIV/0!</v>
      </c>
      <c r="S188" s="63" t="e">
        <f>IF(ISBLANK(N188),0,R188*ROUND(O188,2))</f>
        <v>#DIV/0!</v>
      </c>
      <c r="T188" s="66" t="e">
        <f>ROUND(Q188,2)*R188</f>
        <v>#DIV/0!</v>
      </c>
      <c r="U188" s="63" t="e">
        <f>R188*dagenperjaar1</f>
        <v>#DIV/0!</v>
      </c>
      <c r="V188" s="67" t="e">
        <f>U188*ROUND(Q188,2)</f>
        <v>#DIV/0!</v>
      </c>
    </row>
    <row r="189" spans="1:22" x14ac:dyDescent="0.2">
      <c r="A189" s="60" t="s">
        <v>468</v>
      </c>
      <c r="B189" s="61" t="s">
        <v>291</v>
      </c>
      <c r="C189" s="61" t="s">
        <v>544</v>
      </c>
      <c r="D189" s="61" t="s">
        <v>307</v>
      </c>
      <c r="E189" s="62" t="s">
        <v>546</v>
      </c>
      <c r="F189" s="61" t="s">
        <v>470</v>
      </c>
      <c r="G189" s="61" t="s">
        <v>230</v>
      </c>
      <c r="H189" s="61" t="s">
        <v>19</v>
      </c>
      <c r="I189" s="61" t="s">
        <v>200</v>
      </c>
      <c r="J189" s="61" t="s">
        <v>291</v>
      </c>
      <c r="K189" s="61" t="s">
        <v>291</v>
      </c>
      <c r="L189" s="63">
        <v>4</v>
      </c>
      <c r="M189" s="63">
        <f>L189*VLOOKUP(H189,dagsoorttabel1,2,FALSE)</f>
        <v>0.64313725490196083</v>
      </c>
      <c r="N189" s="64">
        <f>prodnorm28</f>
        <v>0</v>
      </c>
      <c r="O189" s="65">
        <f>dagwerk28</f>
        <v>0</v>
      </c>
      <c r="P189" s="61" t="s">
        <v>41</v>
      </c>
      <c r="Q189" s="66">
        <f>uurtarief28</f>
        <v>0</v>
      </c>
      <c r="R189" s="63" t="e">
        <f>IF(ISBLANK(N189),0,M189/ROUND(N189,4))</f>
        <v>#DIV/0!</v>
      </c>
      <c r="S189" s="63" t="e">
        <f>IF(ISBLANK(N189),0,R189*ROUND(O189,2))</f>
        <v>#DIV/0!</v>
      </c>
      <c r="T189" s="66" t="e">
        <f>ROUND(Q189,2)*R189</f>
        <v>#DIV/0!</v>
      </c>
      <c r="U189" s="63" t="e">
        <f>R189*dagenperjaar1</f>
        <v>#DIV/0!</v>
      </c>
      <c r="V189" s="67" t="e">
        <f>U189*ROUND(Q189,2)</f>
        <v>#DIV/0!</v>
      </c>
    </row>
    <row r="190" spans="1:22" x14ac:dyDescent="0.2">
      <c r="A190" s="60" t="s">
        <v>468</v>
      </c>
      <c r="B190" s="61" t="s">
        <v>291</v>
      </c>
      <c r="C190" s="61" t="s">
        <v>544</v>
      </c>
      <c r="D190" s="61" t="s">
        <v>309</v>
      </c>
      <c r="E190" s="62" t="s">
        <v>506</v>
      </c>
      <c r="F190" s="61" t="s">
        <v>329</v>
      </c>
      <c r="G190" s="61" t="s">
        <v>202</v>
      </c>
      <c r="H190" s="61" t="s">
        <v>12</v>
      </c>
      <c r="I190" s="61" t="s">
        <v>200</v>
      </c>
      <c r="J190" s="61" t="s">
        <v>473</v>
      </c>
      <c r="K190" s="61" t="s">
        <v>291</v>
      </c>
      <c r="L190" s="63">
        <v>22.45</v>
      </c>
      <c r="M190" s="63">
        <f>L190*VLOOKUP(H190,dagsoorttabel1,2,FALSE)</f>
        <v>18.048039215686273</v>
      </c>
      <c r="N190" s="64">
        <f>prodnorm5</f>
        <v>0</v>
      </c>
      <c r="O190" s="65">
        <f>dagwerk5</f>
        <v>0</v>
      </c>
      <c r="P190" s="61" t="s">
        <v>41</v>
      </c>
      <c r="Q190" s="66">
        <f>uurtarief5</f>
        <v>0</v>
      </c>
      <c r="R190" s="63" t="e">
        <f>IF(ISBLANK(N190),0,M190/ROUND(N190,4))</f>
        <v>#DIV/0!</v>
      </c>
      <c r="S190" s="63" t="e">
        <f>IF(ISBLANK(N190),0,R190*ROUND(O190,2))</f>
        <v>#DIV/0!</v>
      </c>
      <c r="T190" s="66" t="e">
        <f>ROUND(Q190,2)*R190</f>
        <v>#DIV/0!</v>
      </c>
      <c r="U190" s="63" t="e">
        <f>R190*dagenperjaar1</f>
        <v>#DIV/0!</v>
      </c>
      <c r="V190" s="67" t="e">
        <f>U190*ROUND(Q190,2)</f>
        <v>#DIV/0!</v>
      </c>
    </row>
    <row r="191" spans="1:22" x14ac:dyDescent="0.2">
      <c r="A191" s="60" t="s">
        <v>468</v>
      </c>
      <c r="B191" s="61" t="s">
        <v>291</v>
      </c>
      <c r="C191" s="61" t="s">
        <v>550</v>
      </c>
      <c r="D191" s="61" t="s">
        <v>551</v>
      </c>
      <c r="E191" s="62" t="s">
        <v>552</v>
      </c>
      <c r="F191" s="61" t="s">
        <v>470</v>
      </c>
      <c r="G191" s="61" t="s">
        <v>254</v>
      </c>
      <c r="H191" s="61" t="s">
        <v>12</v>
      </c>
      <c r="I191" s="61" t="s">
        <v>200</v>
      </c>
      <c r="J191" s="61" t="s">
        <v>471</v>
      </c>
      <c r="K191" s="61" t="s">
        <v>291</v>
      </c>
      <c r="L191" s="63">
        <v>15.450000000000001</v>
      </c>
      <c r="M191" s="63">
        <f>L191*VLOOKUP(H191,dagsoorttabel1,2,FALSE)</f>
        <v>12.420588235294119</v>
      </c>
      <c r="N191" s="64">
        <f>prodnorm44</f>
        <v>0</v>
      </c>
      <c r="O191" s="65">
        <f>dagwerk44</f>
        <v>0</v>
      </c>
      <c r="P191" s="61" t="s">
        <v>41</v>
      </c>
      <c r="Q191" s="66">
        <f>uurtarief44</f>
        <v>0</v>
      </c>
      <c r="R191" s="63" t="e">
        <f>IF(ISBLANK(N191),0,M191/ROUND(N191,4))</f>
        <v>#DIV/0!</v>
      </c>
      <c r="S191" s="63" t="e">
        <f>IF(ISBLANK(N191),0,R191*ROUND(O191,2))</f>
        <v>#DIV/0!</v>
      </c>
      <c r="T191" s="66" t="e">
        <f>ROUND(Q191,2)*R191</f>
        <v>#DIV/0!</v>
      </c>
      <c r="U191" s="63" t="e">
        <f>R191*dagenperjaar1</f>
        <v>#DIV/0!</v>
      </c>
      <c r="V191" s="67" t="e">
        <f>U191*ROUND(Q191,2)</f>
        <v>#DIV/0!</v>
      </c>
    </row>
    <row r="192" spans="1:22" x14ac:dyDescent="0.2">
      <c r="A192" s="60" t="s">
        <v>468</v>
      </c>
      <c r="B192" s="61" t="s">
        <v>291</v>
      </c>
      <c r="C192" s="61" t="s">
        <v>550</v>
      </c>
      <c r="D192" s="61" t="s">
        <v>553</v>
      </c>
      <c r="E192" s="62" t="s">
        <v>337</v>
      </c>
      <c r="F192" s="61" t="s">
        <v>470</v>
      </c>
      <c r="G192" s="61" t="s">
        <v>254</v>
      </c>
      <c r="H192" s="61" t="s">
        <v>12</v>
      </c>
      <c r="I192" s="61" t="s">
        <v>200</v>
      </c>
      <c r="J192" s="61" t="s">
        <v>471</v>
      </c>
      <c r="K192" s="61" t="s">
        <v>291</v>
      </c>
      <c r="L192" s="63">
        <v>34.9</v>
      </c>
      <c r="M192" s="63">
        <f>L192*VLOOKUP(H192,dagsoorttabel1,2,FALSE)</f>
        <v>28.056862745098041</v>
      </c>
      <c r="N192" s="64">
        <f>prodnorm44</f>
        <v>0</v>
      </c>
      <c r="O192" s="65">
        <f>dagwerk44</f>
        <v>0</v>
      </c>
      <c r="P192" s="61" t="s">
        <v>41</v>
      </c>
      <c r="Q192" s="66">
        <f>uurtarief44</f>
        <v>0</v>
      </c>
      <c r="R192" s="63" t="e">
        <f>IF(ISBLANK(N192),0,M192/ROUND(N192,4))</f>
        <v>#DIV/0!</v>
      </c>
      <c r="S192" s="63" t="e">
        <f>IF(ISBLANK(N192),0,R192*ROUND(O192,2))</f>
        <v>#DIV/0!</v>
      </c>
      <c r="T192" s="66" t="e">
        <f>ROUND(Q192,2)*R192</f>
        <v>#DIV/0!</v>
      </c>
      <c r="U192" s="63" t="e">
        <f>R192*dagenperjaar1</f>
        <v>#DIV/0!</v>
      </c>
      <c r="V192" s="67" t="e">
        <f>U192*ROUND(Q192,2)</f>
        <v>#DIV/0!</v>
      </c>
    </row>
    <row r="193" spans="1:22" x14ac:dyDescent="0.2">
      <c r="A193" s="60" t="s">
        <v>468</v>
      </c>
      <c r="B193" s="61" t="s">
        <v>291</v>
      </c>
      <c r="C193" s="61" t="s">
        <v>550</v>
      </c>
      <c r="D193" s="61" t="s">
        <v>554</v>
      </c>
      <c r="E193" s="62" t="s">
        <v>337</v>
      </c>
      <c r="F193" s="61" t="s">
        <v>470</v>
      </c>
      <c r="G193" s="61" t="s">
        <v>254</v>
      </c>
      <c r="H193" s="61" t="s">
        <v>12</v>
      </c>
      <c r="I193" s="61" t="s">
        <v>200</v>
      </c>
      <c r="J193" s="61" t="s">
        <v>471</v>
      </c>
      <c r="K193" s="61" t="s">
        <v>291</v>
      </c>
      <c r="L193" s="63">
        <v>44.1</v>
      </c>
      <c r="M193" s="63">
        <f>L193*VLOOKUP(H193,dagsoorttabel1,2,FALSE)</f>
        <v>35.452941176470588</v>
      </c>
      <c r="N193" s="64">
        <f>prodnorm44</f>
        <v>0</v>
      </c>
      <c r="O193" s="65">
        <f>dagwerk44</f>
        <v>0</v>
      </c>
      <c r="P193" s="61" t="s">
        <v>41</v>
      </c>
      <c r="Q193" s="66">
        <f>uurtarief44</f>
        <v>0</v>
      </c>
      <c r="R193" s="63" t="e">
        <f>IF(ISBLANK(N193),0,M193/ROUND(N193,4))</f>
        <v>#DIV/0!</v>
      </c>
      <c r="S193" s="63" t="e">
        <f>IF(ISBLANK(N193),0,R193*ROUND(O193,2))</f>
        <v>#DIV/0!</v>
      </c>
      <c r="T193" s="66" t="e">
        <f>ROUND(Q193,2)*R193</f>
        <v>#DIV/0!</v>
      </c>
      <c r="U193" s="63" t="e">
        <f>R193*dagenperjaar1</f>
        <v>#DIV/0!</v>
      </c>
      <c r="V193" s="67" t="e">
        <f>U193*ROUND(Q193,2)</f>
        <v>#DIV/0!</v>
      </c>
    </row>
    <row r="194" spans="1:22" x14ac:dyDescent="0.2">
      <c r="A194" s="60" t="s">
        <v>468</v>
      </c>
      <c r="B194" s="61" t="s">
        <v>291</v>
      </c>
      <c r="C194" s="61" t="s">
        <v>550</v>
      </c>
      <c r="D194" s="61" t="s">
        <v>555</v>
      </c>
      <c r="E194" s="62" t="s">
        <v>337</v>
      </c>
      <c r="F194" s="61" t="s">
        <v>470</v>
      </c>
      <c r="G194" s="61" t="s">
        <v>254</v>
      </c>
      <c r="H194" s="61" t="s">
        <v>12</v>
      </c>
      <c r="I194" s="61" t="s">
        <v>200</v>
      </c>
      <c r="J194" s="61" t="s">
        <v>471</v>
      </c>
      <c r="K194" s="61" t="s">
        <v>291</v>
      </c>
      <c r="L194" s="63">
        <v>34.6</v>
      </c>
      <c r="M194" s="63">
        <f>L194*VLOOKUP(H194,dagsoorttabel1,2,FALSE)</f>
        <v>27.815686274509805</v>
      </c>
      <c r="N194" s="64">
        <f>prodnorm44</f>
        <v>0</v>
      </c>
      <c r="O194" s="65">
        <f>dagwerk44</f>
        <v>0</v>
      </c>
      <c r="P194" s="61" t="s">
        <v>41</v>
      </c>
      <c r="Q194" s="66">
        <f>uurtarief44</f>
        <v>0</v>
      </c>
      <c r="R194" s="63" t="e">
        <f>IF(ISBLANK(N194),0,M194/ROUND(N194,4))</f>
        <v>#DIV/0!</v>
      </c>
      <c r="S194" s="63" t="e">
        <f>IF(ISBLANK(N194),0,R194*ROUND(O194,2))</f>
        <v>#DIV/0!</v>
      </c>
      <c r="T194" s="66" t="e">
        <f>ROUND(Q194,2)*R194</f>
        <v>#DIV/0!</v>
      </c>
      <c r="U194" s="63" t="e">
        <f>R194*dagenperjaar1</f>
        <v>#DIV/0!</v>
      </c>
      <c r="V194" s="67" t="e">
        <f>U194*ROUND(Q194,2)</f>
        <v>#DIV/0!</v>
      </c>
    </row>
    <row r="195" spans="1:22" x14ac:dyDescent="0.2">
      <c r="A195" s="60" t="s">
        <v>468</v>
      </c>
      <c r="B195" s="61" t="s">
        <v>291</v>
      </c>
      <c r="C195" s="61" t="s">
        <v>550</v>
      </c>
      <c r="D195" s="61" t="s">
        <v>556</v>
      </c>
      <c r="E195" s="62" t="s">
        <v>557</v>
      </c>
      <c r="F195" s="61" t="s">
        <v>301</v>
      </c>
      <c r="G195" s="61" t="s">
        <v>218</v>
      </c>
      <c r="H195" s="61" t="s">
        <v>12</v>
      </c>
      <c r="I195" s="61" t="s">
        <v>200</v>
      </c>
      <c r="J195" s="61" t="s">
        <v>498</v>
      </c>
      <c r="K195" s="61" t="s">
        <v>291</v>
      </c>
      <c r="L195" s="63">
        <v>75</v>
      </c>
      <c r="M195" s="63">
        <f>L195*VLOOKUP(H195,dagsoorttabel1,2,FALSE)</f>
        <v>60.294117647058826</v>
      </c>
      <c r="N195" s="64">
        <f>prodnorm19</f>
        <v>0</v>
      </c>
      <c r="O195" s="65">
        <f>dagwerk19</f>
        <v>0</v>
      </c>
      <c r="P195" s="61" t="s">
        <v>41</v>
      </c>
      <c r="Q195" s="66">
        <f>uurtarief19</f>
        <v>0</v>
      </c>
      <c r="R195" s="63" t="e">
        <f>IF(ISBLANK(N195),0,M195/ROUND(N195,4))</f>
        <v>#DIV/0!</v>
      </c>
      <c r="S195" s="63" t="e">
        <f>IF(ISBLANK(N195),0,R195*ROUND(O195,2))</f>
        <v>#DIV/0!</v>
      </c>
      <c r="T195" s="66" t="e">
        <f>ROUND(Q195,2)*R195</f>
        <v>#DIV/0!</v>
      </c>
      <c r="U195" s="63" t="e">
        <f>R195*dagenperjaar1</f>
        <v>#DIV/0!</v>
      </c>
      <c r="V195" s="67" t="e">
        <f>U195*ROUND(Q195,2)</f>
        <v>#DIV/0!</v>
      </c>
    </row>
    <row r="196" spans="1:22" x14ac:dyDescent="0.2">
      <c r="A196" s="60" t="s">
        <v>468</v>
      </c>
      <c r="B196" s="61" t="s">
        <v>291</v>
      </c>
      <c r="C196" s="61" t="s">
        <v>550</v>
      </c>
      <c r="D196" s="61" t="s">
        <v>558</v>
      </c>
      <c r="E196" s="62" t="s">
        <v>559</v>
      </c>
      <c r="F196" s="61" t="s">
        <v>301</v>
      </c>
      <c r="G196" s="61" t="s">
        <v>240</v>
      </c>
      <c r="H196" s="61" t="s">
        <v>12</v>
      </c>
      <c r="I196" s="61" t="s">
        <v>200</v>
      </c>
      <c r="J196" s="61" t="s">
        <v>498</v>
      </c>
      <c r="K196" s="61" t="s">
        <v>291</v>
      </c>
      <c r="L196" s="63">
        <v>53.9</v>
      </c>
      <c r="M196" s="63">
        <f>L196*VLOOKUP(H196,dagsoorttabel1,2,FALSE)</f>
        <v>43.331372549019605</v>
      </c>
      <c r="N196" s="64">
        <f>prodnorm33</f>
        <v>0</v>
      </c>
      <c r="O196" s="65">
        <f>dagwerk33</f>
        <v>0</v>
      </c>
      <c r="P196" s="61" t="s">
        <v>41</v>
      </c>
      <c r="Q196" s="66">
        <f>uurtarief33</f>
        <v>0</v>
      </c>
      <c r="R196" s="63" t="e">
        <f>IF(ISBLANK(N196),0,M196/ROUND(N196,4))</f>
        <v>#DIV/0!</v>
      </c>
      <c r="S196" s="63" t="e">
        <f>IF(ISBLANK(N196),0,R196*ROUND(O196,2))</f>
        <v>#DIV/0!</v>
      </c>
      <c r="T196" s="66" t="e">
        <f>ROUND(Q196,2)*R196</f>
        <v>#DIV/0!</v>
      </c>
      <c r="U196" s="63" t="e">
        <f>R196*dagenperjaar1</f>
        <v>#DIV/0!</v>
      </c>
      <c r="V196" s="67" t="e">
        <f>U196*ROUND(Q196,2)</f>
        <v>#DIV/0!</v>
      </c>
    </row>
    <row r="197" spans="1:22" x14ac:dyDescent="0.2">
      <c r="A197" s="60" t="s">
        <v>468</v>
      </c>
      <c r="B197" s="61" t="s">
        <v>291</v>
      </c>
      <c r="C197" s="61" t="s">
        <v>550</v>
      </c>
      <c r="D197" s="61" t="s">
        <v>560</v>
      </c>
      <c r="E197" s="62" t="s">
        <v>561</v>
      </c>
      <c r="F197" s="61" t="s">
        <v>301</v>
      </c>
      <c r="G197" s="61" t="s">
        <v>240</v>
      </c>
      <c r="H197" s="61" t="s">
        <v>12</v>
      </c>
      <c r="I197" s="61" t="s">
        <v>200</v>
      </c>
      <c r="J197" s="61" t="s">
        <v>498</v>
      </c>
      <c r="K197" s="61" t="s">
        <v>291</v>
      </c>
      <c r="L197" s="63">
        <v>76</v>
      </c>
      <c r="M197" s="63">
        <f>L197*VLOOKUP(H197,dagsoorttabel1,2,FALSE)</f>
        <v>61.098039215686278</v>
      </c>
      <c r="N197" s="64">
        <f>prodnorm33</f>
        <v>0</v>
      </c>
      <c r="O197" s="65">
        <f>dagwerk33</f>
        <v>0</v>
      </c>
      <c r="P197" s="61" t="s">
        <v>41</v>
      </c>
      <c r="Q197" s="66">
        <f>uurtarief33</f>
        <v>0</v>
      </c>
      <c r="R197" s="63" t="e">
        <f>IF(ISBLANK(N197),0,M197/ROUND(N197,4))</f>
        <v>#DIV/0!</v>
      </c>
      <c r="S197" s="63" t="e">
        <f>IF(ISBLANK(N197),0,R197*ROUND(O197,2))</f>
        <v>#DIV/0!</v>
      </c>
      <c r="T197" s="66" t="e">
        <f>ROUND(Q197,2)*R197</f>
        <v>#DIV/0!</v>
      </c>
      <c r="U197" s="63" t="e">
        <f>R197*dagenperjaar1</f>
        <v>#DIV/0!</v>
      </c>
      <c r="V197" s="67" t="e">
        <f>U197*ROUND(Q197,2)</f>
        <v>#DIV/0!</v>
      </c>
    </row>
    <row r="198" spans="1:22" x14ac:dyDescent="0.2">
      <c r="A198" s="60" t="s">
        <v>468</v>
      </c>
      <c r="B198" s="61" t="s">
        <v>291</v>
      </c>
      <c r="C198" s="61" t="s">
        <v>550</v>
      </c>
      <c r="D198" s="61" t="s">
        <v>562</v>
      </c>
      <c r="E198" s="62" t="s">
        <v>491</v>
      </c>
      <c r="F198" s="61" t="s">
        <v>470</v>
      </c>
      <c r="G198" s="61" t="s">
        <v>250</v>
      </c>
      <c r="H198" s="61" t="s">
        <v>12</v>
      </c>
      <c r="I198" s="61" t="s">
        <v>200</v>
      </c>
      <c r="J198" s="61" t="s">
        <v>480</v>
      </c>
      <c r="K198" s="61" t="s">
        <v>291</v>
      </c>
      <c r="L198" s="63">
        <v>12</v>
      </c>
      <c r="M198" s="63">
        <f>L198*VLOOKUP(H198,dagsoorttabel1,2,FALSE)</f>
        <v>9.647058823529413</v>
      </c>
      <c r="N198" s="64">
        <f>prodnorm39</f>
        <v>0</v>
      </c>
      <c r="O198" s="65">
        <f>dagwerk39</f>
        <v>0</v>
      </c>
      <c r="P198" s="61" t="s">
        <v>41</v>
      </c>
      <c r="Q198" s="66">
        <f>uurtarief39</f>
        <v>0</v>
      </c>
      <c r="R198" s="63" t="e">
        <f>IF(ISBLANK(N198),0,M198/ROUND(N198,4))</f>
        <v>#DIV/0!</v>
      </c>
      <c r="S198" s="63" t="e">
        <f>IF(ISBLANK(N198),0,R198*ROUND(O198,2))</f>
        <v>#DIV/0!</v>
      </c>
      <c r="T198" s="66" t="e">
        <f>ROUND(Q198,2)*R198</f>
        <v>#DIV/0!</v>
      </c>
      <c r="U198" s="63" t="e">
        <f>R198*dagenperjaar1</f>
        <v>#DIV/0!</v>
      </c>
      <c r="V198" s="67" t="e">
        <f>U198*ROUND(Q198,2)</f>
        <v>#DIV/0!</v>
      </c>
    </row>
    <row r="199" spans="1:22" x14ac:dyDescent="0.2">
      <c r="A199" s="60" t="s">
        <v>468</v>
      </c>
      <c r="B199" s="61" t="s">
        <v>291</v>
      </c>
      <c r="C199" s="61" t="s">
        <v>550</v>
      </c>
      <c r="D199" s="61" t="s">
        <v>563</v>
      </c>
      <c r="E199" s="62" t="s">
        <v>489</v>
      </c>
      <c r="F199" s="61" t="s">
        <v>470</v>
      </c>
      <c r="G199" s="61" t="s">
        <v>250</v>
      </c>
      <c r="H199" s="61" t="s">
        <v>12</v>
      </c>
      <c r="I199" s="61" t="s">
        <v>200</v>
      </c>
      <c r="J199" s="61" t="s">
        <v>480</v>
      </c>
      <c r="K199" s="61" t="s">
        <v>291</v>
      </c>
      <c r="L199" s="63">
        <v>10</v>
      </c>
      <c r="M199" s="63">
        <f>L199*VLOOKUP(H199,dagsoorttabel1,2,FALSE)</f>
        <v>8.0392156862745097</v>
      </c>
      <c r="N199" s="64">
        <f>prodnorm39</f>
        <v>0</v>
      </c>
      <c r="O199" s="65">
        <f>dagwerk39</f>
        <v>0</v>
      </c>
      <c r="P199" s="61" t="s">
        <v>41</v>
      </c>
      <c r="Q199" s="66">
        <f>uurtarief39</f>
        <v>0</v>
      </c>
      <c r="R199" s="63" t="e">
        <f>IF(ISBLANK(N199),0,M199/ROUND(N199,4))</f>
        <v>#DIV/0!</v>
      </c>
      <c r="S199" s="63" t="e">
        <f>IF(ISBLANK(N199),0,R199*ROUND(O199,2))</f>
        <v>#DIV/0!</v>
      </c>
      <c r="T199" s="66" t="e">
        <f>ROUND(Q199,2)*R199</f>
        <v>#DIV/0!</v>
      </c>
      <c r="U199" s="63" t="e">
        <f>R199*dagenperjaar1</f>
        <v>#DIV/0!</v>
      </c>
      <c r="V199" s="67" t="e">
        <f>U199*ROUND(Q199,2)</f>
        <v>#DIV/0!</v>
      </c>
    </row>
    <row r="200" spans="1:22" x14ac:dyDescent="0.2">
      <c r="A200" s="60" t="s">
        <v>468</v>
      </c>
      <c r="B200" s="61" t="s">
        <v>291</v>
      </c>
      <c r="C200" s="61" t="s">
        <v>550</v>
      </c>
      <c r="D200" s="61" t="s">
        <v>564</v>
      </c>
      <c r="E200" s="62" t="s">
        <v>565</v>
      </c>
      <c r="F200" s="61" t="s">
        <v>301</v>
      </c>
      <c r="G200" s="61" t="s">
        <v>218</v>
      </c>
      <c r="H200" s="61" t="s">
        <v>12</v>
      </c>
      <c r="I200" s="61" t="s">
        <v>200</v>
      </c>
      <c r="J200" s="61" t="s">
        <v>498</v>
      </c>
      <c r="K200" s="61" t="s">
        <v>291</v>
      </c>
      <c r="L200" s="63">
        <v>61.949999999999996</v>
      </c>
      <c r="M200" s="63">
        <f>L200*VLOOKUP(H200,dagsoorttabel1,2,FALSE)</f>
        <v>49.80294117647059</v>
      </c>
      <c r="N200" s="64">
        <f>prodnorm19</f>
        <v>0</v>
      </c>
      <c r="O200" s="65">
        <f>dagwerk19</f>
        <v>0</v>
      </c>
      <c r="P200" s="61" t="s">
        <v>41</v>
      </c>
      <c r="Q200" s="66">
        <f>uurtarief19</f>
        <v>0</v>
      </c>
      <c r="R200" s="63" t="e">
        <f>IF(ISBLANK(N200),0,M200/ROUND(N200,4))</f>
        <v>#DIV/0!</v>
      </c>
      <c r="S200" s="63" t="e">
        <f>IF(ISBLANK(N200),0,R200*ROUND(O200,2))</f>
        <v>#DIV/0!</v>
      </c>
      <c r="T200" s="66" t="e">
        <f>ROUND(Q200,2)*R200</f>
        <v>#DIV/0!</v>
      </c>
      <c r="U200" s="63" t="e">
        <f>R200*dagenperjaar1</f>
        <v>#DIV/0!</v>
      </c>
      <c r="V200" s="67" t="e">
        <f>U200*ROUND(Q200,2)</f>
        <v>#DIV/0!</v>
      </c>
    </row>
    <row r="201" spans="1:22" x14ac:dyDescent="0.2">
      <c r="A201" s="60" t="s">
        <v>468</v>
      </c>
      <c r="B201" s="61" t="s">
        <v>291</v>
      </c>
      <c r="C201" s="61" t="s">
        <v>550</v>
      </c>
      <c r="D201" s="61" t="s">
        <v>566</v>
      </c>
      <c r="E201" s="62" t="s">
        <v>567</v>
      </c>
      <c r="F201" s="61" t="s">
        <v>301</v>
      </c>
      <c r="G201" s="61" t="s">
        <v>218</v>
      </c>
      <c r="H201" s="61" t="s">
        <v>12</v>
      </c>
      <c r="I201" s="61" t="s">
        <v>200</v>
      </c>
      <c r="J201" s="61" t="s">
        <v>498</v>
      </c>
      <c r="K201" s="61" t="s">
        <v>291</v>
      </c>
      <c r="L201" s="63">
        <v>47</v>
      </c>
      <c r="M201" s="63">
        <f>L201*VLOOKUP(H201,dagsoorttabel1,2,FALSE)</f>
        <v>37.7843137254902</v>
      </c>
      <c r="N201" s="64">
        <f>prodnorm19</f>
        <v>0</v>
      </c>
      <c r="O201" s="65">
        <f>dagwerk19</f>
        <v>0</v>
      </c>
      <c r="P201" s="61" t="s">
        <v>41</v>
      </c>
      <c r="Q201" s="66">
        <f>uurtarief19</f>
        <v>0</v>
      </c>
      <c r="R201" s="63" t="e">
        <f>IF(ISBLANK(N201),0,M201/ROUND(N201,4))</f>
        <v>#DIV/0!</v>
      </c>
      <c r="S201" s="63" t="e">
        <f>IF(ISBLANK(N201),0,R201*ROUND(O201,2))</f>
        <v>#DIV/0!</v>
      </c>
      <c r="T201" s="66" t="e">
        <f>ROUND(Q201,2)*R201</f>
        <v>#DIV/0!</v>
      </c>
      <c r="U201" s="63" t="e">
        <f>R201*dagenperjaar1</f>
        <v>#DIV/0!</v>
      </c>
      <c r="V201" s="67" t="e">
        <f>U201*ROUND(Q201,2)</f>
        <v>#DIV/0!</v>
      </c>
    </row>
    <row r="202" spans="1:22" x14ac:dyDescent="0.2">
      <c r="A202" s="60" t="s">
        <v>468</v>
      </c>
      <c r="B202" s="61" t="s">
        <v>291</v>
      </c>
      <c r="C202" s="61" t="s">
        <v>550</v>
      </c>
      <c r="D202" s="61" t="s">
        <v>568</v>
      </c>
      <c r="E202" s="62" t="s">
        <v>569</v>
      </c>
      <c r="F202" s="61" t="s">
        <v>301</v>
      </c>
      <c r="G202" s="61" t="s">
        <v>218</v>
      </c>
      <c r="H202" s="61" t="s">
        <v>12</v>
      </c>
      <c r="I202" s="61" t="s">
        <v>200</v>
      </c>
      <c r="J202" s="61" t="s">
        <v>498</v>
      </c>
      <c r="K202" s="61" t="s">
        <v>291</v>
      </c>
      <c r="L202" s="63">
        <v>96.2</v>
      </c>
      <c r="M202" s="63">
        <f>L202*VLOOKUP(H202,dagsoorttabel1,2,FALSE)</f>
        <v>77.33725490196079</v>
      </c>
      <c r="N202" s="64">
        <f>prodnorm19</f>
        <v>0</v>
      </c>
      <c r="O202" s="65">
        <f>dagwerk19</f>
        <v>0</v>
      </c>
      <c r="P202" s="61" t="s">
        <v>41</v>
      </c>
      <c r="Q202" s="66">
        <f>uurtarief19</f>
        <v>0</v>
      </c>
      <c r="R202" s="63" t="e">
        <f>IF(ISBLANK(N202),0,M202/ROUND(N202,4))</f>
        <v>#DIV/0!</v>
      </c>
      <c r="S202" s="63" t="e">
        <f>IF(ISBLANK(N202),0,R202*ROUND(O202,2))</f>
        <v>#DIV/0!</v>
      </c>
      <c r="T202" s="66" t="e">
        <f>ROUND(Q202,2)*R202</f>
        <v>#DIV/0!</v>
      </c>
      <c r="U202" s="63" t="e">
        <f>R202*dagenperjaar1</f>
        <v>#DIV/0!</v>
      </c>
      <c r="V202" s="67" t="e">
        <f>U202*ROUND(Q202,2)</f>
        <v>#DIV/0!</v>
      </c>
    </row>
    <row r="203" spans="1:22" x14ac:dyDescent="0.2">
      <c r="A203" s="60" t="s">
        <v>468</v>
      </c>
      <c r="B203" s="61" t="s">
        <v>291</v>
      </c>
      <c r="C203" s="61" t="s">
        <v>550</v>
      </c>
      <c r="D203" s="61" t="s">
        <v>570</v>
      </c>
      <c r="E203" s="62" t="s">
        <v>571</v>
      </c>
      <c r="F203" s="61" t="s">
        <v>301</v>
      </c>
      <c r="G203" s="61" t="s">
        <v>218</v>
      </c>
      <c r="H203" s="61" t="s">
        <v>12</v>
      </c>
      <c r="I203" s="61" t="s">
        <v>200</v>
      </c>
      <c r="J203" s="61" t="s">
        <v>498</v>
      </c>
      <c r="K203" s="61" t="s">
        <v>291</v>
      </c>
      <c r="L203" s="63">
        <v>48.5</v>
      </c>
      <c r="M203" s="63">
        <f>L203*VLOOKUP(H203,dagsoorttabel1,2,FALSE)</f>
        <v>38.990196078431374</v>
      </c>
      <c r="N203" s="64">
        <f>prodnorm19</f>
        <v>0</v>
      </c>
      <c r="O203" s="65">
        <f>dagwerk19</f>
        <v>0</v>
      </c>
      <c r="P203" s="61" t="s">
        <v>41</v>
      </c>
      <c r="Q203" s="66">
        <f>uurtarief19</f>
        <v>0</v>
      </c>
      <c r="R203" s="63" t="e">
        <f>IF(ISBLANK(N203),0,M203/ROUND(N203,4))</f>
        <v>#DIV/0!</v>
      </c>
      <c r="S203" s="63" t="e">
        <f>IF(ISBLANK(N203),0,R203*ROUND(O203,2))</f>
        <v>#DIV/0!</v>
      </c>
      <c r="T203" s="66" t="e">
        <f>ROUND(Q203,2)*R203</f>
        <v>#DIV/0!</v>
      </c>
      <c r="U203" s="63" t="e">
        <f>R203*dagenperjaar1</f>
        <v>#DIV/0!</v>
      </c>
      <c r="V203" s="67" t="e">
        <f>U203*ROUND(Q203,2)</f>
        <v>#DIV/0!</v>
      </c>
    </row>
    <row r="204" spans="1:22" x14ac:dyDescent="0.2">
      <c r="A204" s="60" t="s">
        <v>468</v>
      </c>
      <c r="B204" s="61" t="s">
        <v>291</v>
      </c>
      <c r="C204" s="61" t="s">
        <v>550</v>
      </c>
      <c r="D204" s="61" t="s">
        <v>572</v>
      </c>
      <c r="E204" s="62" t="s">
        <v>573</v>
      </c>
      <c r="F204" s="61" t="s">
        <v>301</v>
      </c>
      <c r="G204" s="61" t="s">
        <v>218</v>
      </c>
      <c r="H204" s="61" t="s">
        <v>12</v>
      </c>
      <c r="I204" s="61" t="s">
        <v>200</v>
      </c>
      <c r="J204" s="61" t="s">
        <v>498</v>
      </c>
      <c r="K204" s="61" t="s">
        <v>291</v>
      </c>
      <c r="L204" s="63">
        <v>24.6</v>
      </c>
      <c r="M204" s="63">
        <f>L204*VLOOKUP(H204,dagsoorttabel1,2,FALSE)</f>
        <v>19.776470588235295</v>
      </c>
      <c r="N204" s="64">
        <f>prodnorm19</f>
        <v>0</v>
      </c>
      <c r="O204" s="65">
        <f>dagwerk19</f>
        <v>0</v>
      </c>
      <c r="P204" s="61" t="s">
        <v>41</v>
      </c>
      <c r="Q204" s="66">
        <f>uurtarief19</f>
        <v>0</v>
      </c>
      <c r="R204" s="63" t="e">
        <f>IF(ISBLANK(N204),0,M204/ROUND(N204,4))</f>
        <v>#DIV/0!</v>
      </c>
      <c r="S204" s="63" t="e">
        <f>IF(ISBLANK(N204),0,R204*ROUND(O204,2))</f>
        <v>#DIV/0!</v>
      </c>
      <c r="T204" s="66" t="e">
        <f>ROUND(Q204,2)*R204</f>
        <v>#DIV/0!</v>
      </c>
      <c r="U204" s="63" t="e">
        <f>R204*dagenperjaar1</f>
        <v>#DIV/0!</v>
      </c>
      <c r="V204" s="67" t="e">
        <f>U204*ROUND(Q204,2)</f>
        <v>#DIV/0!</v>
      </c>
    </row>
    <row r="205" spans="1:22" x14ac:dyDescent="0.2">
      <c r="A205" s="60" t="s">
        <v>468</v>
      </c>
      <c r="B205" s="61" t="s">
        <v>291</v>
      </c>
      <c r="C205" s="61" t="s">
        <v>550</v>
      </c>
      <c r="D205" s="61" t="s">
        <v>574</v>
      </c>
      <c r="E205" s="62" t="s">
        <v>575</v>
      </c>
      <c r="F205" s="61" t="s">
        <v>301</v>
      </c>
      <c r="G205" s="61" t="s">
        <v>230</v>
      </c>
      <c r="H205" s="61" t="s">
        <v>19</v>
      </c>
      <c r="I205" s="61" t="s">
        <v>200</v>
      </c>
      <c r="J205" s="61" t="s">
        <v>291</v>
      </c>
      <c r="K205" s="61" t="s">
        <v>291</v>
      </c>
      <c r="L205" s="63">
        <v>7.8</v>
      </c>
      <c r="M205" s="63">
        <f>L205*VLOOKUP(H205,dagsoorttabel1,2,FALSE)</f>
        <v>1.2541176470588236</v>
      </c>
      <c r="N205" s="64">
        <f>prodnorm28</f>
        <v>0</v>
      </c>
      <c r="O205" s="65">
        <f>dagwerk28</f>
        <v>0</v>
      </c>
      <c r="P205" s="61" t="s">
        <v>41</v>
      </c>
      <c r="Q205" s="66">
        <f>uurtarief28</f>
        <v>0</v>
      </c>
      <c r="R205" s="63" t="e">
        <f>IF(ISBLANK(N205),0,M205/ROUND(N205,4))</f>
        <v>#DIV/0!</v>
      </c>
      <c r="S205" s="63" t="e">
        <f>IF(ISBLANK(N205),0,R205*ROUND(O205,2))</f>
        <v>#DIV/0!</v>
      </c>
      <c r="T205" s="66" t="e">
        <f>ROUND(Q205,2)*R205</f>
        <v>#DIV/0!</v>
      </c>
      <c r="U205" s="63" t="e">
        <f>R205*dagenperjaar1</f>
        <v>#DIV/0!</v>
      </c>
      <c r="V205" s="67" t="e">
        <f>U205*ROUND(Q205,2)</f>
        <v>#DIV/0!</v>
      </c>
    </row>
    <row r="206" spans="1:22" x14ac:dyDescent="0.2">
      <c r="A206" s="60" t="s">
        <v>468</v>
      </c>
      <c r="B206" s="61" t="s">
        <v>291</v>
      </c>
      <c r="C206" s="61" t="s">
        <v>550</v>
      </c>
      <c r="D206" s="61" t="s">
        <v>576</v>
      </c>
      <c r="E206" s="62" t="s">
        <v>577</v>
      </c>
      <c r="F206" s="61" t="s">
        <v>301</v>
      </c>
      <c r="G206" s="61" t="s">
        <v>218</v>
      </c>
      <c r="H206" s="61" t="s">
        <v>12</v>
      </c>
      <c r="I206" s="61" t="s">
        <v>200</v>
      </c>
      <c r="J206" s="61" t="s">
        <v>498</v>
      </c>
      <c r="K206" s="61" t="s">
        <v>291</v>
      </c>
      <c r="L206" s="63">
        <v>24.1</v>
      </c>
      <c r="M206" s="63">
        <f>L206*VLOOKUP(H206,dagsoorttabel1,2,FALSE)</f>
        <v>19.374509803921569</v>
      </c>
      <c r="N206" s="64">
        <f>prodnorm19</f>
        <v>0</v>
      </c>
      <c r="O206" s="65">
        <f>dagwerk19</f>
        <v>0</v>
      </c>
      <c r="P206" s="61" t="s">
        <v>41</v>
      </c>
      <c r="Q206" s="66">
        <f>uurtarief19</f>
        <v>0</v>
      </c>
      <c r="R206" s="63" t="e">
        <f>IF(ISBLANK(N206),0,M206/ROUND(N206,4))</f>
        <v>#DIV/0!</v>
      </c>
      <c r="S206" s="63" t="e">
        <f>IF(ISBLANK(N206),0,R206*ROUND(O206,2))</f>
        <v>#DIV/0!</v>
      </c>
      <c r="T206" s="66" t="e">
        <f>ROUND(Q206,2)*R206</f>
        <v>#DIV/0!</v>
      </c>
      <c r="U206" s="63" t="e">
        <f>R206*dagenperjaar1</f>
        <v>#DIV/0!</v>
      </c>
      <c r="V206" s="67" t="e">
        <f>U206*ROUND(Q206,2)</f>
        <v>#DIV/0!</v>
      </c>
    </row>
    <row r="207" spans="1:22" x14ac:dyDescent="0.2">
      <c r="A207" s="60" t="s">
        <v>468</v>
      </c>
      <c r="B207" s="61" t="s">
        <v>291</v>
      </c>
      <c r="C207" s="61" t="s">
        <v>550</v>
      </c>
      <c r="D207" s="61" t="s">
        <v>578</v>
      </c>
      <c r="E207" s="62" t="s">
        <v>575</v>
      </c>
      <c r="F207" s="61" t="s">
        <v>301</v>
      </c>
      <c r="G207" s="61" t="s">
        <v>230</v>
      </c>
      <c r="H207" s="61" t="s">
        <v>19</v>
      </c>
      <c r="I207" s="61" t="s">
        <v>200</v>
      </c>
      <c r="J207" s="61" t="s">
        <v>291</v>
      </c>
      <c r="K207" s="61" t="s">
        <v>291</v>
      </c>
      <c r="L207" s="63">
        <v>7.8</v>
      </c>
      <c r="M207" s="63">
        <f>L207*VLOOKUP(H207,dagsoorttabel1,2,FALSE)</f>
        <v>1.2541176470588236</v>
      </c>
      <c r="N207" s="64">
        <f>prodnorm28</f>
        <v>0</v>
      </c>
      <c r="O207" s="65">
        <f>dagwerk28</f>
        <v>0</v>
      </c>
      <c r="P207" s="61" t="s">
        <v>41</v>
      </c>
      <c r="Q207" s="66">
        <f>uurtarief28</f>
        <v>0</v>
      </c>
      <c r="R207" s="63" t="e">
        <f>IF(ISBLANK(N207),0,M207/ROUND(N207,4))</f>
        <v>#DIV/0!</v>
      </c>
      <c r="S207" s="63" t="e">
        <f>IF(ISBLANK(N207),0,R207*ROUND(O207,2))</f>
        <v>#DIV/0!</v>
      </c>
      <c r="T207" s="66" t="e">
        <f>ROUND(Q207,2)*R207</f>
        <v>#DIV/0!</v>
      </c>
      <c r="U207" s="63" t="e">
        <f>R207*dagenperjaar1</f>
        <v>#DIV/0!</v>
      </c>
      <c r="V207" s="67" t="e">
        <f>U207*ROUND(Q207,2)</f>
        <v>#DIV/0!</v>
      </c>
    </row>
    <row r="208" spans="1:22" x14ac:dyDescent="0.2">
      <c r="A208" s="68" t="s">
        <v>468</v>
      </c>
      <c r="B208" s="69" t="s">
        <v>291</v>
      </c>
      <c r="C208" s="69" t="s">
        <v>550</v>
      </c>
      <c r="D208" s="69" t="s">
        <v>579</v>
      </c>
      <c r="E208" s="70" t="s">
        <v>580</v>
      </c>
      <c r="F208" s="69" t="s">
        <v>301</v>
      </c>
      <c r="G208" s="69" t="s">
        <v>240</v>
      </c>
      <c r="H208" s="69" t="s">
        <v>12</v>
      </c>
      <c r="I208" s="69" t="s">
        <v>200</v>
      </c>
      <c r="J208" s="69" t="s">
        <v>498</v>
      </c>
      <c r="K208" s="69" t="s">
        <v>291</v>
      </c>
      <c r="L208" s="71">
        <v>95</v>
      </c>
      <c r="M208" s="71">
        <f>L208*VLOOKUP(H208,dagsoorttabel1,2,FALSE)</f>
        <v>76.372549019607845</v>
      </c>
      <c r="N208" s="72">
        <f>prodnorm33</f>
        <v>0</v>
      </c>
      <c r="O208" s="73">
        <f>dagwerk33</f>
        <v>0</v>
      </c>
      <c r="P208" s="69" t="s">
        <v>41</v>
      </c>
      <c r="Q208" s="74">
        <f>uurtarief33</f>
        <v>0</v>
      </c>
      <c r="R208" s="71" t="e">
        <f>IF(ISBLANK(N208),0,M208/ROUND(N208,4))</f>
        <v>#DIV/0!</v>
      </c>
      <c r="S208" s="71" t="e">
        <f>IF(ISBLANK(N208),0,R208*ROUND(O208,2))</f>
        <v>#DIV/0!</v>
      </c>
      <c r="T208" s="74" t="e">
        <f>ROUND(Q208,2)*R208</f>
        <v>#DIV/0!</v>
      </c>
      <c r="U208" s="71" t="e">
        <f>R208*dagenperjaar1</f>
        <v>#DIV/0!</v>
      </c>
      <c r="V208" s="75" t="e">
        <f>U208*ROUND(Q208,2)</f>
        <v>#DIV/0!</v>
      </c>
    </row>
    <row r="209" spans="1:22" x14ac:dyDescent="0.2">
      <c r="A209" s="76" t="s">
        <v>466</v>
      </c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5" t="e">
        <f>IF(_xlfn.SINGLE(object2_urenjaar1)&gt;0,_xlfn.SINGLE(object2_prijsjaar1)/_xlfn.SINGLE(object2_urenjaar1),0)</f>
        <v>#DIV/0!</v>
      </c>
      <c r="R209" s="44" t="e">
        <f>SUM(R120:R208)</f>
        <v>#DIV/0!</v>
      </c>
      <c r="S209" s="44" t="e">
        <f>SUM(S120:S208)</f>
        <v>#DIV/0!</v>
      </c>
      <c r="T209" s="45" t="e">
        <f>SUM(T120:T208)</f>
        <v>#DIV/0!</v>
      </c>
      <c r="U209" s="44" t="e">
        <f>SUM(U120:U208)</f>
        <v>#DIV/0!</v>
      </c>
      <c r="V209" s="46" t="e">
        <f>SUM(V120:V208)</f>
        <v>#DIV/0!</v>
      </c>
    </row>
    <row r="210" spans="1:22" x14ac:dyDescent="0.2">
      <c r="A210" s="51" t="s">
        <v>581</v>
      </c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41"/>
    </row>
    <row r="211" spans="1:22" x14ac:dyDescent="0.2">
      <c r="A211" s="52" t="s">
        <v>582</v>
      </c>
      <c r="B211" s="53" t="s">
        <v>291</v>
      </c>
      <c r="C211" s="53" t="s">
        <v>292</v>
      </c>
      <c r="D211" s="53" t="s">
        <v>293</v>
      </c>
      <c r="E211" s="54" t="s">
        <v>294</v>
      </c>
      <c r="F211" s="53" t="s">
        <v>329</v>
      </c>
      <c r="G211" s="53" t="s">
        <v>260</v>
      </c>
      <c r="H211" s="53" t="s">
        <v>12</v>
      </c>
      <c r="I211" s="53" t="s">
        <v>200</v>
      </c>
      <c r="J211" s="53" t="s">
        <v>471</v>
      </c>
      <c r="K211" s="53" t="s">
        <v>291</v>
      </c>
      <c r="L211" s="55">
        <v>22.6</v>
      </c>
      <c r="M211" s="55">
        <f>L211*VLOOKUP(H211,dagsoorttabel1,2,FALSE)</f>
        <v>18.168627450980395</v>
      </c>
      <c r="N211" s="56">
        <f>prodnorm49</f>
        <v>0</v>
      </c>
      <c r="O211" s="57">
        <f>dagwerk49</f>
        <v>0</v>
      </c>
      <c r="P211" s="53" t="s">
        <v>41</v>
      </c>
      <c r="Q211" s="58">
        <f>uurtarief49</f>
        <v>0</v>
      </c>
      <c r="R211" s="55" t="e">
        <f>IF(ISBLANK(N211),0,M211/ROUND(N211,4))</f>
        <v>#DIV/0!</v>
      </c>
      <c r="S211" s="55" t="e">
        <f>IF(ISBLANK(N211),0,R211*ROUND(O211,2))</f>
        <v>#DIV/0!</v>
      </c>
      <c r="T211" s="58" t="e">
        <f>ROUND(Q211,2)*R211</f>
        <v>#DIV/0!</v>
      </c>
      <c r="U211" s="55" t="e">
        <f>R211*dagenperjaar1</f>
        <v>#DIV/0!</v>
      </c>
      <c r="V211" s="59" t="e">
        <f>U211*ROUND(Q211,2)</f>
        <v>#DIV/0!</v>
      </c>
    </row>
    <row r="212" spans="1:22" x14ac:dyDescent="0.2">
      <c r="A212" s="60" t="s">
        <v>582</v>
      </c>
      <c r="B212" s="61" t="s">
        <v>291</v>
      </c>
      <c r="C212" s="61" t="s">
        <v>292</v>
      </c>
      <c r="D212" s="61" t="s">
        <v>583</v>
      </c>
      <c r="E212" s="62" t="s">
        <v>584</v>
      </c>
      <c r="F212" s="61" t="s">
        <v>301</v>
      </c>
      <c r="G212" s="61" t="s">
        <v>254</v>
      </c>
      <c r="H212" s="61" t="s">
        <v>12</v>
      </c>
      <c r="I212" s="61" t="s">
        <v>200</v>
      </c>
      <c r="J212" s="61" t="s">
        <v>471</v>
      </c>
      <c r="K212" s="61" t="s">
        <v>291</v>
      </c>
      <c r="L212" s="63">
        <v>330.6</v>
      </c>
      <c r="M212" s="63">
        <f>L212*VLOOKUP(H212,dagsoorttabel1,2,FALSE)</f>
        <v>265.77647058823533</v>
      </c>
      <c r="N212" s="64">
        <f>prodnorm44</f>
        <v>0</v>
      </c>
      <c r="O212" s="65">
        <f>dagwerk44</f>
        <v>0</v>
      </c>
      <c r="P212" s="61" t="s">
        <v>41</v>
      </c>
      <c r="Q212" s="66">
        <f>uurtarief44</f>
        <v>0</v>
      </c>
      <c r="R212" s="63" t="e">
        <f>IF(ISBLANK(N212),0,M212/ROUND(N212,4))</f>
        <v>#DIV/0!</v>
      </c>
      <c r="S212" s="63" t="e">
        <f>IF(ISBLANK(N212),0,R212*ROUND(O212,2))</f>
        <v>#DIV/0!</v>
      </c>
      <c r="T212" s="66" t="e">
        <f>ROUND(Q212,2)*R212</f>
        <v>#DIV/0!</v>
      </c>
      <c r="U212" s="63" t="e">
        <f>R212*dagenperjaar1</f>
        <v>#DIV/0!</v>
      </c>
      <c r="V212" s="67" t="e">
        <f>U212*ROUND(Q212,2)</f>
        <v>#DIV/0!</v>
      </c>
    </row>
    <row r="213" spans="1:22" x14ac:dyDescent="0.2">
      <c r="A213" s="60" t="s">
        <v>582</v>
      </c>
      <c r="B213" s="61" t="s">
        <v>291</v>
      </c>
      <c r="C213" s="61" t="s">
        <v>292</v>
      </c>
      <c r="D213" s="61" t="s">
        <v>585</v>
      </c>
      <c r="E213" s="62" t="s">
        <v>586</v>
      </c>
      <c r="F213" s="61" t="s">
        <v>329</v>
      </c>
      <c r="G213" s="61" t="s">
        <v>256</v>
      </c>
      <c r="H213" s="61" t="s">
        <v>12</v>
      </c>
      <c r="I213" s="61" t="s">
        <v>200</v>
      </c>
      <c r="J213" s="61" t="s">
        <v>471</v>
      </c>
      <c r="K213" s="61" t="s">
        <v>291</v>
      </c>
      <c r="L213" s="63">
        <v>4</v>
      </c>
      <c r="M213" s="63">
        <f>L213*VLOOKUP(H213,dagsoorttabel1,2,FALSE)</f>
        <v>3.215686274509804</v>
      </c>
      <c r="N213" s="64">
        <f>prodnorm46</f>
        <v>0</v>
      </c>
      <c r="O213" s="65">
        <f>dagwerk46</f>
        <v>0</v>
      </c>
      <c r="P213" s="61" t="s">
        <v>41</v>
      </c>
      <c r="Q213" s="66">
        <f>uurtarief46</f>
        <v>0</v>
      </c>
      <c r="R213" s="63" t="e">
        <f>IF(ISBLANK(N213),0,M213/ROUND(N213,4))</f>
        <v>#DIV/0!</v>
      </c>
      <c r="S213" s="63" t="e">
        <f>IF(ISBLANK(N213),0,R213*ROUND(O213,2))</f>
        <v>#DIV/0!</v>
      </c>
      <c r="T213" s="66" t="e">
        <f>ROUND(Q213,2)*R213</f>
        <v>#DIV/0!</v>
      </c>
      <c r="U213" s="63" t="e">
        <f>R213*dagenperjaar1</f>
        <v>#DIV/0!</v>
      </c>
      <c r="V213" s="67" t="e">
        <f>U213*ROUND(Q213,2)</f>
        <v>#DIV/0!</v>
      </c>
    </row>
    <row r="214" spans="1:22" x14ac:dyDescent="0.2">
      <c r="A214" s="60" t="s">
        <v>582</v>
      </c>
      <c r="B214" s="61" t="s">
        <v>291</v>
      </c>
      <c r="C214" s="61" t="s">
        <v>292</v>
      </c>
      <c r="D214" s="61" t="s">
        <v>587</v>
      </c>
      <c r="E214" s="62" t="s">
        <v>588</v>
      </c>
      <c r="F214" s="61" t="s">
        <v>301</v>
      </c>
      <c r="G214" s="61" t="s">
        <v>254</v>
      </c>
      <c r="H214" s="61" t="s">
        <v>12</v>
      </c>
      <c r="I214" s="61" t="s">
        <v>200</v>
      </c>
      <c r="J214" s="61" t="s">
        <v>471</v>
      </c>
      <c r="K214" s="61" t="s">
        <v>291</v>
      </c>
      <c r="L214" s="63">
        <v>20.8</v>
      </c>
      <c r="M214" s="63">
        <f>L214*VLOOKUP(H214,dagsoorttabel1,2,FALSE)</f>
        <v>16.721568627450981</v>
      </c>
      <c r="N214" s="64">
        <f>prodnorm44</f>
        <v>0</v>
      </c>
      <c r="O214" s="65">
        <f>dagwerk44</f>
        <v>0</v>
      </c>
      <c r="P214" s="61" t="s">
        <v>41</v>
      </c>
      <c r="Q214" s="66">
        <f>uurtarief44</f>
        <v>0</v>
      </c>
      <c r="R214" s="63" t="e">
        <f>IF(ISBLANK(N214),0,M214/ROUND(N214,4))</f>
        <v>#DIV/0!</v>
      </c>
      <c r="S214" s="63" t="e">
        <f>IF(ISBLANK(N214),0,R214*ROUND(O214,2))</f>
        <v>#DIV/0!</v>
      </c>
      <c r="T214" s="66" t="e">
        <f>ROUND(Q214,2)*R214</f>
        <v>#DIV/0!</v>
      </c>
      <c r="U214" s="63" t="e">
        <f>R214*dagenperjaar1</f>
        <v>#DIV/0!</v>
      </c>
      <c r="V214" s="67" t="e">
        <f>U214*ROUND(Q214,2)</f>
        <v>#DIV/0!</v>
      </c>
    </row>
    <row r="215" spans="1:22" x14ac:dyDescent="0.2">
      <c r="A215" s="60" t="s">
        <v>582</v>
      </c>
      <c r="B215" s="61" t="s">
        <v>291</v>
      </c>
      <c r="C215" s="61" t="s">
        <v>292</v>
      </c>
      <c r="D215" s="61" t="s">
        <v>589</v>
      </c>
      <c r="E215" s="62" t="s">
        <v>588</v>
      </c>
      <c r="F215" s="61" t="s">
        <v>301</v>
      </c>
      <c r="G215" s="61" t="s">
        <v>254</v>
      </c>
      <c r="H215" s="61" t="s">
        <v>12</v>
      </c>
      <c r="I215" s="61" t="s">
        <v>200</v>
      </c>
      <c r="J215" s="61" t="s">
        <v>471</v>
      </c>
      <c r="K215" s="61" t="s">
        <v>291</v>
      </c>
      <c r="L215" s="63">
        <v>21.2</v>
      </c>
      <c r="M215" s="63">
        <f>L215*VLOOKUP(H215,dagsoorttabel1,2,FALSE)</f>
        <v>17.043137254901961</v>
      </c>
      <c r="N215" s="64">
        <f>prodnorm44</f>
        <v>0</v>
      </c>
      <c r="O215" s="65">
        <f>dagwerk44</f>
        <v>0</v>
      </c>
      <c r="P215" s="61" t="s">
        <v>41</v>
      </c>
      <c r="Q215" s="66">
        <f>uurtarief44</f>
        <v>0</v>
      </c>
      <c r="R215" s="63" t="e">
        <f>IF(ISBLANK(N215),0,M215/ROUND(N215,4))</f>
        <v>#DIV/0!</v>
      </c>
      <c r="S215" s="63" t="e">
        <f>IF(ISBLANK(N215),0,R215*ROUND(O215,2))</f>
        <v>#DIV/0!</v>
      </c>
      <c r="T215" s="66" t="e">
        <f>ROUND(Q215,2)*R215</f>
        <v>#DIV/0!</v>
      </c>
      <c r="U215" s="63" t="e">
        <f>R215*dagenperjaar1</f>
        <v>#DIV/0!</v>
      </c>
      <c r="V215" s="67" t="e">
        <f>U215*ROUND(Q215,2)</f>
        <v>#DIV/0!</v>
      </c>
    </row>
    <row r="216" spans="1:22" x14ac:dyDescent="0.2">
      <c r="A216" s="60" t="s">
        <v>582</v>
      </c>
      <c r="B216" s="61" t="s">
        <v>291</v>
      </c>
      <c r="C216" s="61" t="s">
        <v>292</v>
      </c>
      <c r="D216" s="61" t="s">
        <v>299</v>
      </c>
      <c r="E216" s="62" t="s">
        <v>590</v>
      </c>
      <c r="F216" s="61" t="s">
        <v>301</v>
      </c>
      <c r="G216" s="61" t="s">
        <v>264</v>
      </c>
      <c r="H216" s="61" t="s">
        <v>12</v>
      </c>
      <c r="I216" s="61" t="s">
        <v>200</v>
      </c>
      <c r="J216" s="61" t="s">
        <v>291</v>
      </c>
      <c r="K216" s="61" t="s">
        <v>291</v>
      </c>
      <c r="L216" s="63">
        <v>10</v>
      </c>
      <c r="M216" s="63">
        <f>L216*VLOOKUP(H216,dagsoorttabel1,2,FALSE)</f>
        <v>8.0392156862745097</v>
      </c>
      <c r="N216" s="64">
        <f>prodnorm52</f>
        <v>0</v>
      </c>
      <c r="O216" s="65">
        <f>dagwerk52</f>
        <v>0</v>
      </c>
      <c r="P216" s="61" t="s">
        <v>41</v>
      </c>
      <c r="Q216" s="66">
        <f>uurtarief52</f>
        <v>0</v>
      </c>
      <c r="R216" s="63" t="e">
        <f>IF(ISBLANK(N216),0,M216/ROUND(N216,4))</f>
        <v>#DIV/0!</v>
      </c>
      <c r="S216" s="63" t="e">
        <f>IF(ISBLANK(N216),0,R216*ROUND(O216,2))</f>
        <v>#DIV/0!</v>
      </c>
      <c r="T216" s="66" t="e">
        <f>ROUND(Q216,2)*R216</f>
        <v>#DIV/0!</v>
      </c>
      <c r="U216" s="63" t="e">
        <f>R216*dagenperjaar1</f>
        <v>#DIV/0!</v>
      </c>
      <c r="V216" s="67" t="e">
        <f>U216*ROUND(Q216,2)</f>
        <v>#DIV/0!</v>
      </c>
    </row>
    <row r="217" spans="1:22" x14ac:dyDescent="0.2">
      <c r="A217" s="60" t="s">
        <v>582</v>
      </c>
      <c r="B217" s="61" t="s">
        <v>291</v>
      </c>
      <c r="C217" s="61" t="s">
        <v>292</v>
      </c>
      <c r="D217" s="61" t="s">
        <v>474</v>
      </c>
      <c r="E217" s="62" t="s">
        <v>433</v>
      </c>
      <c r="F217" s="61" t="s">
        <v>301</v>
      </c>
      <c r="G217" s="61" t="s">
        <v>230</v>
      </c>
      <c r="H217" s="61" t="s">
        <v>19</v>
      </c>
      <c r="I217" s="61" t="s">
        <v>200</v>
      </c>
      <c r="J217" s="61" t="s">
        <v>291</v>
      </c>
      <c r="K217" s="61" t="s">
        <v>291</v>
      </c>
      <c r="L217" s="63">
        <v>15</v>
      </c>
      <c r="M217" s="63">
        <f>L217*VLOOKUP(H217,dagsoorttabel1,2,FALSE)</f>
        <v>2.4117647058823533</v>
      </c>
      <c r="N217" s="64">
        <f>prodnorm28</f>
        <v>0</v>
      </c>
      <c r="O217" s="65">
        <f>dagwerk28</f>
        <v>0</v>
      </c>
      <c r="P217" s="61" t="s">
        <v>41</v>
      </c>
      <c r="Q217" s="66">
        <f>uurtarief28</f>
        <v>0</v>
      </c>
      <c r="R217" s="63" t="e">
        <f>IF(ISBLANK(N217),0,M217/ROUND(N217,4))</f>
        <v>#DIV/0!</v>
      </c>
      <c r="S217" s="63" t="e">
        <f>IF(ISBLANK(N217),0,R217*ROUND(O217,2))</f>
        <v>#DIV/0!</v>
      </c>
      <c r="T217" s="66" t="e">
        <f>ROUND(Q217,2)*R217</f>
        <v>#DIV/0!</v>
      </c>
      <c r="U217" s="63" t="e">
        <f>R217*dagenperjaar1</f>
        <v>#DIV/0!</v>
      </c>
      <c r="V217" s="67" t="e">
        <f>U217*ROUND(Q217,2)</f>
        <v>#DIV/0!</v>
      </c>
    </row>
    <row r="218" spans="1:22" x14ac:dyDescent="0.2">
      <c r="A218" s="60" t="s">
        <v>582</v>
      </c>
      <c r="B218" s="61" t="s">
        <v>291</v>
      </c>
      <c r="C218" s="61" t="s">
        <v>292</v>
      </c>
      <c r="D218" s="61" t="s">
        <v>302</v>
      </c>
      <c r="E218" s="62" t="s">
        <v>591</v>
      </c>
      <c r="F218" s="61" t="s">
        <v>301</v>
      </c>
      <c r="G218" s="61" t="s">
        <v>254</v>
      </c>
      <c r="H218" s="61" t="s">
        <v>12</v>
      </c>
      <c r="I218" s="61" t="s">
        <v>200</v>
      </c>
      <c r="J218" s="61" t="s">
        <v>471</v>
      </c>
      <c r="K218" s="61" t="s">
        <v>291</v>
      </c>
      <c r="L218" s="63">
        <v>65.3</v>
      </c>
      <c r="M218" s="63">
        <f>L218*VLOOKUP(H218,dagsoorttabel1,2,FALSE)</f>
        <v>52.496078431372545</v>
      </c>
      <c r="N218" s="64">
        <f>prodnorm44</f>
        <v>0</v>
      </c>
      <c r="O218" s="65">
        <f>dagwerk44</f>
        <v>0</v>
      </c>
      <c r="P218" s="61" t="s">
        <v>41</v>
      </c>
      <c r="Q218" s="66">
        <f>uurtarief44</f>
        <v>0</v>
      </c>
      <c r="R218" s="63" t="e">
        <f>IF(ISBLANK(N218),0,M218/ROUND(N218,4))</f>
        <v>#DIV/0!</v>
      </c>
      <c r="S218" s="63" t="e">
        <f>IF(ISBLANK(N218),0,R218*ROUND(O218,2))</f>
        <v>#DIV/0!</v>
      </c>
      <c r="T218" s="66" t="e">
        <f>ROUND(Q218,2)*R218</f>
        <v>#DIV/0!</v>
      </c>
      <c r="U218" s="63" t="e">
        <f>R218*dagenperjaar1</f>
        <v>#DIV/0!</v>
      </c>
      <c r="V218" s="67" t="e">
        <f>U218*ROUND(Q218,2)</f>
        <v>#DIV/0!</v>
      </c>
    </row>
    <row r="219" spans="1:22" x14ac:dyDescent="0.2">
      <c r="A219" s="60" t="s">
        <v>582</v>
      </c>
      <c r="B219" s="61" t="s">
        <v>291</v>
      </c>
      <c r="C219" s="61" t="s">
        <v>292</v>
      </c>
      <c r="D219" s="61" t="s">
        <v>547</v>
      </c>
      <c r="E219" s="62" t="s">
        <v>592</v>
      </c>
      <c r="F219" s="61" t="s">
        <v>470</v>
      </c>
      <c r="G219" s="61" t="s">
        <v>248</v>
      </c>
      <c r="H219" s="61" t="s">
        <v>10</v>
      </c>
      <c r="I219" s="61" t="s">
        <v>200</v>
      </c>
      <c r="J219" s="61" t="s">
        <v>471</v>
      </c>
      <c r="K219" s="61" t="s">
        <v>291</v>
      </c>
      <c r="L219" s="63">
        <v>17</v>
      </c>
      <c r="M219" s="63">
        <f>L219*VLOOKUP(H219,dagsoorttabel1,2,FALSE)</f>
        <v>15</v>
      </c>
      <c r="N219" s="64">
        <f>prodnorm38</f>
        <v>0</v>
      </c>
      <c r="O219" s="65">
        <f>dagwerk38</f>
        <v>0</v>
      </c>
      <c r="P219" s="61" t="s">
        <v>41</v>
      </c>
      <c r="Q219" s="66">
        <f>uurtarief38</f>
        <v>0</v>
      </c>
      <c r="R219" s="63" t="e">
        <f>IF(ISBLANK(N219),0,M219/ROUND(N219,4))</f>
        <v>#DIV/0!</v>
      </c>
      <c r="S219" s="63" t="e">
        <f>IF(ISBLANK(N219),0,R219*ROUND(O219,2))</f>
        <v>#DIV/0!</v>
      </c>
      <c r="T219" s="66" t="e">
        <f>ROUND(Q219,2)*R219</f>
        <v>#DIV/0!</v>
      </c>
      <c r="U219" s="63" t="e">
        <f>R219*dagenperjaar1</f>
        <v>#DIV/0!</v>
      </c>
      <c r="V219" s="67" t="e">
        <f>U219*ROUND(Q219,2)</f>
        <v>#DIV/0!</v>
      </c>
    </row>
    <row r="220" spans="1:22" x14ac:dyDescent="0.2">
      <c r="A220" s="60" t="s">
        <v>582</v>
      </c>
      <c r="B220" s="61" t="s">
        <v>291</v>
      </c>
      <c r="C220" s="61" t="s">
        <v>292</v>
      </c>
      <c r="D220" s="61" t="s">
        <v>593</v>
      </c>
      <c r="E220" s="62" t="s">
        <v>594</v>
      </c>
      <c r="F220" s="61" t="s">
        <v>470</v>
      </c>
      <c r="G220" s="61" t="s">
        <v>246</v>
      </c>
      <c r="H220" s="61" t="s">
        <v>10</v>
      </c>
      <c r="I220" s="61" t="s">
        <v>200</v>
      </c>
      <c r="J220" s="61" t="s">
        <v>480</v>
      </c>
      <c r="K220" s="61" t="s">
        <v>291</v>
      </c>
      <c r="L220" s="63">
        <v>7.2</v>
      </c>
      <c r="M220" s="63">
        <f>L220*VLOOKUP(H220,dagsoorttabel1,2,FALSE)</f>
        <v>6.3529411764705879</v>
      </c>
      <c r="N220" s="64">
        <f>prodnorm36</f>
        <v>0</v>
      </c>
      <c r="O220" s="65">
        <f>dagwerk36</f>
        <v>0</v>
      </c>
      <c r="P220" s="61" t="s">
        <v>41</v>
      </c>
      <c r="Q220" s="66">
        <f>uurtarief36</f>
        <v>0</v>
      </c>
      <c r="R220" s="63" t="e">
        <f>IF(ISBLANK(N220),0,M220/ROUND(N220,4))</f>
        <v>#DIV/0!</v>
      </c>
      <c r="S220" s="63" t="e">
        <f>IF(ISBLANK(N220),0,R220*ROUND(O220,2))</f>
        <v>#DIV/0!</v>
      </c>
      <c r="T220" s="66" t="e">
        <f>ROUND(Q220,2)*R220</f>
        <v>#DIV/0!</v>
      </c>
      <c r="U220" s="63" t="e">
        <f>R220*dagenperjaar1</f>
        <v>#DIV/0!</v>
      </c>
      <c r="V220" s="67" t="e">
        <f>U220*ROUND(Q220,2)</f>
        <v>#DIV/0!</v>
      </c>
    </row>
    <row r="221" spans="1:22" x14ac:dyDescent="0.2">
      <c r="A221" s="60" t="s">
        <v>582</v>
      </c>
      <c r="B221" s="61" t="s">
        <v>291</v>
      </c>
      <c r="C221" s="61" t="s">
        <v>292</v>
      </c>
      <c r="D221" s="61" t="s">
        <v>595</v>
      </c>
      <c r="E221" s="62" t="s">
        <v>479</v>
      </c>
      <c r="F221" s="61" t="s">
        <v>470</v>
      </c>
      <c r="G221" s="61" t="s">
        <v>250</v>
      </c>
      <c r="H221" s="61" t="s">
        <v>10</v>
      </c>
      <c r="I221" s="61" t="s">
        <v>200</v>
      </c>
      <c r="J221" s="61" t="s">
        <v>480</v>
      </c>
      <c r="K221" s="61" t="s">
        <v>291</v>
      </c>
      <c r="L221" s="63">
        <v>1</v>
      </c>
      <c r="M221" s="63">
        <f>L221*VLOOKUP(H221,dagsoorttabel1,2,FALSE)</f>
        <v>0.88235294117647056</v>
      </c>
      <c r="N221" s="64">
        <f>prodnorm41</f>
        <v>0</v>
      </c>
      <c r="O221" s="65">
        <f>dagwerk41</f>
        <v>0</v>
      </c>
      <c r="P221" s="61" t="s">
        <v>41</v>
      </c>
      <c r="Q221" s="66">
        <f>uurtarief41</f>
        <v>0</v>
      </c>
      <c r="R221" s="63" t="e">
        <f>IF(ISBLANK(N221),0,M221/ROUND(N221,4))</f>
        <v>#DIV/0!</v>
      </c>
      <c r="S221" s="63" t="e">
        <f>IF(ISBLANK(N221),0,R221*ROUND(O221,2))</f>
        <v>#DIV/0!</v>
      </c>
      <c r="T221" s="66" t="e">
        <f>ROUND(Q221,2)*R221</f>
        <v>#DIV/0!</v>
      </c>
      <c r="U221" s="63" t="e">
        <f>R221*dagenperjaar1</f>
        <v>#DIV/0!</v>
      </c>
      <c r="V221" s="67" t="e">
        <f>U221*ROUND(Q221,2)</f>
        <v>#DIV/0!</v>
      </c>
    </row>
    <row r="222" spans="1:22" x14ac:dyDescent="0.2">
      <c r="A222" s="60" t="s">
        <v>582</v>
      </c>
      <c r="B222" s="61" t="s">
        <v>291</v>
      </c>
      <c r="C222" s="61" t="s">
        <v>292</v>
      </c>
      <c r="D222" s="61" t="s">
        <v>549</v>
      </c>
      <c r="E222" s="62" t="s">
        <v>592</v>
      </c>
      <c r="F222" s="61" t="s">
        <v>470</v>
      </c>
      <c r="G222" s="61" t="s">
        <v>248</v>
      </c>
      <c r="H222" s="61" t="s">
        <v>10</v>
      </c>
      <c r="I222" s="61" t="s">
        <v>200</v>
      </c>
      <c r="J222" s="61" t="s">
        <v>471</v>
      </c>
      <c r="K222" s="61" t="s">
        <v>291</v>
      </c>
      <c r="L222" s="63">
        <v>17</v>
      </c>
      <c r="M222" s="63">
        <f>L222*VLOOKUP(H222,dagsoorttabel1,2,FALSE)</f>
        <v>15</v>
      </c>
      <c r="N222" s="64">
        <f>prodnorm38</f>
        <v>0</v>
      </c>
      <c r="O222" s="65">
        <f>dagwerk38</f>
        <v>0</v>
      </c>
      <c r="P222" s="61" t="s">
        <v>41</v>
      </c>
      <c r="Q222" s="66">
        <f>uurtarief38</f>
        <v>0</v>
      </c>
      <c r="R222" s="63" t="e">
        <f>IF(ISBLANK(N222),0,M222/ROUND(N222,4))</f>
        <v>#DIV/0!</v>
      </c>
      <c r="S222" s="63" t="e">
        <f>IF(ISBLANK(N222),0,R222*ROUND(O222,2))</f>
        <v>#DIV/0!</v>
      </c>
      <c r="T222" s="66" t="e">
        <f>ROUND(Q222,2)*R222</f>
        <v>#DIV/0!</v>
      </c>
      <c r="U222" s="63" t="e">
        <f>R222*dagenperjaar1</f>
        <v>#DIV/0!</v>
      </c>
      <c r="V222" s="67" t="e">
        <f>U222*ROUND(Q222,2)</f>
        <v>#DIV/0!</v>
      </c>
    </row>
    <row r="223" spans="1:22" x14ac:dyDescent="0.2">
      <c r="A223" s="60" t="s">
        <v>582</v>
      </c>
      <c r="B223" s="61" t="s">
        <v>291</v>
      </c>
      <c r="C223" s="61" t="s">
        <v>292</v>
      </c>
      <c r="D223" s="61" t="s">
        <v>596</v>
      </c>
      <c r="E223" s="62" t="s">
        <v>594</v>
      </c>
      <c r="F223" s="61" t="s">
        <v>470</v>
      </c>
      <c r="G223" s="61" t="s">
        <v>246</v>
      </c>
      <c r="H223" s="61" t="s">
        <v>10</v>
      </c>
      <c r="I223" s="61" t="s">
        <v>200</v>
      </c>
      <c r="J223" s="61" t="s">
        <v>480</v>
      </c>
      <c r="K223" s="61" t="s">
        <v>291</v>
      </c>
      <c r="L223" s="63">
        <v>7.2</v>
      </c>
      <c r="M223" s="63">
        <f>L223*VLOOKUP(H223,dagsoorttabel1,2,FALSE)</f>
        <v>6.3529411764705879</v>
      </c>
      <c r="N223" s="64">
        <f>prodnorm36</f>
        <v>0</v>
      </c>
      <c r="O223" s="65">
        <f>dagwerk36</f>
        <v>0</v>
      </c>
      <c r="P223" s="61" t="s">
        <v>41</v>
      </c>
      <c r="Q223" s="66">
        <f>uurtarief36</f>
        <v>0</v>
      </c>
      <c r="R223" s="63" t="e">
        <f>IF(ISBLANK(N223),0,M223/ROUND(N223,4))</f>
        <v>#DIV/0!</v>
      </c>
      <c r="S223" s="63" t="e">
        <f>IF(ISBLANK(N223),0,R223*ROUND(O223,2))</f>
        <v>#DIV/0!</v>
      </c>
      <c r="T223" s="66" t="e">
        <f>ROUND(Q223,2)*R223</f>
        <v>#DIV/0!</v>
      </c>
      <c r="U223" s="63" t="e">
        <f>R223*dagenperjaar1</f>
        <v>#DIV/0!</v>
      </c>
      <c r="V223" s="67" t="e">
        <f>U223*ROUND(Q223,2)</f>
        <v>#DIV/0!</v>
      </c>
    </row>
    <row r="224" spans="1:22" x14ac:dyDescent="0.2">
      <c r="A224" s="60" t="s">
        <v>582</v>
      </c>
      <c r="B224" s="61" t="s">
        <v>291</v>
      </c>
      <c r="C224" s="61" t="s">
        <v>292</v>
      </c>
      <c r="D224" s="61" t="s">
        <v>597</v>
      </c>
      <c r="E224" s="62" t="s">
        <v>479</v>
      </c>
      <c r="F224" s="61" t="s">
        <v>470</v>
      </c>
      <c r="G224" s="61" t="s">
        <v>250</v>
      </c>
      <c r="H224" s="61" t="s">
        <v>10</v>
      </c>
      <c r="I224" s="61" t="s">
        <v>200</v>
      </c>
      <c r="J224" s="61" t="s">
        <v>480</v>
      </c>
      <c r="K224" s="61" t="s">
        <v>291</v>
      </c>
      <c r="L224" s="63">
        <v>1</v>
      </c>
      <c r="M224" s="63">
        <f>L224*VLOOKUP(H224,dagsoorttabel1,2,FALSE)</f>
        <v>0.88235294117647056</v>
      </c>
      <c r="N224" s="64">
        <f>prodnorm41</f>
        <v>0</v>
      </c>
      <c r="O224" s="65">
        <f>dagwerk41</f>
        <v>0</v>
      </c>
      <c r="P224" s="61" t="s">
        <v>41</v>
      </c>
      <c r="Q224" s="66">
        <f>uurtarief41</f>
        <v>0</v>
      </c>
      <c r="R224" s="63" t="e">
        <f>IF(ISBLANK(N224),0,M224/ROUND(N224,4))</f>
        <v>#DIV/0!</v>
      </c>
      <c r="S224" s="63" t="e">
        <f>IF(ISBLANK(N224),0,R224*ROUND(O224,2))</f>
        <v>#DIV/0!</v>
      </c>
      <c r="T224" s="66" t="e">
        <f>ROUND(Q224,2)*R224</f>
        <v>#DIV/0!</v>
      </c>
      <c r="U224" s="63" t="e">
        <f>R224*dagenperjaar1</f>
        <v>#DIV/0!</v>
      </c>
      <c r="V224" s="67" t="e">
        <f>U224*ROUND(Q224,2)</f>
        <v>#DIV/0!</v>
      </c>
    </row>
    <row r="225" spans="1:22" x14ac:dyDescent="0.2">
      <c r="A225" s="60" t="s">
        <v>582</v>
      </c>
      <c r="B225" s="61" t="s">
        <v>291</v>
      </c>
      <c r="C225" s="61" t="s">
        <v>292</v>
      </c>
      <c r="D225" s="61" t="s">
        <v>304</v>
      </c>
      <c r="E225" s="62" t="s">
        <v>598</v>
      </c>
      <c r="F225" s="61" t="s">
        <v>301</v>
      </c>
      <c r="G225" s="61" t="s">
        <v>268</v>
      </c>
      <c r="H225" s="61" t="s">
        <v>19</v>
      </c>
      <c r="I225" s="61" t="s">
        <v>200</v>
      </c>
      <c r="J225" s="61" t="s">
        <v>471</v>
      </c>
      <c r="K225" s="61" t="s">
        <v>291</v>
      </c>
      <c r="L225" s="63">
        <v>11.2</v>
      </c>
      <c r="M225" s="63">
        <f>L225*VLOOKUP(H225,dagsoorttabel1,2,FALSE)</f>
        <v>1.8007843137254902</v>
      </c>
      <c r="N225" s="64">
        <f>prodnorm55</f>
        <v>0</v>
      </c>
      <c r="O225" s="65">
        <f>dagwerk55</f>
        <v>0</v>
      </c>
      <c r="P225" s="61" t="s">
        <v>41</v>
      </c>
      <c r="Q225" s="66">
        <f>uurtarief55</f>
        <v>0</v>
      </c>
      <c r="R225" s="63" t="e">
        <f>IF(ISBLANK(N225),0,M225/ROUND(N225,4))</f>
        <v>#DIV/0!</v>
      </c>
      <c r="S225" s="63" t="e">
        <f>IF(ISBLANK(N225),0,R225*ROUND(O225,2))</f>
        <v>#DIV/0!</v>
      </c>
      <c r="T225" s="66" t="e">
        <f>ROUND(Q225,2)*R225</f>
        <v>#DIV/0!</v>
      </c>
      <c r="U225" s="63" t="e">
        <f>R225*dagenperjaar1</f>
        <v>#DIV/0!</v>
      </c>
      <c r="V225" s="67" t="e">
        <f>U225*ROUND(Q225,2)</f>
        <v>#DIV/0!</v>
      </c>
    </row>
    <row r="226" spans="1:22" x14ac:dyDescent="0.2">
      <c r="A226" s="60" t="s">
        <v>582</v>
      </c>
      <c r="B226" s="61" t="s">
        <v>291</v>
      </c>
      <c r="C226" s="61" t="s">
        <v>292</v>
      </c>
      <c r="D226" s="61" t="s">
        <v>307</v>
      </c>
      <c r="E226" s="62" t="s">
        <v>599</v>
      </c>
      <c r="F226" s="61" t="s">
        <v>329</v>
      </c>
      <c r="G226" s="61" t="s">
        <v>256</v>
      </c>
      <c r="H226" s="61" t="s">
        <v>10</v>
      </c>
      <c r="I226" s="61" t="s">
        <v>200</v>
      </c>
      <c r="J226" s="61" t="s">
        <v>471</v>
      </c>
      <c r="K226" s="61" t="s">
        <v>291</v>
      </c>
      <c r="L226" s="63">
        <v>4.5</v>
      </c>
      <c r="M226" s="63">
        <f>L226*VLOOKUP(H226,dagsoorttabel1,2,FALSE)</f>
        <v>3.9705882352941178</v>
      </c>
      <c r="N226" s="64">
        <f>prodnorm47</f>
        <v>0</v>
      </c>
      <c r="O226" s="65">
        <f>dagwerk47</f>
        <v>0</v>
      </c>
      <c r="P226" s="61" t="s">
        <v>41</v>
      </c>
      <c r="Q226" s="66">
        <f>uurtarief47</f>
        <v>0</v>
      </c>
      <c r="R226" s="63" t="e">
        <f>IF(ISBLANK(N226),0,M226/ROUND(N226,4))</f>
        <v>#DIV/0!</v>
      </c>
      <c r="S226" s="63" t="e">
        <f>IF(ISBLANK(N226),0,R226*ROUND(O226,2))</f>
        <v>#DIV/0!</v>
      </c>
      <c r="T226" s="66" t="e">
        <f>ROUND(Q226,2)*R226</f>
        <v>#DIV/0!</v>
      </c>
      <c r="U226" s="63" t="e">
        <f>R226*dagenperjaar1</f>
        <v>#DIV/0!</v>
      </c>
      <c r="V226" s="67" t="e">
        <f>U226*ROUND(Q226,2)</f>
        <v>#DIV/0!</v>
      </c>
    </row>
    <row r="227" spans="1:22" x14ac:dyDescent="0.2">
      <c r="A227" s="60" t="s">
        <v>582</v>
      </c>
      <c r="B227" s="61" t="s">
        <v>291</v>
      </c>
      <c r="C227" s="61" t="s">
        <v>292</v>
      </c>
      <c r="D227" s="61" t="s">
        <v>309</v>
      </c>
      <c r="E227" s="62" t="s">
        <v>600</v>
      </c>
      <c r="F227" s="61" t="s">
        <v>353</v>
      </c>
      <c r="G227" s="61" t="s">
        <v>270</v>
      </c>
      <c r="H227" s="61" t="s">
        <v>24</v>
      </c>
      <c r="I227" s="61" t="s">
        <v>271</v>
      </c>
      <c r="J227" s="61" t="s">
        <v>471</v>
      </c>
      <c r="K227" s="61" t="s">
        <v>291</v>
      </c>
      <c r="L227" s="63">
        <v>418</v>
      </c>
      <c r="M227" s="63">
        <f>L227*VLOOKUP(H227,dagsoorttabel1,2,FALSE)</f>
        <v>4.9176470588235297</v>
      </c>
      <c r="N227" s="64">
        <f>prodnorm1</f>
        <v>0</v>
      </c>
      <c r="O227" s="65">
        <f>dagwerk1</f>
        <v>0</v>
      </c>
      <c r="P227" s="61" t="s">
        <v>41</v>
      </c>
      <c r="Q227" s="66">
        <f>uurtarief1</f>
        <v>0</v>
      </c>
      <c r="R227" s="63" t="e">
        <f>IF(ISBLANK(N227),0,M227/ROUND(N227,4))</f>
        <v>#DIV/0!</v>
      </c>
      <c r="S227" s="63" t="e">
        <f>IF(ISBLANK(N227),0,R227*ROUND(O227,2))</f>
        <v>#DIV/0!</v>
      </c>
      <c r="T227" s="66" t="e">
        <f>ROUND(Q227,2)*R227</f>
        <v>#DIV/0!</v>
      </c>
      <c r="U227" s="63" t="e">
        <f>R227*dagenperjaar1</f>
        <v>#DIV/0!</v>
      </c>
      <c r="V227" s="67" t="e">
        <f>U227*ROUND(Q227,2)</f>
        <v>#DIV/0!</v>
      </c>
    </row>
    <row r="228" spans="1:22" x14ac:dyDescent="0.2">
      <c r="A228" s="60" t="s">
        <v>582</v>
      </c>
      <c r="B228" s="61" t="s">
        <v>291</v>
      </c>
      <c r="C228" s="61" t="s">
        <v>292</v>
      </c>
      <c r="D228" s="61" t="s">
        <v>309</v>
      </c>
      <c r="E228" s="62" t="s">
        <v>600</v>
      </c>
      <c r="F228" s="61" t="s">
        <v>353</v>
      </c>
      <c r="G228" s="61" t="s">
        <v>204</v>
      </c>
      <c r="H228" s="61" t="s">
        <v>18</v>
      </c>
      <c r="I228" s="61" t="s">
        <v>200</v>
      </c>
      <c r="J228" s="61" t="s">
        <v>471</v>
      </c>
      <c r="K228" s="61" t="s">
        <v>291</v>
      </c>
      <c r="L228" s="63">
        <v>418</v>
      </c>
      <c r="M228" s="63">
        <f>L228*VLOOKUP(H228,dagsoorttabel1,2,FALSE)</f>
        <v>73.764705882352942</v>
      </c>
      <c r="N228" s="64">
        <f>prodnorm9</f>
        <v>0</v>
      </c>
      <c r="O228" s="65">
        <f>dagwerk9</f>
        <v>0</v>
      </c>
      <c r="P228" s="61" t="s">
        <v>41</v>
      </c>
      <c r="Q228" s="66">
        <f>uurtarief9</f>
        <v>0</v>
      </c>
      <c r="R228" s="63" t="e">
        <f>IF(ISBLANK(N228),0,M228/ROUND(N228,4))</f>
        <v>#DIV/0!</v>
      </c>
      <c r="S228" s="63" t="e">
        <f>IF(ISBLANK(N228),0,R228*ROUND(O228,2))</f>
        <v>#DIV/0!</v>
      </c>
      <c r="T228" s="66" t="e">
        <f>ROUND(Q228,2)*R228</f>
        <v>#DIV/0!</v>
      </c>
      <c r="U228" s="63" t="e">
        <f>R228*dagenperjaar1</f>
        <v>#DIV/0!</v>
      </c>
      <c r="V228" s="67" t="e">
        <f>U228*ROUND(Q228,2)</f>
        <v>#DIV/0!</v>
      </c>
    </row>
    <row r="229" spans="1:22" x14ac:dyDescent="0.2">
      <c r="A229" s="60" t="s">
        <v>582</v>
      </c>
      <c r="B229" s="61" t="s">
        <v>291</v>
      </c>
      <c r="C229" s="61" t="s">
        <v>292</v>
      </c>
      <c r="D229" s="61" t="s">
        <v>311</v>
      </c>
      <c r="E229" s="62" t="s">
        <v>601</v>
      </c>
      <c r="F229" s="61" t="s">
        <v>353</v>
      </c>
      <c r="G229" s="61" t="s">
        <v>270</v>
      </c>
      <c r="H229" s="61" t="s">
        <v>24</v>
      </c>
      <c r="I229" s="61" t="s">
        <v>271</v>
      </c>
      <c r="J229" s="61" t="s">
        <v>471</v>
      </c>
      <c r="K229" s="61" t="s">
        <v>291</v>
      </c>
      <c r="L229" s="63">
        <v>370</v>
      </c>
      <c r="M229" s="63">
        <f>L229*VLOOKUP(H229,dagsoorttabel1,2,FALSE)</f>
        <v>4.3529411764705879</v>
      </c>
      <c r="N229" s="64">
        <f>prodnorm1</f>
        <v>0</v>
      </c>
      <c r="O229" s="65">
        <f>dagwerk1</f>
        <v>0</v>
      </c>
      <c r="P229" s="61" t="s">
        <v>41</v>
      </c>
      <c r="Q229" s="66">
        <f>uurtarief1</f>
        <v>0</v>
      </c>
      <c r="R229" s="63" t="e">
        <f>IF(ISBLANK(N229),0,M229/ROUND(N229,4))</f>
        <v>#DIV/0!</v>
      </c>
      <c r="S229" s="63" t="e">
        <f>IF(ISBLANK(N229),0,R229*ROUND(O229,2))</f>
        <v>#DIV/0!</v>
      </c>
      <c r="T229" s="66" t="e">
        <f>ROUND(Q229,2)*R229</f>
        <v>#DIV/0!</v>
      </c>
      <c r="U229" s="63" t="e">
        <f>R229*dagenperjaar1</f>
        <v>#DIV/0!</v>
      </c>
      <c r="V229" s="67" t="e">
        <f>U229*ROUND(Q229,2)</f>
        <v>#DIV/0!</v>
      </c>
    </row>
    <row r="230" spans="1:22" x14ac:dyDescent="0.2">
      <c r="A230" s="60" t="s">
        <v>582</v>
      </c>
      <c r="B230" s="61" t="s">
        <v>291</v>
      </c>
      <c r="C230" s="61" t="s">
        <v>292</v>
      </c>
      <c r="D230" s="61" t="s">
        <v>311</v>
      </c>
      <c r="E230" s="62" t="s">
        <v>601</v>
      </c>
      <c r="F230" s="61" t="s">
        <v>353</v>
      </c>
      <c r="G230" s="61" t="s">
        <v>204</v>
      </c>
      <c r="H230" s="61" t="s">
        <v>18</v>
      </c>
      <c r="I230" s="61" t="s">
        <v>200</v>
      </c>
      <c r="J230" s="61" t="s">
        <v>471</v>
      </c>
      <c r="K230" s="61" t="s">
        <v>291</v>
      </c>
      <c r="L230" s="63">
        <v>370</v>
      </c>
      <c r="M230" s="63">
        <f>L230*VLOOKUP(H230,dagsoorttabel1,2,FALSE)</f>
        <v>65.294117647058826</v>
      </c>
      <c r="N230" s="64">
        <f>prodnorm9</f>
        <v>0</v>
      </c>
      <c r="O230" s="65">
        <f>dagwerk9</f>
        <v>0</v>
      </c>
      <c r="P230" s="61" t="s">
        <v>41</v>
      </c>
      <c r="Q230" s="66">
        <f>uurtarief9</f>
        <v>0</v>
      </c>
      <c r="R230" s="63" t="e">
        <f>IF(ISBLANK(N230),0,M230/ROUND(N230,4))</f>
        <v>#DIV/0!</v>
      </c>
      <c r="S230" s="63" t="e">
        <f>IF(ISBLANK(N230),0,R230*ROUND(O230,2))</f>
        <v>#DIV/0!</v>
      </c>
      <c r="T230" s="66" t="e">
        <f>ROUND(Q230,2)*R230</f>
        <v>#DIV/0!</v>
      </c>
      <c r="U230" s="63" t="e">
        <f>R230*dagenperjaar1</f>
        <v>#DIV/0!</v>
      </c>
      <c r="V230" s="67" t="e">
        <f>U230*ROUND(Q230,2)</f>
        <v>#DIV/0!</v>
      </c>
    </row>
    <row r="231" spans="1:22" x14ac:dyDescent="0.2">
      <c r="A231" s="60" t="s">
        <v>582</v>
      </c>
      <c r="B231" s="61" t="s">
        <v>291</v>
      </c>
      <c r="C231" s="61" t="s">
        <v>292</v>
      </c>
      <c r="D231" s="61" t="s">
        <v>314</v>
      </c>
      <c r="E231" s="62" t="s">
        <v>602</v>
      </c>
      <c r="F231" s="61" t="s">
        <v>353</v>
      </c>
      <c r="G231" s="61" t="s">
        <v>270</v>
      </c>
      <c r="H231" s="61" t="s">
        <v>24</v>
      </c>
      <c r="I231" s="61" t="s">
        <v>271</v>
      </c>
      <c r="J231" s="61" t="s">
        <v>471</v>
      </c>
      <c r="K231" s="61" t="s">
        <v>291</v>
      </c>
      <c r="L231" s="63">
        <v>419</v>
      </c>
      <c r="M231" s="63">
        <f>L231*VLOOKUP(H231,dagsoorttabel1,2,FALSE)</f>
        <v>4.9294117647058826</v>
      </c>
      <c r="N231" s="64">
        <f>prodnorm1</f>
        <v>0</v>
      </c>
      <c r="O231" s="65">
        <f>dagwerk1</f>
        <v>0</v>
      </c>
      <c r="P231" s="61" t="s">
        <v>41</v>
      </c>
      <c r="Q231" s="66">
        <f>uurtarief1</f>
        <v>0</v>
      </c>
      <c r="R231" s="63" t="e">
        <f>IF(ISBLANK(N231),0,M231/ROUND(N231,4))</f>
        <v>#DIV/0!</v>
      </c>
      <c r="S231" s="63" t="e">
        <f>IF(ISBLANK(N231),0,R231*ROUND(O231,2))</f>
        <v>#DIV/0!</v>
      </c>
      <c r="T231" s="66" t="e">
        <f>ROUND(Q231,2)*R231</f>
        <v>#DIV/0!</v>
      </c>
      <c r="U231" s="63" t="e">
        <f>R231*dagenperjaar1</f>
        <v>#DIV/0!</v>
      </c>
      <c r="V231" s="67" t="e">
        <f>U231*ROUND(Q231,2)</f>
        <v>#DIV/0!</v>
      </c>
    </row>
    <row r="232" spans="1:22" x14ac:dyDescent="0.2">
      <c r="A232" s="60" t="s">
        <v>582</v>
      </c>
      <c r="B232" s="61" t="s">
        <v>291</v>
      </c>
      <c r="C232" s="61" t="s">
        <v>292</v>
      </c>
      <c r="D232" s="61" t="s">
        <v>314</v>
      </c>
      <c r="E232" s="62" t="s">
        <v>602</v>
      </c>
      <c r="F232" s="61" t="s">
        <v>353</v>
      </c>
      <c r="G232" s="61" t="s">
        <v>204</v>
      </c>
      <c r="H232" s="61" t="s">
        <v>18</v>
      </c>
      <c r="I232" s="61" t="s">
        <v>200</v>
      </c>
      <c r="J232" s="61" t="s">
        <v>471</v>
      </c>
      <c r="K232" s="61" t="s">
        <v>291</v>
      </c>
      <c r="L232" s="63">
        <v>419</v>
      </c>
      <c r="M232" s="63">
        <f>L232*VLOOKUP(H232,dagsoorttabel1,2,FALSE)</f>
        <v>73.941176470588246</v>
      </c>
      <c r="N232" s="64">
        <f>prodnorm9</f>
        <v>0</v>
      </c>
      <c r="O232" s="65">
        <f>dagwerk9</f>
        <v>0</v>
      </c>
      <c r="P232" s="61" t="s">
        <v>41</v>
      </c>
      <c r="Q232" s="66">
        <f>uurtarief9</f>
        <v>0</v>
      </c>
      <c r="R232" s="63" t="e">
        <f>IF(ISBLANK(N232),0,M232/ROUND(N232,4))</f>
        <v>#DIV/0!</v>
      </c>
      <c r="S232" s="63" t="e">
        <f>IF(ISBLANK(N232),0,R232*ROUND(O232,2))</f>
        <v>#DIV/0!</v>
      </c>
      <c r="T232" s="66" t="e">
        <f>ROUND(Q232,2)*R232</f>
        <v>#DIV/0!</v>
      </c>
      <c r="U232" s="63" t="e">
        <f>R232*dagenperjaar1</f>
        <v>#DIV/0!</v>
      </c>
      <c r="V232" s="67" t="e">
        <f>U232*ROUND(Q232,2)</f>
        <v>#DIV/0!</v>
      </c>
    </row>
    <row r="233" spans="1:22" x14ac:dyDescent="0.2">
      <c r="A233" s="60" t="s">
        <v>582</v>
      </c>
      <c r="B233" s="61" t="s">
        <v>291</v>
      </c>
      <c r="C233" s="61" t="s">
        <v>292</v>
      </c>
      <c r="D233" s="61" t="s">
        <v>317</v>
      </c>
      <c r="E233" s="62" t="s">
        <v>603</v>
      </c>
      <c r="F233" s="61" t="s">
        <v>353</v>
      </c>
      <c r="G233" s="61" t="s">
        <v>204</v>
      </c>
      <c r="H233" s="61" t="s">
        <v>19</v>
      </c>
      <c r="I233" s="61" t="s">
        <v>200</v>
      </c>
      <c r="J233" s="61" t="s">
        <v>471</v>
      </c>
      <c r="K233" s="61" t="s">
        <v>291</v>
      </c>
      <c r="L233" s="63">
        <v>140</v>
      </c>
      <c r="M233" s="63">
        <f>L233*VLOOKUP(H233,dagsoorttabel1,2,FALSE)</f>
        <v>22.509803921568629</v>
      </c>
      <c r="N233" s="64">
        <f>prodnorm8</f>
        <v>0</v>
      </c>
      <c r="O233" s="65">
        <f>dagwerk8</f>
        <v>0</v>
      </c>
      <c r="P233" s="61" t="s">
        <v>41</v>
      </c>
      <c r="Q233" s="66">
        <f>uurtarief8</f>
        <v>0</v>
      </c>
      <c r="R233" s="63" t="e">
        <f>IF(ISBLANK(N233),0,M233/ROUND(N233,4))</f>
        <v>#DIV/0!</v>
      </c>
      <c r="S233" s="63" t="e">
        <f>IF(ISBLANK(N233),0,R233*ROUND(O233,2))</f>
        <v>#DIV/0!</v>
      </c>
      <c r="T233" s="66" t="e">
        <f>ROUND(Q233,2)*R233</f>
        <v>#DIV/0!</v>
      </c>
      <c r="U233" s="63" t="e">
        <f>R233*dagenperjaar1</f>
        <v>#DIV/0!</v>
      </c>
      <c r="V233" s="67" t="e">
        <f>U233*ROUND(Q233,2)</f>
        <v>#DIV/0!</v>
      </c>
    </row>
    <row r="234" spans="1:22" x14ac:dyDescent="0.2">
      <c r="A234" s="60" t="s">
        <v>582</v>
      </c>
      <c r="B234" s="61" t="s">
        <v>291</v>
      </c>
      <c r="C234" s="61" t="s">
        <v>292</v>
      </c>
      <c r="D234" s="61" t="s">
        <v>319</v>
      </c>
      <c r="E234" s="62" t="s">
        <v>604</v>
      </c>
      <c r="F234" s="61" t="s">
        <v>301</v>
      </c>
      <c r="G234" s="61" t="s">
        <v>254</v>
      </c>
      <c r="H234" s="61" t="s">
        <v>19</v>
      </c>
      <c r="I234" s="61" t="s">
        <v>200</v>
      </c>
      <c r="J234" s="61" t="s">
        <v>471</v>
      </c>
      <c r="K234" s="61" t="s">
        <v>291</v>
      </c>
      <c r="L234" s="63">
        <v>13.8</v>
      </c>
      <c r="M234" s="63">
        <f>L234*VLOOKUP(H234,dagsoorttabel1,2,FALSE)</f>
        <v>2.2188235294117651</v>
      </c>
      <c r="N234" s="64">
        <f>prodnorm45</f>
        <v>0</v>
      </c>
      <c r="O234" s="65">
        <f>dagwerk45</f>
        <v>0</v>
      </c>
      <c r="P234" s="61" t="s">
        <v>41</v>
      </c>
      <c r="Q234" s="66">
        <f>uurtarief45</f>
        <v>0</v>
      </c>
      <c r="R234" s="63" t="e">
        <f>IF(ISBLANK(N234),0,M234/ROUND(N234,4))</f>
        <v>#DIV/0!</v>
      </c>
      <c r="S234" s="63" t="e">
        <f>IF(ISBLANK(N234),0,R234*ROUND(O234,2))</f>
        <v>#DIV/0!</v>
      </c>
      <c r="T234" s="66" t="e">
        <f>ROUND(Q234,2)*R234</f>
        <v>#DIV/0!</v>
      </c>
      <c r="U234" s="63" t="e">
        <f>R234*dagenperjaar1</f>
        <v>#DIV/0!</v>
      </c>
      <c r="V234" s="67" t="e">
        <f>U234*ROUND(Q234,2)</f>
        <v>#DIV/0!</v>
      </c>
    </row>
    <row r="235" spans="1:22" x14ac:dyDescent="0.2">
      <c r="A235" s="60" t="s">
        <v>582</v>
      </c>
      <c r="B235" s="61" t="s">
        <v>291</v>
      </c>
      <c r="C235" s="61" t="s">
        <v>292</v>
      </c>
      <c r="D235" s="61" t="s">
        <v>322</v>
      </c>
      <c r="E235" s="62" t="s">
        <v>598</v>
      </c>
      <c r="F235" s="61" t="s">
        <v>532</v>
      </c>
      <c r="G235" s="61" t="s">
        <v>268</v>
      </c>
      <c r="H235" s="61" t="s">
        <v>19</v>
      </c>
      <c r="I235" s="61" t="s">
        <v>200</v>
      </c>
      <c r="J235" s="61" t="s">
        <v>471</v>
      </c>
      <c r="K235" s="61" t="s">
        <v>291</v>
      </c>
      <c r="L235" s="63">
        <v>4.8</v>
      </c>
      <c r="M235" s="63">
        <f>L235*VLOOKUP(H235,dagsoorttabel1,2,FALSE)</f>
        <v>0.77176470588235302</v>
      </c>
      <c r="N235" s="64">
        <f>prodnorm55</f>
        <v>0</v>
      </c>
      <c r="O235" s="65">
        <f>dagwerk55</f>
        <v>0</v>
      </c>
      <c r="P235" s="61" t="s">
        <v>41</v>
      </c>
      <c r="Q235" s="66">
        <f>uurtarief55</f>
        <v>0</v>
      </c>
      <c r="R235" s="63" t="e">
        <f>IF(ISBLANK(N235),0,M235/ROUND(N235,4))</f>
        <v>#DIV/0!</v>
      </c>
      <c r="S235" s="63" t="e">
        <f>IF(ISBLANK(N235),0,R235*ROUND(O235,2))</f>
        <v>#DIV/0!</v>
      </c>
      <c r="T235" s="66" t="e">
        <f>ROUND(Q235,2)*R235</f>
        <v>#DIV/0!</v>
      </c>
      <c r="U235" s="63" t="e">
        <f>R235*dagenperjaar1</f>
        <v>#DIV/0!</v>
      </c>
      <c r="V235" s="67" t="e">
        <f>U235*ROUND(Q235,2)</f>
        <v>#DIV/0!</v>
      </c>
    </row>
    <row r="236" spans="1:22" x14ac:dyDescent="0.2">
      <c r="A236" s="60" t="s">
        <v>582</v>
      </c>
      <c r="B236" s="61" t="s">
        <v>291</v>
      </c>
      <c r="C236" s="61" t="s">
        <v>292</v>
      </c>
      <c r="D236" s="61" t="s">
        <v>605</v>
      </c>
      <c r="E236" s="62" t="s">
        <v>606</v>
      </c>
      <c r="F236" s="61" t="s">
        <v>532</v>
      </c>
      <c r="G236" s="61" t="s">
        <v>268</v>
      </c>
      <c r="H236" s="61" t="s">
        <v>19</v>
      </c>
      <c r="I236" s="61" t="s">
        <v>200</v>
      </c>
      <c r="J236" s="61" t="s">
        <v>471</v>
      </c>
      <c r="K236" s="61" t="s">
        <v>291</v>
      </c>
      <c r="L236" s="63">
        <v>3</v>
      </c>
      <c r="M236" s="63">
        <f>L236*VLOOKUP(H236,dagsoorttabel1,2,FALSE)</f>
        <v>0.48235294117647065</v>
      </c>
      <c r="N236" s="64">
        <f>prodnorm55</f>
        <v>0</v>
      </c>
      <c r="O236" s="65">
        <f>dagwerk55</f>
        <v>0</v>
      </c>
      <c r="P236" s="61" t="s">
        <v>41</v>
      </c>
      <c r="Q236" s="66">
        <f>uurtarief55</f>
        <v>0</v>
      </c>
      <c r="R236" s="63" t="e">
        <f>IF(ISBLANK(N236),0,M236/ROUND(N236,4))</f>
        <v>#DIV/0!</v>
      </c>
      <c r="S236" s="63" t="e">
        <f>IF(ISBLANK(N236),0,R236*ROUND(O236,2))</f>
        <v>#DIV/0!</v>
      </c>
      <c r="T236" s="66" t="e">
        <f>ROUND(Q236,2)*R236</f>
        <v>#DIV/0!</v>
      </c>
      <c r="U236" s="63" t="e">
        <f>R236*dagenperjaar1</f>
        <v>#DIV/0!</v>
      </c>
      <c r="V236" s="67" t="e">
        <f>U236*ROUND(Q236,2)</f>
        <v>#DIV/0!</v>
      </c>
    </row>
    <row r="237" spans="1:22" x14ac:dyDescent="0.2">
      <c r="A237" s="60" t="s">
        <v>582</v>
      </c>
      <c r="B237" s="61" t="s">
        <v>291</v>
      </c>
      <c r="C237" s="61" t="s">
        <v>292</v>
      </c>
      <c r="D237" s="61" t="s">
        <v>487</v>
      </c>
      <c r="E237" s="62" t="s">
        <v>592</v>
      </c>
      <c r="F237" s="61" t="s">
        <v>470</v>
      </c>
      <c r="G237" s="61" t="s">
        <v>248</v>
      </c>
      <c r="H237" s="61" t="s">
        <v>10</v>
      </c>
      <c r="I237" s="61" t="s">
        <v>200</v>
      </c>
      <c r="J237" s="61" t="s">
        <v>471</v>
      </c>
      <c r="K237" s="61" t="s">
        <v>291</v>
      </c>
      <c r="L237" s="63">
        <v>17</v>
      </c>
      <c r="M237" s="63">
        <f>L237*VLOOKUP(H237,dagsoorttabel1,2,FALSE)</f>
        <v>15</v>
      </c>
      <c r="N237" s="64">
        <f>prodnorm38</f>
        <v>0</v>
      </c>
      <c r="O237" s="65">
        <f>dagwerk38</f>
        <v>0</v>
      </c>
      <c r="P237" s="61" t="s">
        <v>41</v>
      </c>
      <c r="Q237" s="66">
        <f>uurtarief38</f>
        <v>0</v>
      </c>
      <c r="R237" s="63" t="e">
        <f>IF(ISBLANK(N237),0,M237/ROUND(N237,4))</f>
        <v>#DIV/0!</v>
      </c>
      <c r="S237" s="63" t="e">
        <f>IF(ISBLANK(N237),0,R237*ROUND(O237,2))</f>
        <v>#DIV/0!</v>
      </c>
      <c r="T237" s="66" t="e">
        <f>ROUND(Q237,2)*R237</f>
        <v>#DIV/0!</v>
      </c>
      <c r="U237" s="63" t="e">
        <f>R237*dagenperjaar1</f>
        <v>#DIV/0!</v>
      </c>
      <c r="V237" s="67" t="e">
        <f>U237*ROUND(Q237,2)</f>
        <v>#DIV/0!</v>
      </c>
    </row>
    <row r="238" spans="1:22" x14ac:dyDescent="0.2">
      <c r="A238" s="60" t="s">
        <v>582</v>
      </c>
      <c r="B238" s="61" t="s">
        <v>291</v>
      </c>
      <c r="C238" s="61" t="s">
        <v>292</v>
      </c>
      <c r="D238" s="61" t="s">
        <v>607</v>
      </c>
      <c r="E238" s="62" t="s">
        <v>594</v>
      </c>
      <c r="F238" s="61" t="s">
        <v>470</v>
      </c>
      <c r="G238" s="61" t="s">
        <v>246</v>
      </c>
      <c r="H238" s="61" t="s">
        <v>10</v>
      </c>
      <c r="I238" s="61" t="s">
        <v>200</v>
      </c>
      <c r="J238" s="61" t="s">
        <v>480</v>
      </c>
      <c r="K238" s="61" t="s">
        <v>291</v>
      </c>
      <c r="L238" s="63">
        <v>7.2</v>
      </c>
      <c r="M238" s="63">
        <f>L238*VLOOKUP(H238,dagsoorttabel1,2,FALSE)</f>
        <v>6.3529411764705879</v>
      </c>
      <c r="N238" s="64">
        <f>prodnorm36</f>
        <v>0</v>
      </c>
      <c r="O238" s="65">
        <f>dagwerk36</f>
        <v>0</v>
      </c>
      <c r="P238" s="61" t="s">
        <v>41</v>
      </c>
      <c r="Q238" s="66">
        <f>uurtarief36</f>
        <v>0</v>
      </c>
      <c r="R238" s="63" t="e">
        <f>IF(ISBLANK(N238),0,M238/ROUND(N238,4))</f>
        <v>#DIV/0!</v>
      </c>
      <c r="S238" s="63" t="e">
        <f>IF(ISBLANK(N238),0,R238*ROUND(O238,2))</f>
        <v>#DIV/0!</v>
      </c>
      <c r="T238" s="66" t="e">
        <f>ROUND(Q238,2)*R238</f>
        <v>#DIV/0!</v>
      </c>
      <c r="U238" s="63" t="e">
        <f>R238*dagenperjaar1</f>
        <v>#DIV/0!</v>
      </c>
      <c r="V238" s="67" t="e">
        <f>U238*ROUND(Q238,2)</f>
        <v>#DIV/0!</v>
      </c>
    </row>
    <row r="239" spans="1:22" x14ac:dyDescent="0.2">
      <c r="A239" s="60" t="s">
        <v>582</v>
      </c>
      <c r="B239" s="61" t="s">
        <v>291</v>
      </c>
      <c r="C239" s="61" t="s">
        <v>292</v>
      </c>
      <c r="D239" s="61" t="s">
        <v>608</v>
      </c>
      <c r="E239" s="62" t="s">
        <v>479</v>
      </c>
      <c r="F239" s="61" t="s">
        <v>470</v>
      </c>
      <c r="G239" s="61" t="s">
        <v>250</v>
      </c>
      <c r="H239" s="61" t="s">
        <v>10</v>
      </c>
      <c r="I239" s="61" t="s">
        <v>200</v>
      </c>
      <c r="J239" s="61" t="s">
        <v>480</v>
      </c>
      <c r="K239" s="61" t="s">
        <v>291</v>
      </c>
      <c r="L239" s="63">
        <v>1</v>
      </c>
      <c r="M239" s="63">
        <f>L239*VLOOKUP(H239,dagsoorttabel1,2,FALSE)</f>
        <v>0.88235294117647056</v>
      </c>
      <c r="N239" s="64">
        <f>prodnorm41</f>
        <v>0</v>
      </c>
      <c r="O239" s="65">
        <f>dagwerk41</f>
        <v>0</v>
      </c>
      <c r="P239" s="61" t="s">
        <v>41</v>
      </c>
      <c r="Q239" s="66">
        <f>uurtarief41</f>
        <v>0</v>
      </c>
      <c r="R239" s="63" t="e">
        <f>IF(ISBLANK(N239),0,M239/ROUND(N239,4))</f>
        <v>#DIV/0!</v>
      </c>
      <c r="S239" s="63" t="e">
        <f>IF(ISBLANK(N239),0,R239*ROUND(O239,2))</f>
        <v>#DIV/0!</v>
      </c>
      <c r="T239" s="66" t="e">
        <f>ROUND(Q239,2)*R239</f>
        <v>#DIV/0!</v>
      </c>
      <c r="U239" s="63" t="e">
        <f>R239*dagenperjaar1</f>
        <v>#DIV/0!</v>
      </c>
      <c r="V239" s="67" t="e">
        <f>U239*ROUND(Q239,2)</f>
        <v>#DIV/0!</v>
      </c>
    </row>
    <row r="240" spans="1:22" x14ac:dyDescent="0.2">
      <c r="A240" s="60" t="s">
        <v>582</v>
      </c>
      <c r="B240" s="61" t="s">
        <v>291</v>
      </c>
      <c r="C240" s="61" t="s">
        <v>292</v>
      </c>
      <c r="D240" s="61" t="s">
        <v>325</v>
      </c>
      <c r="E240" s="62" t="s">
        <v>592</v>
      </c>
      <c r="F240" s="61" t="s">
        <v>470</v>
      </c>
      <c r="G240" s="61" t="s">
        <v>248</v>
      </c>
      <c r="H240" s="61" t="s">
        <v>10</v>
      </c>
      <c r="I240" s="61" t="s">
        <v>200</v>
      </c>
      <c r="J240" s="61" t="s">
        <v>471</v>
      </c>
      <c r="K240" s="61" t="s">
        <v>291</v>
      </c>
      <c r="L240" s="63">
        <v>17</v>
      </c>
      <c r="M240" s="63">
        <f>L240*VLOOKUP(H240,dagsoorttabel1,2,FALSE)</f>
        <v>15</v>
      </c>
      <c r="N240" s="64">
        <f>prodnorm38</f>
        <v>0</v>
      </c>
      <c r="O240" s="65">
        <f>dagwerk38</f>
        <v>0</v>
      </c>
      <c r="P240" s="61" t="s">
        <v>41</v>
      </c>
      <c r="Q240" s="66">
        <f>uurtarief38</f>
        <v>0</v>
      </c>
      <c r="R240" s="63" t="e">
        <f>IF(ISBLANK(N240),0,M240/ROUND(N240,4))</f>
        <v>#DIV/0!</v>
      </c>
      <c r="S240" s="63" t="e">
        <f>IF(ISBLANK(N240),0,R240*ROUND(O240,2))</f>
        <v>#DIV/0!</v>
      </c>
      <c r="T240" s="66" t="e">
        <f>ROUND(Q240,2)*R240</f>
        <v>#DIV/0!</v>
      </c>
      <c r="U240" s="63" t="e">
        <f>R240*dagenperjaar1</f>
        <v>#DIV/0!</v>
      </c>
      <c r="V240" s="67" t="e">
        <f>U240*ROUND(Q240,2)</f>
        <v>#DIV/0!</v>
      </c>
    </row>
    <row r="241" spans="1:22" x14ac:dyDescent="0.2">
      <c r="A241" s="60" t="s">
        <v>582</v>
      </c>
      <c r="B241" s="61" t="s">
        <v>291</v>
      </c>
      <c r="C241" s="61" t="s">
        <v>292</v>
      </c>
      <c r="D241" s="61" t="s">
        <v>327</v>
      </c>
      <c r="E241" s="62" t="s">
        <v>594</v>
      </c>
      <c r="F241" s="61" t="s">
        <v>470</v>
      </c>
      <c r="G241" s="61" t="s">
        <v>246</v>
      </c>
      <c r="H241" s="61" t="s">
        <v>10</v>
      </c>
      <c r="I241" s="61" t="s">
        <v>200</v>
      </c>
      <c r="J241" s="61" t="s">
        <v>480</v>
      </c>
      <c r="K241" s="61" t="s">
        <v>291</v>
      </c>
      <c r="L241" s="63">
        <v>7.2</v>
      </c>
      <c r="M241" s="63">
        <f>L241*VLOOKUP(H241,dagsoorttabel1,2,FALSE)</f>
        <v>6.3529411764705879</v>
      </c>
      <c r="N241" s="64">
        <f>prodnorm36</f>
        <v>0</v>
      </c>
      <c r="O241" s="65">
        <f>dagwerk36</f>
        <v>0</v>
      </c>
      <c r="P241" s="61" t="s">
        <v>41</v>
      </c>
      <c r="Q241" s="66">
        <f>uurtarief36</f>
        <v>0</v>
      </c>
      <c r="R241" s="63" t="e">
        <f>IF(ISBLANK(N241),0,M241/ROUND(N241,4))</f>
        <v>#DIV/0!</v>
      </c>
      <c r="S241" s="63" t="e">
        <f>IF(ISBLANK(N241),0,R241*ROUND(O241,2))</f>
        <v>#DIV/0!</v>
      </c>
      <c r="T241" s="66" t="e">
        <f>ROUND(Q241,2)*R241</f>
        <v>#DIV/0!</v>
      </c>
      <c r="U241" s="63" t="e">
        <f>R241*dagenperjaar1</f>
        <v>#DIV/0!</v>
      </c>
      <c r="V241" s="67" t="e">
        <f>U241*ROUND(Q241,2)</f>
        <v>#DIV/0!</v>
      </c>
    </row>
    <row r="242" spans="1:22" x14ac:dyDescent="0.2">
      <c r="A242" s="60" t="s">
        <v>582</v>
      </c>
      <c r="B242" s="61" t="s">
        <v>291</v>
      </c>
      <c r="C242" s="61" t="s">
        <v>292</v>
      </c>
      <c r="D242" s="61" t="s">
        <v>330</v>
      </c>
      <c r="E242" s="62" t="s">
        <v>479</v>
      </c>
      <c r="F242" s="61" t="s">
        <v>470</v>
      </c>
      <c r="G242" s="61" t="s">
        <v>250</v>
      </c>
      <c r="H242" s="61" t="s">
        <v>10</v>
      </c>
      <c r="I242" s="61" t="s">
        <v>200</v>
      </c>
      <c r="J242" s="61" t="s">
        <v>480</v>
      </c>
      <c r="K242" s="61" t="s">
        <v>291</v>
      </c>
      <c r="L242" s="63">
        <v>1</v>
      </c>
      <c r="M242" s="63">
        <f>L242*VLOOKUP(H242,dagsoorttabel1,2,FALSE)</f>
        <v>0.88235294117647056</v>
      </c>
      <c r="N242" s="64">
        <f>prodnorm41</f>
        <v>0</v>
      </c>
      <c r="O242" s="65">
        <f>dagwerk41</f>
        <v>0</v>
      </c>
      <c r="P242" s="61" t="s">
        <v>41</v>
      </c>
      <c r="Q242" s="66">
        <f>uurtarief41</f>
        <v>0</v>
      </c>
      <c r="R242" s="63" t="e">
        <f>IF(ISBLANK(N242),0,M242/ROUND(N242,4))</f>
        <v>#DIV/0!</v>
      </c>
      <c r="S242" s="63" t="e">
        <f>IF(ISBLANK(N242),0,R242*ROUND(O242,2))</f>
        <v>#DIV/0!</v>
      </c>
      <c r="T242" s="66" t="e">
        <f>ROUND(Q242,2)*R242</f>
        <v>#DIV/0!</v>
      </c>
      <c r="U242" s="63" t="e">
        <f>R242*dagenperjaar1</f>
        <v>#DIV/0!</v>
      </c>
      <c r="V242" s="67" t="e">
        <f>U242*ROUND(Q242,2)</f>
        <v>#DIV/0!</v>
      </c>
    </row>
    <row r="243" spans="1:22" x14ac:dyDescent="0.2">
      <c r="A243" s="60" t="s">
        <v>582</v>
      </c>
      <c r="B243" s="61" t="s">
        <v>291</v>
      </c>
      <c r="C243" s="61" t="s">
        <v>292</v>
      </c>
      <c r="D243" s="61" t="s">
        <v>332</v>
      </c>
      <c r="E243" s="62" t="s">
        <v>592</v>
      </c>
      <c r="F243" s="61" t="s">
        <v>470</v>
      </c>
      <c r="G243" s="61" t="s">
        <v>248</v>
      </c>
      <c r="H243" s="61" t="s">
        <v>10</v>
      </c>
      <c r="I243" s="61" t="s">
        <v>200</v>
      </c>
      <c r="J243" s="61" t="s">
        <v>471</v>
      </c>
      <c r="K243" s="61" t="s">
        <v>291</v>
      </c>
      <c r="L243" s="63">
        <v>17</v>
      </c>
      <c r="M243" s="63">
        <f>L243*VLOOKUP(H243,dagsoorttabel1,2,FALSE)</f>
        <v>15</v>
      </c>
      <c r="N243" s="64">
        <f>prodnorm38</f>
        <v>0</v>
      </c>
      <c r="O243" s="65">
        <f>dagwerk38</f>
        <v>0</v>
      </c>
      <c r="P243" s="61" t="s">
        <v>41</v>
      </c>
      <c r="Q243" s="66">
        <f>uurtarief38</f>
        <v>0</v>
      </c>
      <c r="R243" s="63" t="e">
        <f>IF(ISBLANK(N243),0,M243/ROUND(N243,4))</f>
        <v>#DIV/0!</v>
      </c>
      <c r="S243" s="63" t="e">
        <f>IF(ISBLANK(N243),0,R243*ROUND(O243,2))</f>
        <v>#DIV/0!</v>
      </c>
      <c r="T243" s="66" t="e">
        <f>ROUND(Q243,2)*R243</f>
        <v>#DIV/0!</v>
      </c>
      <c r="U243" s="63" t="e">
        <f>R243*dagenperjaar1</f>
        <v>#DIV/0!</v>
      </c>
      <c r="V243" s="67" t="e">
        <f>U243*ROUND(Q243,2)</f>
        <v>#DIV/0!</v>
      </c>
    </row>
    <row r="244" spans="1:22" x14ac:dyDescent="0.2">
      <c r="A244" s="60" t="s">
        <v>582</v>
      </c>
      <c r="B244" s="61" t="s">
        <v>291</v>
      </c>
      <c r="C244" s="61" t="s">
        <v>292</v>
      </c>
      <c r="D244" s="61" t="s">
        <v>609</v>
      </c>
      <c r="E244" s="62" t="s">
        <v>594</v>
      </c>
      <c r="F244" s="61" t="s">
        <v>470</v>
      </c>
      <c r="G244" s="61" t="s">
        <v>246</v>
      </c>
      <c r="H244" s="61" t="s">
        <v>10</v>
      </c>
      <c r="I244" s="61" t="s">
        <v>200</v>
      </c>
      <c r="J244" s="61" t="s">
        <v>480</v>
      </c>
      <c r="K244" s="61" t="s">
        <v>291</v>
      </c>
      <c r="L244" s="63">
        <v>7.3</v>
      </c>
      <c r="M244" s="63">
        <f>L244*VLOOKUP(H244,dagsoorttabel1,2,FALSE)</f>
        <v>6.4411764705882346</v>
      </c>
      <c r="N244" s="64">
        <f>prodnorm36</f>
        <v>0</v>
      </c>
      <c r="O244" s="65">
        <f>dagwerk36</f>
        <v>0</v>
      </c>
      <c r="P244" s="61" t="s">
        <v>41</v>
      </c>
      <c r="Q244" s="66">
        <f>uurtarief36</f>
        <v>0</v>
      </c>
      <c r="R244" s="63" t="e">
        <f>IF(ISBLANK(N244),0,M244/ROUND(N244,4))</f>
        <v>#DIV/0!</v>
      </c>
      <c r="S244" s="63" t="e">
        <f>IF(ISBLANK(N244),0,R244*ROUND(O244,2))</f>
        <v>#DIV/0!</v>
      </c>
      <c r="T244" s="66" t="e">
        <f>ROUND(Q244,2)*R244</f>
        <v>#DIV/0!</v>
      </c>
      <c r="U244" s="63" t="e">
        <f>R244*dagenperjaar1</f>
        <v>#DIV/0!</v>
      </c>
      <c r="V244" s="67" t="e">
        <f>U244*ROUND(Q244,2)</f>
        <v>#DIV/0!</v>
      </c>
    </row>
    <row r="245" spans="1:22" x14ac:dyDescent="0.2">
      <c r="A245" s="60" t="s">
        <v>582</v>
      </c>
      <c r="B245" s="61" t="s">
        <v>291</v>
      </c>
      <c r="C245" s="61" t="s">
        <v>292</v>
      </c>
      <c r="D245" s="61" t="s">
        <v>610</v>
      </c>
      <c r="E245" s="62" t="s">
        <v>479</v>
      </c>
      <c r="F245" s="61" t="s">
        <v>470</v>
      </c>
      <c r="G245" s="61" t="s">
        <v>250</v>
      </c>
      <c r="H245" s="61" t="s">
        <v>10</v>
      </c>
      <c r="I245" s="61" t="s">
        <v>200</v>
      </c>
      <c r="J245" s="61" t="s">
        <v>480</v>
      </c>
      <c r="K245" s="61" t="s">
        <v>291</v>
      </c>
      <c r="L245" s="63">
        <v>1</v>
      </c>
      <c r="M245" s="63">
        <f>L245*VLOOKUP(H245,dagsoorttabel1,2,FALSE)</f>
        <v>0.88235294117647056</v>
      </c>
      <c r="N245" s="64">
        <f>prodnorm41</f>
        <v>0</v>
      </c>
      <c r="O245" s="65">
        <f>dagwerk41</f>
        <v>0</v>
      </c>
      <c r="P245" s="61" t="s">
        <v>41</v>
      </c>
      <c r="Q245" s="66">
        <f>uurtarief41</f>
        <v>0</v>
      </c>
      <c r="R245" s="63" t="e">
        <f>IF(ISBLANK(N245),0,M245/ROUND(N245,4))</f>
        <v>#DIV/0!</v>
      </c>
      <c r="S245" s="63" t="e">
        <f>IF(ISBLANK(N245),0,R245*ROUND(O245,2))</f>
        <v>#DIV/0!</v>
      </c>
      <c r="T245" s="66" t="e">
        <f>ROUND(Q245,2)*R245</f>
        <v>#DIV/0!</v>
      </c>
      <c r="U245" s="63" t="e">
        <f>R245*dagenperjaar1</f>
        <v>#DIV/0!</v>
      </c>
      <c r="V245" s="67" t="e">
        <f>U245*ROUND(Q245,2)</f>
        <v>#DIV/0!</v>
      </c>
    </row>
    <row r="246" spans="1:22" x14ac:dyDescent="0.2">
      <c r="A246" s="60" t="s">
        <v>582</v>
      </c>
      <c r="B246" s="61" t="s">
        <v>291</v>
      </c>
      <c r="C246" s="61" t="s">
        <v>292</v>
      </c>
      <c r="D246" s="61" t="s">
        <v>334</v>
      </c>
      <c r="E246" s="62" t="s">
        <v>592</v>
      </c>
      <c r="F246" s="61" t="s">
        <v>470</v>
      </c>
      <c r="G246" s="61" t="s">
        <v>248</v>
      </c>
      <c r="H246" s="61" t="s">
        <v>10</v>
      </c>
      <c r="I246" s="61" t="s">
        <v>200</v>
      </c>
      <c r="J246" s="61" t="s">
        <v>471</v>
      </c>
      <c r="K246" s="61" t="s">
        <v>291</v>
      </c>
      <c r="L246" s="63">
        <v>17</v>
      </c>
      <c r="M246" s="63">
        <f>L246*VLOOKUP(H246,dagsoorttabel1,2,FALSE)</f>
        <v>15</v>
      </c>
      <c r="N246" s="64">
        <f>prodnorm38</f>
        <v>0</v>
      </c>
      <c r="O246" s="65">
        <f>dagwerk38</f>
        <v>0</v>
      </c>
      <c r="P246" s="61" t="s">
        <v>41</v>
      </c>
      <c r="Q246" s="66">
        <f>uurtarief38</f>
        <v>0</v>
      </c>
      <c r="R246" s="63" t="e">
        <f>IF(ISBLANK(N246),0,M246/ROUND(N246,4))</f>
        <v>#DIV/0!</v>
      </c>
      <c r="S246" s="63" t="e">
        <f>IF(ISBLANK(N246),0,R246*ROUND(O246,2))</f>
        <v>#DIV/0!</v>
      </c>
      <c r="T246" s="66" t="e">
        <f>ROUND(Q246,2)*R246</f>
        <v>#DIV/0!</v>
      </c>
      <c r="U246" s="63" t="e">
        <f>R246*dagenperjaar1</f>
        <v>#DIV/0!</v>
      </c>
      <c r="V246" s="67" t="e">
        <f>U246*ROUND(Q246,2)</f>
        <v>#DIV/0!</v>
      </c>
    </row>
    <row r="247" spans="1:22" x14ac:dyDescent="0.2">
      <c r="A247" s="60" t="s">
        <v>582</v>
      </c>
      <c r="B247" s="61" t="s">
        <v>291</v>
      </c>
      <c r="C247" s="61" t="s">
        <v>292</v>
      </c>
      <c r="D247" s="61" t="s">
        <v>611</v>
      </c>
      <c r="E247" s="62" t="s">
        <v>594</v>
      </c>
      <c r="F247" s="61" t="s">
        <v>470</v>
      </c>
      <c r="G247" s="61" t="s">
        <v>246</v>
      </c>
      <c r="H247" s="61" t="s">
        <v>10</v>
      </c>
      <c r="I247" s="61" t="s">
        <v>200</v>
      </c>
      <c r="J247" s="61" t="s">
        <v>480</v>
      </c>
      <c r="K247" s="61" t="s">
        <v>291</v>
      </c>
      <c r="L247" s="63">
        <v>7.2</v>
      </c>
      <c r="M247" s="63">
        <f>L247*VLOOKUP(H247,dagsoorttabel1,2,FALSE)</f>
        <v>6.3529411764705879</v>
      </c>
      <c r="N247" s="64">
        <f>prodnorm36</f>
        <v>0</v>
      </c>
      <c r="O247" s="65">
        <f>dagwerk36</f>
        <v>0</v>
      </c>
      <c r="P247" s="61" t="s">
        <v>41</v>
      </c>
      <c r="Q247" s="66">
        <f>uurtarief36</f>
        <v>0</v>
      </c>
      <c r="R247" s="63" t="e">
        <f>IF(ISBLANK(N247),0,M247/ROUND(N247,4))</f>
        <v>#DIV/0!</v>
      </c>
      <c r="S247" s="63" t="e">
        <f>IF(ISBLANK(N247),0,R247*ROUND(O247,2))</f>
        <v>#DIV/0!</v>
      </c>
      <c r="T247" s="66" t="e">
        <f>ROUND(Q247,2)*R247</f>
        <v>#DIV/0!</v>
      </c>
      <c r="U247" s="63" t="e">
        <f>R247*dagenperjaar1</f>
        <v>#DIV/0!</v>
      </c>
      <c r="V247" s="67" t="e">
        <f>U247*ROUND(Q247,2)</f>
        <v>#DIV/0!</v>
      </c>
    </row>
    <row r="248" spans="1:22" x14ac:dyDescent="0.2">
      <c r="A248" s="60" t="s">
        <v>582</v>
      </c>
      <c r="B248" s="61" t="s">
        <v>291</v>
      </c>
      <c r="C248" s="61" t="s">
        <v>292</v>
      </c>
      <c r="D248" s="61" t="s">
        <v>612</v>
      </c>
      <c r="E248" s="62" t="s">
        <v>479</v>
      </c>
      <c r="F248" s="61" t="s">
        <v>470</v>
      </c>
      <c r="G248" s="61" t="s">
        <v>250</v>
      </c>
      <c r="H248" s="61" t="s">
        <v>10</v>
      </c>
      <c r="I248" s="61" t="s">
        <v>200</v>
      </c>
      <c r="J248" s="61" t="s">
        <v>480</v>
      </c>
      <c r="K248" s="61" t="s">
        <v>291</v>
      </c>
      <c r="L248" s="63">
        <v>1</v>
      </c>
      <c r="M248" s="63">
        <f>L248*VLOOKUP(H248,dagsoorttabel1,2,FALSE)</f>
        <v>0.88235294117647056</v>
      </c>
      <c r="N248" s="64">
        <f>prodnorm41</f>
        <v>0</v>
      </c>
      <c r="O248" s="65">
        <f>dagwerk41</f>
        <v>0</v>
      </c>
      <c r="P248" s="61" t="s">
        <v>41</v>
      </c>
      <c r="Q248" s="66">
        <f>uurtarief41</f>
        <v>0</v>
      </c>
      <c r="R248" s="63" t="e">
        <f>IF(ISBLANK(N248),0,M248/ROUND(N248,4))</f>
        <v>#DIV/0!</v>
      </c>
      <c r="S248" s="63" t="e">
        <f>IF(ISBLANK(N248),0,R248*ROUND(O248,2))</f>
        <v>#DIV/0!</v>
      </c>
      <c r="T248" s="66" t="e">
        <f>ROUND(Q248,2)*R248</f>
        <v>#DIV/0!</v>
      </c>
      <c r="U248" s="63" t="e">
        <f>R248*dagenperjaar1</f>
        <v>#DIV/0!</v>
      </c>
      <c r="V248" s="67" t="e">
        <f>U248*ROUND(Q248,2)</f>
        <v>#DIV/0!</v>
      </c>
    </row>
    <row r="249" spans="1:22" x14ac:dyDescent="0.2">
      <c r="A249" s="60" t="s">
        <v>582</v>
      </c>
      <c r="B249" s="61" t="s">
        <v>291</v>
      </c>
      <c r="C249" s="61" t="s">
        <v>292</v>
      </c>
      <c r="D249" s="61" t="s">
        <v>336</v>
      </c>
      <c r="E249" s="62" t="s">
        <v>613</v>
      </c>
      <c r="F249" s="61" t="s">
        <v>301</v>
      </c>
      <c r="G249" s="61" t="s">
        <v>199</v>
      </c>
      <c r="H249" s="61" t="s">
        <v>12</v>
      </c>
      <c r="I249" s="61" t="s">
        <v>200</v>
      </c>
      <c r="J249" s="61" t="s">
        <v>471</v>
      </c>
      <c r="K249" s="61" t="s">
        <v>291</v>
      </c>
      <c r="L249" s="63">
        <v>8.9</v>
      </c>
      <c r="M249" s="63">
        <f>L249*VLOOKUP(H249,dagsoorttabel1,2,FALSE)</f>
        <v>7.1549019607843141</v>
      </c>
      <c r="N249" s="64">
        <f>prodnorm3</f>
        <v>0</v>
      </c>
      <c r="O249" s="65">
        <f>dagwerk3</f>
        <v>0</v>
      </c>
      <c r="P249" s="61" t="s">
        <v>41</v>
      </c>
      <c r="Q249" s="66">
        <f>uurtarief3</f>
        <v>0</v>
      </c>
      <c r="R249" s="63" t="e">
        <f>IF(ISBLANK(N249),0,M249/ROUND(N249,4))</f>
        <v>#DIV/0!</v>
      </c>
      <c r="S249" s="63" t="e">
        <f>IF(ISBLANK(N249),0,R249*ROUND(O249,2))</f>
        <v>#DIV/0!</v>
      </c>
      <c r="T249" s="66" t="e">
        <f>ROUND(Q249,2)*R249</f>
        <v>#DIV/0!</v>
      </c>
      <c r="U249" s="63" t="e">
        <f>R249*dagenperjaar1</f>
        <v>#DIV/0!</v>
      </c>
      <c r="V249" s="67" t="e">
        <f>U249*ROUND(Q249,2)</f>
        <v>#DIV/0!</v>
      </c>
    </row>
    <row r="250" spans="1:22" x14ac:dyDescent="0.2">
      <c r="A250" s="60" t="s">
        <v>582</v>
      </c>
      <c r="B250" s="61" t="s">
        <v>291</v>
      </c>
      <c r="C250" s="61" t="s">
        <v>292</v>
      </c>
      <c r="D250" s="61" t="s">
        <v>493</v>
      </c>
      <c r="E250" s="62" t="s">
        <v>479</v>
      </c>
      <c r="F250" s="61" t="s">
        <v>470</v>
      </c>
      <c r="G250" s="61" t="s">
        <v>250</v>
      </c>
      <c r="H250" s="61" t="s">
        <v>10</v>
      </c>
      <c r="I250" s="61" t="s">
        <v>200</v>
      </c>
      <c r="J250" s="61" t="s">
        <v>480</v>
      </c>
      <c r="K250" s="61" t="s">
        <v>291</v>
      </c>
      <c r="L250" s="63">
        <v>1.5</v>
      </c>
      <c r="M250" s="63">
        <f>L250*VLOOKUP(H250,dagsoorttabel1,2,FALSE)</f>
        <v>1.3235294117647058</v>
      </c>
      <c r="N250" s="64">
        <f>prodnorm41</f>
        <v>0</v>
      </c>
      <c r="O250" s="65">
        <f>dagwerk41</f>
        <v>0</v>
      </c>
      <c r="P250" s="61" t="s">
        <v>41</v>
      </c>
      <c r="Q250" s="66">
        <f>uurtarief41</f>
        <v>0</v>
      </c>
      <c r="R250" s="63" t="e">
        <f>IF(ISBLANK(N250),0,M250/ROUND(N250,4))</f>
        <v>#DIV/0!</v>
      </c>
      <c r="S250" s="63" t="e">
        <f>IF(ISBLANK(N250),0,R250*ROUND(O250,2))</f>
        <v>#DIV/0!</v>
      </c>
      <c r="T250" s="66" t="e">
        <f>ROUND(Q250,2)*R250</f>
        <v>#DIV/0!</v>
      </c>
      <c r="U250" s="63" t="e">
        <f>R250*dagenperjaar1</f>
        <v>#DIV/0!</v>
      </c>
      <c r="V250" s="67" t="e">
        <f>U250*ROUND(Q250,2)</f>
        <v>#DIV/0!</v>
      </c>
    </row>
    <row r="251" spans="1:22" x14ac:dyDescent="0.2">
      <c r="A251" s="60" t="s">
        <v>582</v>
      </c>
      <c r="B251" s="61" t="s">
        <v>291</v>
      </c>
      <c r="C251" s="61" t="s">
        <v>292</v>
      </c>
      <c r="D251" s="61" t="s">
        <v>494</v>
      </c>
      <c r="E251" s="62" t="s">
        <v>479</v>
      </c>
      <c r="F251" s="61" t="s">
        <v>470</v>
      </c>
      <c r="G251" s="61" t="s">
        <v>250</v>
      </c>
      <c r="H251" s="61" t="s">
        <v>10</v>
      </c>
      <c r="I251" s="61" t="s">
        <v>200</v>
      </c>
      <c r="J251" s="61" t="s">
        <v>480</v>
      </c>
      <c r="K251" s="61" t="s">
        <v>291</v>
      </c>
      <c r="L251" s="63">
        <v>1.5</v>
      </c>
      <c r="M251" s="63">
        <f>L251*VLOOKUP(H251,dagsoorttabel1,2,FALSE)</f>
        <v>1.3235294117647058</v>
      </c>
      <c r="N251" s="64">
        <f>prodnorm41</f>
        <v>0</v>
      </c>
      <c r="O251" s="65">
        <f>dagwerk41</f>
        <v>0</v>
      </c>
      <c r="P251" s="61" t="s">
        <v>41</v>
      </c>
      <c r="Q251" s="66">
        <f>uurtarief41</f>
        <v>0</v>
      </c>
      <c r="R251" s="63" t="e">
        <f>IF(ISBLANK(N251),0,M251/ROUND(N251,4))</f>
        <v>#DIV/0!</v>
      </c>
      <c r="S251" s="63" t="e">
        <f>IF(ISBLANK(N251),0,R251*ROUND(O251,2))</f>
        <v>#DIV/0!</v>
      </c>
      <c r="T251" s="66" t="e">
        <f>ROUND(Q251,2)*R251</f>
        <v>#DIV/0!</v>
      </c>
      <c r="U251" s="63" t="e">
        <f>R251*dagenperjaar1</f>
        <v>#DIV/0!</v>
      </c>
      <c r="V251" s="67" t="e">
        <f>U251*ROUND(Q251,2)</f>
        <v>#DIV/0!</v>
      </c>
    </row>
    <row r="252" spans="1:22" x14ac:dyDescent="0.2">
      <c r="A252" s="60" t="s">
        <v>582</v>
      </c>
      <c r="B252" s="61" t="s">
        <v>291</v>
      </c>
      <c r="C252" s="61" t="s">
        <v>292</v>
      </c>
      <c r="D252" s="61" t="s">
        <v>338</v>
      </c>
      <c r="E252" s="62" t="s">
        <v>479</v>
      </c>
      <c r="F252" s="61" t="s">
        <v>470</v>
      </c>
      <c r="G252" s="61" t="s">
        <v>250</v>
      </c>
      <c r="H252" s="61" t="s">
        <v>10</v>
      </c>
      <c r="I252" s="61" t="s">
        <v>200</v>
      </c>
      <c r="J252" s="61" t="s">
        <v>480</v>
      </c>
      <c r="K252" s="61" t="s">
        <v>291</v>
      </c>
      <c r="L252" s="63">
        <v>1.5</v>
      </c>
      <c r="M252" s="63">
        <f>L252*VLOOKUP(H252,dagsoorttabel1,2,FALSE)</f>
        <v>1.3235294117647058</v>
      </c>
      <c r="N252" s="64">
        <f>prodnorm41</f>
        <v>0</v>
      </c>
      <c r="O252" s="65">
        <f>dagwerk41</f>
        <v>0</v>
      </c>
      <c r="P252" s="61" t="s">
        <v>41</v>
      </c>
      <c r="Q252" s="66">
        <f>uurtarief41</f>
        <v>0</v>
      </c>
      <c r="R252" s="63" t="e">
        <f>IF(ISBLANK(N252),0,M252/ROUND(N252,4))</f>
        <v>#DIV/0!</v>
      </c>
      <c r="S252" s="63" t="e">
        <f>IF(ISBLANK(N252),0,R252*ROUND(O252,2))</f>
        <v>#DIV/0!</v>
      </c>
      <c r="T252" s="66" t="e">
        <f>ROUND(Q252,2)*R252</f>
        <v>#DIV/0!</v>
      </c>
      <c r="U252" s="63" t="e">
        <f>R252*dagenperjaar1</f>
        <v>#DIV/0!</v>
      </c>
      <c r="V252" s="67" t="e">
        <f>U252*ROUND(Q252,2)</f>
        <v>#DIV/0!</v>
      </c>
    </row>
    <row r="253" spans="1:22" x14ac:dyDescent="0.2">
      <c r="A253" s="60" t="s">
        <v>582</v>
      </c>
      <c r="B253" s="61" t="s">
        <v>291</v>
      </c>
      <c r="C253" s="61" t="s">
        <v>292</v>
      </c>
      <c r="D253" s="61" t="s">
        <v>340</v>
      </c>
      <c r="E253" s="62" t="s">
        <v>614</v>
      </c>
      <c r="F253" s="61" t="s">
        <v>470</v>
      </c>
      <c r="G253" s="61" t="s">
        <v>250</v>
      </c>
      <c r="H253" s="61" t="s">
        <v>12</v>
      </c>
      <c r="I253" s="61" t="s">
        <v>200</v>
      </c>
      <c r="J253" s="61" t="s">
        <v>291</v>
      </c>
      <c r="K253" s="61" t="s">
        <v>291</v>
      </c>
      <c r="L253" s="63">
        <v>4.8</v>
      </c>
      <c r="M253" s="63">
        <f>L253*VLOOKUP(H253,dagsoorttabel1,2,FALSE)</f>
        <v>3.8588235294117648</v>
      </c>
      <c r="N253" s="64">
        <f>prodnorm39</f>
        <v>0</v>
      </c>
      <c r="O253" s="65">
        <f>dagwerk39</f>
        <v>0</v>
      </c>
      <c r="P253" s="61" t="s">
        <v>41</v>
      </c>
      <c r="Q253" s="66">
        <f>uurtarief39</f>
        <v>0</v>
      </c>
      <c r="R253" s="63" t="e">
        <f>IF(ISBLANK(N253),0,M253/ROUND(N253,4))</f>
        <v>#DIV/0!</v>
      </c>
      <c r="S253" s="63" t="e">
        <f>IF(ISBLANK(N253),0,R253*ROUND(O253,2))</f>
        <v>#DIV/0!</v>
      </c>
      <c r="T253" s="66" t="e">
        <f>ROUND(Q253,2)*R253</f>
        <v>#DIV/0!</v>
      </c>
      <c r="U253" s="63" t="e">
        <f>R253*dagenperjaar1</f>
        <v>#DIV/0!</v>
      </c>
      <c r="V253" s="67" t="e">
        <f>U253*ROUND(Q253,2)</f>
        <v>#DIV/0!</v>
      </c>
    </row>
    <row r="254" spans="1:22" x14ac:dyDescent="0.2">
      <c r="A254" s="60" t="s">
        <v>582</v>
      </c>
      <c r="B254" s="61" t="s">
        <v>291</v>
      </c>
      <c r="C254" s="61" t="s">
        <v>292</v>
      </c>
      <c r="D254" s="61" t="s">
        <v>496</v>
      </c>
      <c r="E254" s="62" t="s">
        <v>341</v>
      </c>
      <c r="F254" s="61" t="s">
        <v>301</v>
      </c>
      <c r="G254" s="61" t="s">
        <v>199</v>
      </c>
      <c r="H254" s="61" t="s">
        <v>12</v>
      </c>
      <c r="I254" s="61" t="s">
        <v>200</v>
      </c>
      <c r="J254" s="61" t="s">
        <v>473</v>
      </c>
      <c r="K254" s="61" t="s">
        <v>291</v>
      </c>
      <c r="L254" s="63">
        <v>15</v>
      </c>
      <c r="M254" s="63">
        <f>L254*VLOOKUP(H254,dagsoorttabel1,2,FALSE)</f>
        <v>12.058823529411764</v>
      </c>
      <c r="N254" s="64">
        <f>prodnorm3</f>
        <v>0</v>
      </c>
      <c r="O254" s="65">
        <f>dagwerk3</f>
        <v>0</v>
      </c>
      <c r="P254" s="61" t="s">
        <v>41</v>
      </c>
      <c r="Q254" s="66">
        <f>uurtarief3</f>
        <v>0</v>
      </c>
      <c r="R254" s="63" t="e">
        <f>IF(ISBLANK(N254),0,M254/ROUND(N254,4))</f>
        <v>#DIV/0!</v>
      </c>
      <c r="S254" s="63" t="e">
        <f>IF(ISBLANK(N254),0,R254*ROUND(O254,2))</f>
        <v>#DIV/0!</v>
      </c>
      <c r="T254" s="66" t="e">
        <f>ROUND(Q254,2)*R254</f>
        <v>#DIV/0!</v>
      </c>
      <c r="U254" s="63" t="e">
        <f>R254*dagenperjaar1</f>
        <v>#DIV/0!</v>
      </c>
      <c r="V254" s="67" t="e">
        <f>U254*ROUND(Q254,2)</f>
        <v>#DIV/0!</v>
      </c>
    </row>
    <row r="255" spans="1:22" x14ac:dyDescent="0.2">
      <c r="A255" s="60" t="s">
        <v>582</v>
      </c>
      <c r="B255" s="61" t="s">
        <v>291</v>
      </c>
      <c r="C255" s="61" t="s">
        <v>292</v>
      </c>
      <c r="D255" s="61" t="s">
        <v>343</v>
      </c>
      <c r="E255" s="62" t="s">
        <v>341</v>
      </c>
      <c r="F255" s="61" t="s">
        <v>301</v>
      </c>
      <c r="G255" s="61" t="s">
        <v>199</v>
      </c>
      <c r="H255" s="61" t="s">
        <v>12</v>
      </c>
      <c r="I255" s="61" t="s">
        <v>200</v>
      </c>
      <c r="J255" s="61" t="s">
        <v>473</v>
      </c>
      <c r="K255" s="61" t="s">
        <v>291</v>
      </c>
      <c r="L255" s="63">
        <v>15</v>
      </c>
      <c r="M255" s="63">
        <f>L255*VLOOKUP(H255,dagsoorttabel1,2,FALSE)</f>
        <v>12.058823529411764</v>
      </c>
      <c r="N255" s="64">
        <f>prodnorm3</f>
        <v>0</v>
      </c>
      <c r="O255" s="65">
        <f>dagwerk3</f>
        <v>0</v>
      </c>
      <c r="P255" s="61" t="s">
        <v>41</v>
      </c>
      <c r="Q255" s="66">
        <f>uurtarief3</f>
        <v>0</v>
      </c>
      <c r="R255" s="63" t="e">
        <f>IF(ISBLANK(N255),0,M255/ROUND(N255,4))</f>
        <v>#DIV/0!</v>
      </c>
      <c r="S255" s="63" t="e">
        <f>IF(ISBLANK(N255),0,R255*ROUND(O255,2))</f>
        <v>#DIV/0!</v>
      </c>
      <c r="T255" s="66" t="e">
        <f>ROUND(Q255,2)*R255</f>
        <v>#DIV/0!</v>
      </c>
      <c r="U255" s="63" t="e">
        <f>R255*dagenperjaar1</f>
        <v>#DIV/0!</v>
      </c>
      <c r="V255" s="67" t="e">
        <f>U255*ROUND(Q255,2)</f>
        <v>#DIV/0!</v>
      </c>
    </row>
    <row r="256" spans="1:22" x14ac:dyDescent="0.2">
      <c r="A256" s="60" t="s">
        <v>582</v>
      </c>
      <c r="B256" s="61" t="s">
        <v>291</v>
      </c>
      <c r="C256" s="61" t="s">
        <v>292</v>
      </c>
      <c r="D256" s="61" t="s">
        <v>347</v>
      </c>
      <c r="E256" s="62" t="s">
        <v>294</v>
      </c>
      <c r="F256" s="61" t="s">
        <v>329</v>
      </c>
      <c r="G256" s="61" t="s">
        <v>260</v>
      </c>
      <c r="H256" s="61" t="s">
        <v>12</v>
      </c>
      <c r="I256" s="61" t="s">
        <v>200</v>
      </c>
      <c r="J256" s="61" t="s">
        <v>471</v>
      </c>
      <c r="K256" s="61" t="s">
        <v>291</v>
      </c>
      <c r="L256" s="63">
        <v>23.3</v>
      </c>
      <c r="M256" s="63">
        <f>L256*VLOOKUP(H256,dagsoorttabel1,2,FALSE)</f>
        <v>18.731372549019611</v>
      </c>
      <c r="N256" s="64">
        <f>prodnorm49</f>
        <v>0</v>
      </c>
      <c r="O256" s="65">
        <f>dagwerk49</f>
        <v>0</v>
      </c>
      <c r="P256" s="61" t="s">
        <v>41</v>
      </c>
      <c r="Q256" s="66">
        <f>uurtarief49</f>
        <v>0</v>
      </c>
      <c r="R256" s="63" t="e">
        <f>IF(ISBLANK(N256),0,M256/ROUND(N256,4))</f>
        <v>#DIV/0!</v>
      </c>
      <c r="S256" s="63" t="e">
        <f>IF(ISBLANK(N256),0,R256*ROUND(O256,2))</f>
        <v>#DIV/0!</v>
      </c>
      <c r="T256" s="66" t="e">
        <f>ROUND(Q256,2)*R256</f>
        <v>#DIV/0!</v>
      </c>
      <c r="U256" s="63" t="e">
        <f>R256*dagenperjaar1</f>
        <v>#DIV/0!</v>
      </c>
      <c r="V256" s="67" t="e">
        <f>U256*ROUND(Q256,2)</f>
        <v>#DIV/0!</v>
      </c>
    </row>
    <row r="257" spans="1:22" x14ac:dyDescent="0.2">
      <c r="A257" s="60" t="s">
        <v>582</v>
      </c>
      <c r="B257" s="61" t="s">
        <v>291</v>
      </c>
      <c r="C257" s="61" t="s">
        <v>292</v>
      </c>
      <c r="D257" s="61" t="s">
        <v>507</v>
      </c>
      <c r="E257" s="62" t="s">
        <v>491</v>
      </c>
      <c r="F257" s="61" t="s">
        <v>470</v>
      </c>
      <c r="G257" s="61" t="s">
        <v>250</v>
      </c>
      <c r="H257" s="61" t="s">
        <v>12</v>
      </c>
      <c r="I257" s="61" t="s">
        <v>200</v>
      </c>
      <c r="J257" s="61" t="s">
        <v>480</v>
      </c>
      <c r="K257" s="61" t="s">
        <v>291</v>
      </c>
      <c r="L257" s="63">
        <v>11.2</v>
      </c>
      <c r="M257" s="63">
        <f>L257*VLOOKUP(H257,dagsoorttabel1,2,FALSE)</f>
        <v>9.003921568627451</v>
      </c>
      <c r="N257" s="64">
        <f>prodnorm39</f>
        <v>0</v>
      </c>
      <c r="O257" s="65">
        <f>dagwerk39</f>
        <v>0</v>
      </c>
      <c r="P257" s="61" t="s">
        <v>41</v>
      </c>
      <c r="Q257" s="66">
        <f>uurtarief39</f>
        <v>0</v>
      </c>
      <c r="R257" s="63" t="e">
        <f>IF(ISBLANK(N257),0,M257/ROUND(N257,4))</f>
        <v>#DIV/0!</v>
      </c>
      <c r="S257" s="63" t="e">
        <f>IF(ISBLANK(N257),0,R257*ROUND(O257,2))</f>
        <v>#DIV/0!</v>
      </c>
      <c r="T257" s="66" t="e">
        <f>ROUND(Q257,2)*R257</f>
        <v>#DIV/0!</v>
      </c>
      <c r="U257" s="63" t="e">
        <f>R257*dagenperjaar1</f>
        <v>#DIV/0!</v>
      </c>
      <c r="V257" s="67" t="e">
        <f>U257*ROUND(Q257,2)</f>
        <v>#DIV/0!</v>
      </c>
    </row>
    <row r="258" spans="1:22" x14ac:dyDescent="0.2">
      <c r="A258" s="60" t="s">
        <v>582</v>
      </c>
      <c r="B258" s="61" t="s">
        <v>291</v>
      </c>
      <c r="C258" s="61" t="s">
        <v>292</v>
      </c>
      <c r="D258" s="61" t="s">
        <v>354</v>
      </c>
      <c r="E258" s="62" t="s">
        <v>552</v>
      </c>
      <c r="F258" s="61" t="s">
        <v>615</v>
      </c>
      <c r="G258" s="61" t="s">
        <v>254</v>
      </c>
      <c r="H258" s="61" t="s">
        <v>12</v>
      </c>
      <c r="I258" s="61" t="s">
        <v>200</v>
      </c>
      <c r="J258" s="61" t="s">
        <v>471</v>
      </c>
      <c r="K258" s="61" t="s">
        <v>291</v>
      </c>
      <c r="L258" s="63">
        <v>16</v>
      </c>
      <c r="M258" s="63">
        <f>L258*VLOOKUP(H258,dagsoorttabel1,2,FALSE)</f>
        <v>12.862745098039216</v>
      </c>
      <c r="N258" s="64">
        <f>prodnorm44</f>
        <v>0</v>
      </c>
      <c r="O258" s="65">
        <f>dagwerk44</f>
        <v>0</v>
      </c>
      <c r="P258" s="61" t="s">
        <v>41</v>
      </c>
      <c r="Q258" s="66">
        <f>uurtarief44</f>
        <v>0</v>
      </c>
      <c r="R258" s="63" t="e">
        <f>IF(ISBLANK(N258),0,M258/ROUND(N258,4))</f>
        <v>#DIV/0!</v>
      </c>
      <c r="S258" s="63" t="e">
        <f>IF(ISBLANK(N258),0,R258*ROUND(O258,2))</f>
        <v>#DIV/0!</v>
      </c>
      <c r="T258" s="66" t="e">
        <f>ROUND(Q258,2)*R258</f>
        <v>#DIV/0!</v>
      </c>
      <c r="U258" s="63" t="e">
        <f>R258*dagenperjaar1</f>
        <v>#DIV/0!</v>
      </c>
      <c r="V258" s="67" t="e">
        <f>U258*ROUND(Q258,2)</f>
        <v>#DIV/0!</v>
      </c>
    </row>
    <row r="259" spans="1:22" x14ac:dyDescent="0.2">
      <c r="A259" s="60" t="s">
        <v>582</v>
      </c>
      <c r="B259" s="61" t="s">
        <v>291</v>
      </c>
      <c r="C259" s="61" t="s">
        <v>292</v>
      </c>
      <c r="D259" s="61" t="s">
        <v>356</v>
      </c>
      <c r="E259" s="62" t="s">
        <v>552</v>
      </c>
      <c r="F259" s="61" t="s">
        <v>301</v>
      </c>
      <c r="G259" s="61" t="s">
        <v>254</v>
      </c>
      <c r="H259" s="61" t="s">
        <v>12</v>
      </c>
      <c r="I259" s="61" t="s">
        <v>200</v>
      </c>
      <c r="J259" s="61" t="s">
        <v>471</v>
      </c>
      <c r="K259" s="61" t="s">
        <v>291</v>
      </c>
      <c r="L259" s="63">
        <v>16</v>
      </c>
      <c r="M259" s="63">
        <f>L259*VLOOKUP(H259,dagsoorttabel1,2,FALSE)</f>
        <v>12.862745098039216</v>
      </c>
      <c r="N259" s="64">
        <f>prodnorm44</f>
        <v>0</v>
      </c>
      <c r="O259" s="65">
        <f>dagwerk44</f>
        <v>0</v>
      </c>
      <c r="P259" s="61" t="s">
        <v>41</v>
      </c>
      <c r="Q259" s="66">
        <f>uurtarief44</f>
        <v>0</v>
      </c>
      <c r="R259" s="63" t="e">
        <f>IF(ISBLANK(N259),0,M259/ROUND(N259,4))</f>
        <v>#DIV/0!</v>
      </c>
      <c r="S259" s="63" t="e">
        <f>IF(ISBLANK(N259),0,R259*ROUND(O259,2))</f>
        <v>#DIV/0!</v>
      </c>
      <c r="T259" s="66" t="e">
        <f>ROUND(Q259,2)*R259</f>
        <v>#DIV/0!</v>
      </c>
      <c r="U259" s="63" t="e">
        <f>R259*dagenperjaar1</f>
        <v>#DIV/0!</v>
      </c>
      <c r="V259" s="67" t="e">
        <f>U259*ROUND(Q259,2)</f>
        <v>#DIV/0!</v>
      </c>
    </row>
    <row r="260" spans="1:22" x14ac:dyDescent="0.2">
      <c r="A260" s="60" t="s">
        <v>582</v>
      </c>
      <c r="B260" s="61" t="s">
        <v>291</v>
      </c>
      <c r="C260" s="61" t="s">
        <v>292</v>
      </c>
      <c r="D260" s="61" t="s">
        <v>358</v>
      </c>
      <c r="E260" s="62" t="s">
        <v>481</v>
      </c>
      <c r="F260" s="61" t="s">
        <v>532</v>
      </c>
      <c r="G260" s="61" t="s">
        <v>268</v>
      </c>
      <c r="H260" s="61" t="s">
        <v>12</v>
      </c>
      <c r="I260" s="61" t="s">
        <v>200</v>
      </c>
      <c r="J260" s="61" t="s">
        <v>471</v>
      </c>
      <c r="K260" s="61" t="s">
        <v>291</v>
      </c>
      <c r="L260" s="63">
        <v>10.8</v>
      </c>
      <c r="M260" s="63">
        <f>L260*VLOOKUP(H260,dagsoorttabel1,2,FALSE)</f>
        <v>8.6823529411764717</v>
      </c>
      <c r="N260" s="64">
        <f>prodnorm54</f>
        <v>0</v>
      </c>
      <c r="O260" s="65">
        <f>dagwerk54</f>
        <v>0</v>
      </c>
      <c r="P260" s="61" t="s">
        <v>41</v>
      </c>
      <c r="Q260" s="66">
        <f>uurtarief54</f>
        <v>0</v>
      </c>
      <c r="R260" s="63" t="e">
        <f>IF(ISBLANK(N260),0,M260/ROUND(N260,4))</f>
        <v>#DIV/0!</v>
      </c>
      <c r="S260" s="63" t="e">
        <f>IF(ISBLANK(N260),0,R260*ROUND(O260,2))</f>
        <v>#DIV/0!</v>
      </c>
      <c r="T260" s="66" t="e">
        <f>ROUND(Q260,2)*R260</f>
        <v>#DIV/0!</v>
      </c>
      <c r="U260" s="63" t="e">
        <f>R260*dagenperjaar1</f>
        <v>#DIV/0!</v>
      </c>
      <c r="V260" s="67" t="e">
        <f>U260*ROUND(Q260,2)</f>
        <v>#DIV/0!</v>
      </c>
    </row>
    <row r="261" spans="1:22" x14ac:dyDescent="0.2">
      <c r="A261" s="60" t="s">
        <v>582</v>
      </c>
      <c r="B261" s="61" t="s">
        <v>291</v>
      </c>
      <c r="C261" s="61" t="s">
        <v>292</v>
      </c>
      <c r="D261" s="61" t="s">
        <v>616</v>
      </c>
      <c r="E261" s="62" t="s">
        <v>482</v>
      </c>
      <c r="F261" s="61" t="s">
        <v>532</v>
      </c>
      <c r="G261" s="61" t="s">
        <v>268</v>
      </c>
      <c r="H261" s="61" t="s">
        <v>12</v>
      </c>
      <c r="I261" s="61" t="s">
        <v>200</v>
      </c>
      <c r="J261" s="61" t="s">
        <v>471</v>
      </c>
      <c r="K261" s="61" t="s">
        <v>291</v>
      </c>
      <c r="L261" s="63">
        <v>7.2</v>
      </c>
      <c r="M261" s="63">
        <f>L261*VLOOKUP(H261,dagsoorttabel1,2,FALSE)</f>
        <v>5.7882352941176478</v>
      </c>
      <c r="N261" s="64">
        <f>prodnorm54</f>
        <v>0</v>
      </c>
      <c r="O261" s="65">
        <f>dagwerk54</f>
        <v>0</v>
      </c>
      <c r="P261" s="61" t="s">
        <v>41</v>
      </c>
      <c r="Q261" s="66">
        <f>uurtarief54</f>
        <v>0</v>
      </c>
      <c r="R261" s="63" t="e">
        <f>IF(ISBLANK(N261),0,M261/ROUND(N261,4))</f>
        <v>#DIV/0!</v>
      </c>
      <c r="S261" s="63" t="e">
        <f>IF(ISBLANK(N261),0,R261*ROUND(O261,2))</f>
        <v>#DIV/0!</v>
      </c>
      <c r="T261" s="66" t="e">
        <f>ROUND(Q261,2)*R261</f>
        <v>#DIV/0!</v>
      </c>
      <c r="U261" s="63" t="e">
        <f>R261*dagenperjaar1</f>
        <v>#DIV/0!</v>
      </c>
      <c r="V261" s="67" t="e">
        <f>U261*ROUND(Q261,2)</f>
        <v>#DIV/0!</v>
      </c>
    </row>
    <row r="262" spans="1:22" x14ac:dyDescent="0.2">
      <c r="A262" s="60" t="s">
        <v>582</v>
      </c>
      <c r="B262" s="61" t="s">
        <v>291</v>
      </c>
      <c r="C262" s="61" t="s">
        <v>292</v>
      </c>
      <c r="D262" s="61" t="s">
        <v>617</v>
      </c>
      <c r="E262" s="62" t="s">
        <v>337</v>
      </c>
      <c r="F262" s="61" t="s">
        <v>301</v>
      </c>
      <c r="G262" s="61" t="s">
        <v>254</v>
      </c>
      <c r="H262" s="61" t="s">
        <v>12</v>
      </c>
      <c r="I262" s="61" t="s">
        <v>200</v>
      </c>
      <c r="J262" s="61" t="s">
        <v>471</v>
      </c>
      <c r="K262" s="61" t="s">
        <v>291</v>
      </c>
      <c r="L262" s="63">
        <v>41.9</v>
      </c>
      <c r="M262" s="63">
        <f>L262*VLOOKUP(H262,dagsoorttabel1,2,FALSE)</f>
        <v>33.684313725490199</v>
      </c>
      <c r="N262" s="64">
        <f>prodnorm44</f>
        <v>0</v>
      </c>
      <c r="O262" s="65">
        <f>dagwerk44</f>
        <v>0</v>
      </c>
      <c r="P262" s="61" t="s">
        <v>41</v>
      </c>
      <c r="Q262" s="66">
        <f>uurtarief44</f>
        <v>0</v>
      </c>
      <c r="R262" s="63" t="e">
        <f>IF(ISBLANK(N262),0,M262/ROUND(N262,4))</f>
        <v>#DIV/0!</v>
      </c>
      <c r="S262" s="63" t="e">
        <f>IF(ISBLANK(N262),0,R262*ROUND(O262,2))</f>
        <v>#DIV/0!</v>
      </c>
      <c r="T262" s="66" t="e">
        <f>ROUND(Q262,2)*R262</f>
        <v>#DIV/0!</v>
      </c>
      <c r="U262" s="63" t="e">
        <f>R262*dagenperjaar1</f>
        <v>#DIV/0!</v>
      </c>
      <c r="V262" s="67" t="e">
        <f>U262*ROUND(Q262,2)</f>
        <v>#DIV/0!</v>
      </c>
    </row>
    <row r="263" spans="1:22" x14ac:dyDescent="0.2">
      <c r="A263" s="60" t="s">
        <v>582</v>
      </c>
      <c r="B263" s="61" t="s">
        <v>291</v>
      </c>
      <c r="C263" s="61" t="s">
        <v>292</v>
      </c>
      <c r="D263" s="61" t="s">
        <v>618</v>
      </c>
      <c r="E263" s="62" t="s">
        <v>337</v>
      </c>
      <c r="F263" s="61" t="s">
        <v>301</v>
      </c>
      <c r="G263" s="61" t="s">
        <v>254</v>
      </c>
      <c r="H263" s="61" t="s">
        <v>12</v>
      </c>
      <c r="I263" s="61" t="s">
        <v>200</v>
      </c>
      <c r="J263" s="61" t="s">
        <v>471</v>
      </c>
      <c r="K263" s="61" t="s">
        <v>291</v>
      </c>
      <c r="L263" s="63">
        <v>27.7</v>
      </c>
      <c r="M263" s="63">
        <f>L263*VLOOKUP(H263,dagsoorttabel1,2,FALSE)</f>
        <v>22.268627450980393</v>
      </c>
      <c r="N263" s="64">
        <f>prodnorm44</f>
        <v>0</v>
      </c>
      <c r="O263" s="65">
        <f>dagwerk44</f>
        <v>0</v>
      </c>
      <c r="P263" s="61" t="s">
        <v>41</v>
      </c>
      <c r="Q263" s="66">
        <f>uurtarief44</f>
        <v>0</v>
      </c>
      <c r="R263" s="63" t="e">
        <f>IF(ISBLANK(N263),0,M263/ROUND(N263,4))</f>
        <v>#DIV/0!</v>
      </c>
      <c r="S263" s="63" t="e">
        <f>IF(ISBLANK(N263),0,R263*ROUND(O263,2))</f>
        <v>#DIV/0!</v>
      </c>
      <c r="T263" s="66" t="e">
        <f>ROUND(Q263,2)*R263</f>
        <v>#DIV/0!</v>
      </c>
      <c r="U263" s="63" t="e">
        <f>R263*dagenperjaar1</f>
        <v>#DIV/0!</v>
      </c>
      <c r="V263" s="67" t="e">
        <f>U263*ROUND(Q263,2)</f>
        <v>#DIV/0!</v>
      </c>
    </row>
    <row r="264" spans="1:22" x14ac:dyDescent="0.2">
      <c r="A264" s="60" t="s">
        <v>582</v>
      </c>
      <c r="B264" s="61" t="s">
        <v>291</v>
      </c>
      <c r="C264" s="61" t="s">
        <v>292</v>
      </c>
      <c r="D264" s="61" t="s">
        <v>619</v>
      </c>
      <c r="E264" s="62" t="s">
        <v>337</v>
      </c>
      <c r="F264" s="61" t="s">
        <v>301</v>
      </c>
      <c r="G264" s="61" t="s">
        <v>254</v>
      </c>
      <c r="H264" s="61" t="s">
        <v>12</v>
      </c>
      <c r="I264" s="61" t="s">
        <v>200</v>
      </c>
      <c r="J264" s="61" t="s">
        <v>471</v>
      </c>
      <c r="K264" s="61" t="s">
        <v>291</v>
      </c>
      <c r="L264" s="63">
        <v>50.2</v>
      </c>
      <c r="M264" s="63">
        <f>L264*VLOOKUP(H264,dagsoorttabel1,2,FALSE)</f>
        <v>40.356862745098042</v>
      </c>
      <c r="N264" s="64">
        <f>prodnorm44</f>
        <v>0</v>
      </c>
      <c r="O264" s="65">
        <f>dagwerk44</f>
        <v>0</v>
      </c>
      <c r="P264" s="61" t="s">
        <v>41</v>
      </c>
      <c r="Q264" s="66">
        <f>uurtarief44</f>
        <v>0</v>
      </c>
      <c r="R264" s="63" t="e">
        <f>IF(ISBLANK(N264),0,M264/ROUND(N264,4))</f>
        <v>#DIV/0!</v>
      </c>
      <c r="S264" s="63" t="e">
        <f>IF(ISBLANK(N264),0,R264*ROUND(O264,2))</f>
        <v>#DIV/0!</v>
      </c>
      <c r="T264" s="66" t="e">
        <f>ROUND(Q264,2)*R264</f>
        <v>#DIV/0!</v>
      </c>
      <c r="U264" s="63" t="e">
        <f>R264*dagenperjaar1</f>
        <v>#DIV/0!</v>
      </c>
      <c r="V264" s="67" t="e">
        <f>U264*ROUND(Q264,2)</f>
        <v>#DIV/0!</v>
      </c>
    </row>
    <row r="265" spans="1:22" x14ac:dyDescent="0.2">
      <c r="A265" s="60" t="s">
        <v>582</v>
      </c>
      <c r="B265" s="61" t="s">
        <v>291</v>
      </c>
      <c r="C265" s="61" t="s">
        <v>292</v>
      </c>
      <c r="D265" s="61" t="s">
        <v>620</v>
      </c>
      <c r="E265" s="62" t="s">
        <v>337</v>
      </c>
      <c r="F265" s="61" t="s">
        <v>301</v>
      </c>
      <c r="G265" s="61" t="s">
        <v>254</v>
      </c>
      <c r="H265" s="61" t="s">
        <v>12</v>
      </c>
      <c r="I265" s="61" t="s">
        <v>200</v>
      </c>
      <c r="J265" s="61" t="s">
        <v>471</v>
      </c>
      <c r="K265" s="61" t="s">
        <v>291</v>
      </c>
      <c r="L265" s="63">
        <v>50.2</v>
      </c>
      <c r="M265" s="63">
        <f>L265*VLOOKUP(H265,dagsoorttabel1,2,FALSE)</f>
        <v>40.356862745098042</v>
      </c>
      <c r="N265" s="64">
        <f>prodnorm44</f>
        <v>0</v>
      </c>
      <c r="O265" s="65">
        <f>dagwerk44</f>
        <v>0</v>
      </c>
      <c r="P265" s="61" t="s">
        <v>41</v>
      </c>
      <c r="Q265" s="66">
        <f>uurtarief44</f>
        <v>0</v>
      </c>
      <c r="R265" s="63" t="e">
        <f>IF(ISBLANK(N265),0,M265/ROUND(N265,4))</f>
        <v>#DIV/0!</v>
      </c>
      <c r="S265" s="63" t="e">
        <f>IF(ISBLANK(N265),0,R265*ROUND(O265,2))</f>
        <v>#DIV/0!</v>
      </c>
      <c r="T265" s="66" t="e">
        <f>ROUND(Q265,2)*R265</f>
        <v>#DIV/0!</v>
      </c>
      <c r="U265" s="63" t="e">
        <f>R265*dagenperjaar1</f>
        <v>#DIV/0!</v>
      </c>
      <c r="V265" s="67" t="e">
        <f>U265*ROUND(Q265,2)</f>
        <v>#DIV/0!</v>
      </c>
    </row>
    <row r="266" spans="1:22" x14ac:dyDescent="0.2">
      <c r="A266" s="60" t="s">
        <v>582</v>
      </c>
      <c r="B266" s="61" t="s">
        <v>291</v>
      </c>
      <c r="C266" s="61" t="s">
        <v>292</v>
      </c>
      <c r="D266" s="61" t="s">
        <v>621</v>
      </c>
      <c r="E266" s="62" t="s">
        <v>622</v>
      </c>
      <c r="F266" s="61" t="s">
        <v>329</v>
      </c>
      <c r="G266" s="61" t="s">
        <v>202</v>
      </c>
      <c r="H266" s="61" t="s">
        <v>12</v>
      </c>
      <c r="I266" s="61" t="s">
        <v>200</v>
      </c>
      <c r="J266" s="61" t="s">
        <v>473</v>
      </c>
      <c r="K266" s="61" t="s">
        <v>291</v>
      </c>
      <c r="L266" s="63">
        <v>37.799999999999997</v>
      </c>
      <c r="M266" s="63">
        <f>L266*VLOOKUP(H266,dagsoorttabel1,2,FALSE)</f>
        <v>30.388235294117646</v>
      </c>
      <c r="N266" s="64">
        <f>prodnorm5</f>
        <v>0</v>
      </c>
      <c r="O266" s="65">
        <f>dagwerk5</f>
        <v>0</v>
      </c>
      <c r="P266" s="61" t="s">
        <v>41</v>
      </c>
      <c r="Q266" s="66">
        <f>uurtarief5</f>
        <v>0</v>
      </c>
      <c r="R266" s="63" t="e">
        <f>IF(ISBLANK(N266),0,M266/ROUND(N266,4))</f>
        <v>#DIV/0!</v>
      </c>
      <c r="S266" s="63" t="e">
        <f>IF(ISBLANK(N266),0,R266*ROUND(O266,2))</f>
        <v>#DIV/0!</v>
      </c>
      <c r="T266" s="66" t="e">
        <f>ROUND(Q266,2)*R266</f>
        <v>#DIV/0!</v>
      </c>
      <c r="U266" s="63" t="e">
        <f>R266*dagenperjaar1</f>
        <v>#DIV/0!</v>
      </c>
      <c r="V266" s="67" t="e">
        <f>U266*ROUND(Q266,2)</f>
        <v>#DIV/0!</v>
      </c>
    </row>
    <row r="267" spans="1:22" x14ac:dyDescent="0.2">
      <c r="A267" s="60" t="s">
        <v>582</v>
      </c>
      <c r="B267" s="61" t="s">
        <v>291</v>
      </c>
      <c r="C267" s="61" t="s">
        <v>292</v>
      </c>
      <c r="D267" s="61" t="s">
        <v>360</v>
      </c>
      <c r="E267" s="62" t="s">
        <v>623</v>
      </c>
      <c r="F267" s="61" t="s">
        <v>301</v>
      </c>
      <c r="G267" s="61" t="s">
        <v>238</v>
      </c>
      <c r="H267" s="61" t="s">
        <v>12</v>
      </c>
      <c r="I267" s="61" t="s">
        <v>200</v>
      </c>
      <c r="J267" s="61" t="s">
        <v>498</v>
      </c>
      <c r="K267" s="61" t="s">
        <v>291</v>
      </c>
      <c r="L267" s="63">
        <v>74.5</v>
      </c>
      <c r="M267" s="63">
        <f>L267*VLOOKUP(H267,dagsoorttabel1,2,FALSE)</f>
        <v>59.892156862745104</v>
      </c>
      <c r="N267" s="64">
        <f>prodnorm32</f>
        <v>0</v>
      </c>
      <c r="O267" s="65">
        <f>dagwerk32</f>
        <v>0</v>
      </c>
      <c r="P267" s="61" t="s">
        <v>41</v>
      </c>
      <c r="Q267" s="66">
        <f>uurtarief32</f>
        <v>0</v>
      </c>
      <c r="R267" s="63" t="e">
        <f>IF(ISBLANK(N267),0,M267/ROUND(N267,4))</f>
        <v>#DIV/0!</v>
      </c>
      <c r="S267" s="63" t="e">
        <f>IF(ISBLANK(N267),0,R267*ROUND(O267,2))</f>
        <v>#DIV/0!</v>
      </c>
      <c r="T267" s="66" t="e">
        <f>ROUND(Q267,2)*R267</f>
        <v>#DIV/0!</v>
      </c>
      <c r="U267" s="63" t="e">
        <f>R267*dagenperjaar1</f>
        <v>#DIV/0!</v>
      </c>
      <c r="V267" s="67" t="e">
        <f>U267*ROUND(Q267,2)</f>
        <v>#DIV/0!</v>
      </c>
    </row>
    <row r="268" spans="1:22" x14ac:dyDescent="0.2">
      <c r="A268" s="60" t="s">
        <v>582</v>
      </c>
      <c r="B268" s="61" t="s">
        <v>291</v>
      </c>
      <c r="C268" s="61" t="s">
        <v>292</v>
      </c>
      <c r="D268" s="61" t="s">
        <v>513</v>
      </c>
      <c r="E268" s="62" t="s">
        <v>624</v>
      </c>
      <c r="F268" s="61" t="s">
        <v>301</v>
      </c>
      <c r="G268" s="61" t="s">
        <v>238</v>
      </c>
      <c r="H268" s="61" t="s">
        <v>12</v>
      </c>
      <c r="I268" s="61" t="s">
        <v>200</v>
      </c>
      <c r="J268" s="61" t="s">
        <v>498</v>
      </c>
      <c r="K268" s="61" t="s">
        <v>291</v>
      </c>
      <c r="L268" s="63">
        <v>79</v>
      </c>
      <c r="M268" s="63">
        <f>L268*VLOOKUP(H268,dagsoorttabel1,2,FALSE)</f>
        <v>63.509803921568633</v>
      </c>
      <c r="N268" s="64">
        <f>prodnorm32</f>
        <v>0</v>
      </c>
      <c r="O268" s="65">
        <f>dagwerk32</f>
        <v>0</v>
      </c>
      <c r="P268" s="61" t="s">
        <v>41</v>
      </c>
      <c r="Q268" s="66">
        <f>uurtarief32</f>
        <v>0</v>
      </c>
      <c r="R268" s="63" t="e">
        <f>IF(ISBLANK(N268),0,M268/ROUND(N268,4))</f>
        <v>#DIV/0!</v>
      </c>
      <c r="S268" s="63" t="e">
        <f>IF(ISBLANK(N268),0,R268*ROUND(O268,2))</f>
        <v>#DIV/0!</v>
      </c>
      <c r="T268" s="66" t="e">
        <f>ROUND(Q268,2)*R268</f>
        <v>#DIV/0!</v>
      </c>
      <c r="U268" s="63" t="e">
        <f>R268*dagenperjaar1</f>
        <v>#DIV/0!</v>
      </c>
      <c r="V268" s="67" t="e">
        <f>U268*ROUND(Q268,2)</f>
        <v>#DIV/0!</v>
      </c>
    </row>
    <row r="269" spans="1:22" x14ac:dyDescent="0.2">
      <c r="A269" s="60" t="s">
        <v>582</v>
      </c>
      <c r="B269" s="61" t="s">
        <v>291</v>
      </c>
      <c r="C269" s="61" t="s">
        <v>292</v>
      </c>
      <c r="D269" s="61" t="s">
        <v>362</v>
      </c>
      <c r="E269" s="62" t="s">
        <v>625</v>
      </c>
      <c r="F269" s="61" t="s">
        <v>301</v>
      </c>
      <c r="G269" s="61" t="s">
        <v>230</v>
      </c>
      <c r="H269" s="61" t="s">
        <v>19</v>
      </c>
      <c r="I269" s="61" t="s">
        <v>200</v>
      </c>
      <c r="J269" s="61" t="s">
        <v>291</v>
      </c>
      <c r="K269" s="61" t="s">
        <v>291</v>
      </c>
      <c r="L269" s="63">
        <v>22.5</v>
      </c>
      <c r="M269" s="63">
        <f>L269*VLOOKUP(H269,dagsoorttabel1,2,FALSE)</f>
        <v>3.6176470588235299</v>
      </c>
      <c r="N269" s="64">
        <f>prodnorm28</f>
        <v>0</v>
      </c>
      <c r="O269" s="65">
        <f>dagwerk28</f>
        <v>0</v>
      </c>
      <c r="P269" s="61" t="s">
        <v>41</v>
      </c>
      <c r="Q269" s="66">
        <f>uurtarief28</f>
        <v>0</v>
      </c>
      <c r="R269" s="63" t="e">
        <f>IF(ISBLANK(N269),0,M269/ROUND(N269,4))</f>
        <v>#DIV/0!</v>
      </c>
      <c r="S269" s="63" t="e">
        <f>IF(ISBLANK(N269),0,R269*ROUND(O269,2))</f>
        <v>#DIV/0!</v>
      </c>
      <c r="T269" s="66" t="e">
        <f>ROUND(Q269,2)*R269</f>
        <v>#DIV/0!</v>
      </c>
      <c r="U269" s="63" t="e">
        <f>R269*dagenperjaar1</f>
        <v>#DIV/0!</v>
      </c>
      <c r="V269" s="67" t="e">
        <f>U269*ROUND(Q269,2)</f>
        <v>#DIV/0!</v>
      </c>
    </row>
    <row r="270" spans="1:22" x14ac:dyDescent="0.2">
      <c r="A270" s="60" t="s">
        <v>582</v>
      </c>
      <c r="B270" s="61" t="s">
        <v>291</v>
      </c>
      <c r="C270" s="61" t="s">
        <v>292</v>
      </c>
      <c r="D270" s="61" t="s">
        <v>364</v>
      </c>
      <c r="E270" s="62" t="s">
        <v>626</v>
      </c>
      <c r="F270" s="61" t="s">
        <v>301</v>
      </c>
      <c r="G270" s="61" t="s">
        <v>238</v>
      </c>
      <c r="H270" s="61" t="s">
        <v>12</v>
      </c>
      <c r="I270" s="61" t="s">
        <v>200</v>
      </c>
      <c r="J270" s="61" t="s">
        <v>498</v>
      </c>
      <c r="K270" s="61" t="s">
        <v>291</v>
      </c>
      <c r="L270" s="63">
        <v>75.5</v>
      </c>
      <c r="M270" s="63">
        <f>L270*VLOOKUP(H270,dagsoorttabel1,2,FALSE)</f>
        <v>60.696078431372548</v>
      </c>
      <c r="N270" s="64">
        <f>prodnorm32</f>
        <v>0</v>
      </c>
      <c r="O270" s="65">
        <f>dagwerk32</f>
        <v>0</v>
      </c>
      <c r="P270" s="61" t="s">
        <v>41</v>
      </c>
      <c r="Q270" s="66">
        <f>uurtarief32</f>
        <v>0</v>
      </c>
      <c r="R270" s="63" t="e">
        <f>IF(ISBLANK(N270),0,M270/ROUND(N270,4))</f>
        <v>#DIV/0!</v>
      </c>
      <c r="S270" s="63" t="e">
        <f>IF(ISBLANK(N270),0,R270*ROUND(O270,2))</f>
        <v>#DIV/0!</v>
      </c>
      <c r="T270" s="66" t="e">
        <f>ROUND(Q270,2)*R270</f>
        <v>#DIV/0!</v>
      </c>
      <c r="U270" s="63" t="e">
        <f>R270*dagenperjaar1</f>
        <v>#DIV/0!</v>
      </c>
      <c r="V270" s="67" t="e">
        <f>U270*ROUND(Q270,2)</f>
        <v>#DIV/0!</v>
      </c>
    </row>
    <row r="271" spans="1:22" x14ac:dyDescent="0.2">
      <c r="A271" s="60" t="s">
        <v>582</v>
      </c>
      <c r="B271" s="61" t="s">
        <v>291</v>
      </c>
      <c r="C271" s="61" t="s">
        <v>292</v>
      </c>
      <c r="D271" s="61" t="s">
        <v>371</v>
      </c>
      <c r="E271" s="62" t="s">
        <v>552</v>
      </c>
      <c r="F271" s="61" t="s">
        <v>301</v>
      </c>
      <c r="G271" s="61" t="s">
        <v>254</v>
      </c>
      <c r="H271" s="61" t="s">
        <v>12</v>
      </c>
      <c r="I271" s="61" t="s">
        <v>200</v>
      </c>
      <c r="J271" s="61" t="s">
        <v>471</v>
      </c>
      <c r="K271" s="61" t="s">
        <v>291</v>
      </c>
      <c r="L271" s="63">
        <v>23</v>
      </c>
      <c r="M271" s="63">
        <f>L271*VLOOKUP(H271,dagsoorttabel1,2,FALSE)</f>
        <v>18.490196078431374</v>
      </c>
      <c r="N271" s="64">
        <f>prodnorm44</f>
        <v>0</v>
      </c>
      <c r="O271" s="65">
        <f>dagwerk44</f>
        <v>0</v>
      </c>
      <c r="P271" s="61" t="s">
        <v>41</v>
      </c>
      <c r="Q271" s="66">
        <f>uurtarief44</f>
        <v>0</v>
      </c>
      <c r="R271" s="63" t="e">
        <f>IF(ISBLANK(N271),0,M271/ROUND(N271,4))</f>
        <v>#DIV/0!</v>
      </c>
      <c r="S271" s="63" t="e">
        <f>IF(ISBLANK(N271),0,R271*ROUND(O271,2))</f>
        <v>#DIV/0!</v>
      </c>
      <c r="T271" s="66" t="e">
        <f>ROUND(Q271,2)*R271</f>
        <v>#DIV/0!</v>
      </c>
      <c r="U271" s="63" t="e">
        <f>R271*dagenperjaar1</f>
        <v>#DIV/0!</v>
      </c>
      <c r="V271" s="67" t="e">
        <f>U271*ROUND(Q271,2)</f>
        <v>#DIV/0!</v>
      </c>
    </row>
    <row r="272" spans="1:22" x14ac:dyDescent="0.2">
      <c r="A272" s="60" t="s">
        <v>582</v>
      </c>
      <c r="B272" s="61" t="s">
        <v>291</v>
      </c>
      <c r="C272" s="61" t="s">
        <v>292</v>
      </c>
      <c r="D272" s="61" t="s">
        <v>378</v>
      </c>
      <c r="E272" s="62" t="s">
        <v>481</v>
      </c>
      <c r="F272" s="61" t="s">
        <v>532</v>
      </c>
      <c r="G272" s="61" t="s">
        <v>268</v>
      </c>
      <c r="H272" s="61" t="s">
        <v>12</v>
      </c>
      <c r="I272" s="61" t="s">
        <v>200</v>
      </c>
      <c r="J272" s="61" t="s">
        <v>471</v>
      </c>
      <c r="K272" s="61" t="s">
        <v>291</v>
      </c>
      <c r="L272" s="63">
        <v>8</v>
      </c>
      <c r="M272" s="63">
        <f>L272*VLOOKUP(H272,dagsoorttabel1,2,FALSE)</f>
        <v>6.4313725490196081</v>
      </c>
      <c r="N272" s="64">
        <f>prodnorm54</f>
        <v>0</v>
      </c>
      <c r="O272" s="65">
        <f>dagwerk54</f>
        <v>0</v>
      </c>
      <c r="P272" s="61" t="s">
        <v>41</v>
      </c>
      <c r="Q272" s="66">
        <f>uurtarief54</f>
        <v>0</v>
      </c>
      <c r="R272" s="63" t="e">
        <f>IF(ISBLANK(N272),0,M272/ROUND(N272,4))</f>
        <v>#DIV/0!</v>
      </c>
      <c r="S272" s="63" t="e">
        <f>IF(ISBLANK(N272),0,R272*ROUND(O272,2))</f>
        <v>#DIV/0!</v>
      </c>
      <c r="T272" s="66" t="e">
        <f>ROUND(Q272,2)*R272</f>
        <v>#DIV/0!</v>
      </c>
      <c r="U272" s="63" t="e">
        <f>R272*dagenperjaar1</f>
        <v>#DIV/0!</v>
      </c>
      <c r="V272" s="67" t="e">
        <f>U272*ROUND(Q272,2)</f>
        <v>#DIV/0!</v>
      </c>
    </row>
    <row r="273" spans="1:22" x14ac:dyDescent="0.2">
      <c r="A273" s="60" t="s">
        <v>582</v>
      </c>
      <c r="B273" s="61" t="s">
        <v>291</v>
      </c>
      <c r="C273" s="61" t="s">
        <v>292</v>
      </c>
      <c r="D273" s="61" t="s">
        <v>627</v>
      </c>
      <c r="E273" s="62" t="s">
        <v>482</v>
      </c>
      <c r="F273" s="61" t="s">
        <v>532</v>
      </c>
      <c r="G273" s="61" t="s">
        <v>268</v>
      </c>
      <c r="H273" s="61" t="s">
        <v>12</v>
      </c>
      <c r="I273" s="61" t="s">
        <v>200</v>
      </c>
      <c r="J273" s="61" t="s">
        <v>471</v>
      </c>
      <c r="K273" s="61" t="s">
        <v>291</v>
      </c>
      <c r="L273" s="63">
        <v>5</v>
      </c>
      <c r="M273" s="63">
        <f>L273*VLOOKUP(H273,dagsoorttabel1,2,FALSE)</f>
        <v>4.0196078431372548</v>
      </c>
      <c r="N273" s="64">
        <f>prodnorm54</f>
        <v>0</v>
      </c>
      <c r="O273" s="65">
        <f>dagwerk54</f>
        <v>0</v>
      </c>
      <c r="P273" s="61" t="s">
        <v>41</v>
      </c>
      <c r="Q273" s="66">
        <f>uurtarief54</f>
        <v>0</v>
      </c>
      <c r="R273" s="63" t="e">
        <f>IF(ISBLANK(N273),0,M273/ROUND(N273,4))</f>
        <v>#DIV/0!</v>
      </c>
      <c r="S273" s="63" t="e">
        <f>IF(ISBLANK(N273),0,R273*ROUND(O273,2))</f>
        <v>#DIV/0!</v>
      </c>
      <c r="T273" s="66" t="e">
        <f>ROUND(Q273,2)*R273</f>
        <v>#DIV/0!</v>
      </c>
      <c r="U273" s="63" t="e">
        <f>R273*dagenperjaar1</f>
        <v>#DIV/0!</v>
      </c>
      <c r="V273" s="67" t="e">
        <f>U273*ROUND(Q273,2)</f>
        <v>#DIV/0!</v>
      </c>
    </row>
    <row r="274" spans="1:22" x14ac:dyDescent="0.2">
      <c r="A274" s="60" t="s">
        <v>582</v>
      </c>
      <c r="B274" s="61" t="s">
        <v>291</v>
      </c>
      <c r="C274" s="61" t="s">
        <v>292</v>
      </c>
      <c r="D274" s="61" t="s">
        <v>380</v>
      </c>
      <c r="E274" s="62" t="s">
        <v>628</v>
      </c>
      <c r="F274" s="61" t="s">
        <v>301</v>
      </c>
      <c r="G274" s="61" t="s">
        <v>218</v>
      </c>
      <c r="H274" s="61" t="s">
        <v>12</v>
      </c>
      <c r="I274" s="61" t="s">
        <v>200</v>
      </c>
      <c r="J274" s="61" t="s">
        <v>498</v>
      </c>
      <c r="K274" s="61" t="s">
        <v>291</v>
      </c>
      <c r="L274" s="63">
        <v>52</v>
      </c>
      <c r="M274" s="63">
        <f>L274*VLOOKUP(H274,dagsoorttabel1,2,FALSE)</f>
        <v>41.803921568627452</v>
      </c>
      <c r="N274" s="64">
        <f>prodnorm19</f>
        <v>0</v>
      </c>
      <c r="O274" s="65">
        <f>dagwerk19</f>
        <v>0</v>
      </c>
      <c r="P274" s="61" t="s">
        <v>41</v>
      </c>
      <c r="Q274" s="66">
        <f>uurtarief19</f>
        <v>0</v>
      </c>
      <c r="R274" s="63" t="e">
        <f>IF(ISBLANK(N274),0,M274/ROUND(N274,4))</f>
        <v>#DIV/0!</v>
      </c>
      <c r="S274" s="63" t="e">
        <f>IF(ISBLANK(N274),0,R274*ROUND(O274,2))</f>
        <v>#DIV/0!</v>
      </c>
      <c r="T274" s="66" t="e">
        <f>ROUND(Q274,2)*R274</f>
        <v>#DIV/0!</v>
      </c>
      <c r="U274" s="63" t="e">
        <f>R274*dagenperjaar1</f>
        <v>#DIV/0!</v>
      </c>
      <c r="V274" s="67" t="e">
        <f>U274*ROUND(Q274,2)</f>
        <v>#DIV/0!</v>
      </c>
    </row>
    <row r="275" spans="1:22" x14ac:dyDescent="0.2">
      <c r="A275" s="60" t="s">
        <v>582</v>
      </c>
      <c r="B275" s="61" t="s">
        <v>291</v>
      </c>
      <c r="C275" s="61" t="s">
        <v>292</v>
      </c>
      <c r="D275" s="61" t="s">
        <v>383</v>
      </c>
      <c r="E275" s="62" t="s">
        <v>629</v>
      </c>
      <c r="F275" s="61" t="s">
        <v>301</v>
      </c>
      <c r="G275" s="61" t="s">
        <v>222</v>
      </c>
      <c r="H275" s="61" t="s">
        <v>12</v>
      </c>
      <c r="I275" s="61" t="s">
        <v>200</v>
      </c>
      <c r="J275" s="61" t="s">
        <v>498</v>
      </c>
      <c r="K275" s="61" t="s">
        <v>291</v>
      </c>
      <c r="L275" s="63">
        <v>46.7</v>
      </c>
      <c r="M275" s="63">
        <f>L275*VLOOKUP(H275,dagsoorttabel1,2,FALSE)</f>
        <v>37.543137254901964</v>
      </c>
      <c r="N275" s="64">
        <f>prodnorm23</f>
        <v>0</v>
      </c>
      <c r="O275" s="65">
        <f>dagwerk23</f>
        <v>0</v>
      </c>
      <c r="P275" s="61" t="s">
        <v>41</v>
      </c>
      <c r="Q275" s="66">
        <f>uurtarief23</f>
        <v>0</v>
      </c>
      <c r="R275" s="63" t="e">
        <f>IF(ISBLANK(N275),0,M275/ROUND(N275,4))</f>
        <v>#DIV/0!</v>
      </c>
      <c r="S275" s="63" t="e">
        <f>IF(ISBLANK(N275),0,R275*ROUND(O275,2))</f>
        <v>#DIV/0!</v>
      </c>
      <c r="T275" s="66" t="e">
        <f>ROUND(Q275,2)*R275</f>
        <v>#DIV/0!</v>
      </c>
      <c r="U275" s="63" t="e">
        <f>R275*dagenperjaar1</f>
        <v>#DIV/0!</v>
      </c>
      <c r="V275" s="67" t="e">
        <f>U275*ROUND(Q275,2)</f>
        <v>#DIV/0!</v>
      </c>
    </row>
    <row r="276" spans="1:22" x14ac:dyDescent="0.2">
      <c r="A276" s="60" t="s">
        <v>582</v>
      </c>
      <c r="B276" s="61" t="s">
        <v>291</v>
      </c>
      <c r="C276" s="61" t="s">
        <v>292</v>
      </c>
      <c r="D276" s="61" t="s">
        <v>385</v>
      </c>
      <c r="E276" s="62" t="s">
        <v>630</v>
      </c>
      <c r="F276" s="61" t="s">
        <v>301</v>
      </c>
      <c r="G276" s="61" t="s">
        <v>240</v>
      </c>
      <c r="H276" s="61" t="s">
        <v>12</v>
      </c>
      <c r="I276" s="61" t="s">
        <v>200</v>
      </c>
      <c r="J276" s="61" t="s">
        <v>498</v>
      </c>
      <c r="K276" s="61" t="s">
        <v>291</v>
      </c>
      <c r="L276" s="63">
        <v>52</v>
      </c>
      <c r="M276" s="63">
        <f>L276*VLOOKUP(H276,dagsoorttabel1,2,FALSE)</f>
        <v>41.803921568627452</v>
      </c>
      <c r="N276" s="64">
        <f>prodnorm33</f>
        <v>0</v>
      </c>
      <c r="O276" s="65">
        <f>dagwerk33</f>
        <v>0</v>
      </c>
      <c r="P276" s="61" t="s">
        <v>41</v>
      </c>
      <c r="Q276" s="66">
        <f>uurtarief33</f>
        <v>0</v>
      </c>
      <c r="R276" s="63" t="e">
        <f>IF(ISBLANK(N276),0,M276/ROUND(N276,4))</f>
        <v>#DIV/0!</v>
      </c>
      <c r="S276" s="63" t="e">
        <f>IF(ISBLANK(N276),0,R276*ROUND(O276,2))</f>
        <v>#DIV/0!</v>
      </c>
      <c r="T276" s="66" t="e">
        <f>ROUND(Q276,2)*R276</f>
        <v>#DIV/0!</v>
      </c>
      <c r="U276" s="63" t="e">
        <f>R276*dagenperjaar1</f>
        <v>#DIV/0!</v>
      </c>
      <c r="V276" s="67" t="e">
        <f>U276*ROUND(Q276,2)</f>
        <v>#DIV/0!</v>
      </c>
    </row>
    <row r="277" spans="1:22" x14ac:dyDescent="0.2">
      <c r="A277" s="60" t="s">
        <v>582</v>
      </c>
      <c r="B277" s="61" t="s">
        <v>291</v>
      </c>
      <c r="C277" s="61" t="s">
        <v>292</v>
      </c>
      <c r="D277" s="61" t="s">
        <v>533</v>
      </c>
      <c r="E277" s="62" t="s">
        <v>631</v>
      </c>
      <c r="F277" s="61" t="s">
        <v>301</v>
      </c>
      <c r="G277" s="61" t="s">
        <v>238</v>
      </c>
      <c r="H277" s="61" t="s">
        <v>12</v>
      </c>
      <c r="I277" s="61" t="s">
        <v>200</v>
      </c>
      <c r="J277" s="61" t="s">
        <v>498</v>
      </c>
      <c r="K277" s="61" t="s">
        <v>291</v>
      </c>
      <c r="L277" s="63">
        <v>60</v>
      </c>
      <c r="M277" s="63">
        <f>L277*VLOOKUP(H277,dagsoorttabel1,2,FALSE)</f>
        <v>48.235294117647058</v>
      </c>
      <c r="N277" s="64">
        <f>prodnorm32</f>
        <v>0</v>
      </c>
      <c r="O277" s="65">
        <f>dagwerk32</f>
        <v>0</v>
      </c>
      <c r="P277" s="61" t="s">
        <v>41</v>
      </c>
      <c r="Q277" s="66">
        <f>uurtarief32</f>
        <v>0</v>
      </c>
      <c r="R277" s="63" t="e">
        <f>IF(ISBLANK(N277),0,M277/ROUND(N277,4))</f>
        <v>#DIV/0!</v>
      </c>
      <c r="S277" s="63" t="e">
        <f>IF(ISBLANK(N277),0,R277*ROUND(O277,2))</f>
        <v>#DIV/0!</v>
      </c>
      <c r="T277" s="66" t="e">
        <f>ROUND(Q277,2)*R277</f>
        <v>#DIV/0!</v>
      </c>
      <c r="U277" s="63" t="e">
        <f>R277*dagenperjaar1</f>
        <v>#DIV/0!</v>
      </c>
      <c r="V277" s="67" t="e">
        <f>U277*ROUND(Q277,2)</f>
        <v>#DIV/0!</v>
      </c>
    </row>
    <row r="278" spans="1:22" x14ac:dyDescent="0.2">
      <c r="A278" s="60" t="s">
        <v>582</v>
      </c>
      <c r="B278" s="61" t="s">
        <v>291</v>
      </c>
      <c r="C278" s="61" t="s">
        <v>292</v>
      </c>
      <c r="D278" s="61" t="s">
        <v>386</v>
      </c>
      <c r="E278" s="62" t="s">
        <v>632</v>
      </c>
      <c r="F278" s="61" t="s">
        <v>301</v>
      </c>
      <c r="G278" s="61" t="s">
        <v>238</v>
      </c>
      <c r="H278" s="61" t="s">
        <v>12</v>
      </c>
      <c r="I278" s="61" t="s">
        <v>200</v>
      </c>
      <c r="J278" s="61" t="s">
        <v>498</v>
      </c>
      <c r="K278" s="61" t="s">
        <v>291</v>
      </c>
      <c r="L278" s="63">
        <v>60</v>
      </c>
      <c r="M278" s="63">
        <f>L278*VLOOKUP(H278,dagsoorttabel1,2,FALSE)</f>
        <v>48.235294117647058</v>
      </c>
      <c r="N278" s="64">
        <f>prodnorm32</f>
        <v>0</v>
      </c>
      <c r="O278" s="65">
        <f>dagwerk32</f>
        <v>0</v>
      </c>
      <c r="P278" s="61" t="s">
        <v>41</v>
      </c>
      <c r="Q278" s="66">
        <f>uurtarief32</f>
        <v>0</v>
      </c>
      <c r="R278" s="63" t="e">
        <f>IF(ISBLANK(N278),0,M278/ROUND(N278,4))</f>
        <v>#DIV/0!</v>
      </c>
      <c r="S278" s="63" t="e">
        <f>IF(ISBLANK(N278),0,R278*ROUND(O278,2))</f>
        <v>#DIV/0!</v>
      </c>
      <c r="T278" s="66" t="e">
        <f>ROUND(Q278,2)*R278</f>
        <v>#DIV/0!</v>
      </c>
      <c r="U278" s="63" t="e">
        <f>R278*dagenperjaar1</f>
        <v>#DIV/0!</v>
      </c>
      <c r="V278" s="67" t="e">
        <f>U278*ROUND(Q278,2)</f>
        <v>#DIV/0!</v>
      </c>
    </row>
    <row r="279" spans="1:22" x14ac:dyDescent="0.2">
      <c r="A279" s="60" t="s">
        <v>582</v>
      </c>
      <c r="B279" s="61" t="s">
        <v>291</v>
      </c>
      <c r="C279" s="61" t="s">
        <v>292</v>
      </c>
      <c r="D279" s="61" t="s">
        <v>387</v>
      </c>
      <c r="E279" s="62" t="s">
        <v>625</v>
      </c>
      <c r="F279" s="61" t="s">
        <v>301</v>
      </c>
      <c r="G279" s="61" t="s">
        <v>230</v>
      </c>
      <c r="H279" s="61" t="s">
        <v>19</v>
      </c>
      <c r="I279" s="61" t="s">
        <v>200</v>
      </c>
      <c r="J279" s="61" t="s">
        <v>291</v>
      </c>
      <c r="K279" s="61" t="s">
        <v>291</v>
      </c>
      <c r="L279" s="63">
        <v>38</v>
      </c>
      <c r="M279" s="63">
        <f>L279*VLOOKUP(H279,dagsoorttabel1,2,FALSE)</f>
        <v>6.1098039215686279</v>
      </c>
      <c r="N279" s="64">
        <f>prodnorm28</f>
        <v>0</v>
      </c>
      <c r="O279" s="65">
        <f>dagwerk28</f>
        <v>0</v>
      </c>
      <c r="P279" s="61" t="s">
        <v>41</v>
      </c>
      <c r="Q279" s="66">
        <f>uurtarief28</f>
        <v>0</v>
      </c>
      <c r="R279" s="63" t="e">
        <f>IF(ISBLANK(N279),0,M279/ROUND(N279,4))</f>
        <v>#DIV/0!</v>
      </c>
      <c r="S279" s="63" t="e">
        <f>IF(ISBLANK(N279),0,R279*ROUND(O279,2))</f>
        <v>#DIV/0!</v>
      </c>
      <c r="T279" s="66" t="e">
        <f>ROUND(Q279,2)*R279</f>
        <v>#DIV/0!</v>
      </c>
      <c r="U279" s="63" t="e">
        <f>R279*dagenperjaar1</f>
        <v>#DIV/0!</v>
      </c>
      <c r="V279" s="67" t="e">
        <f>U279*ROUND(Q279,2)</f>
        <v>#DIV/0!</v>
      </c>
    </row>
    <row r="280" spans="1:22" x14ac:dyDescent="0.2">
      <c r="A280" s="60" t="s">
        <v>582</v>
      </c>
      <c r="B280" s="61" t="s">
        <v>291</v>
      </c>
      <c r="C280" s="61" t="s">
        <v>292</v>
      </c>
      <c r="D280" s="61" t="s">
        <v>388</v>
      </c>
      <c r="E280" s="62" t="s">
        <v>633</v>
      </c>
      <c r="F280" s="61" t="s">
        <v>301</v>
      </c>
      <c r="G280" s="61" t="s">
        <v>238</v>
      </c>
      <c r="H280" s="61" t="s">
        <v>12</v>
      </c>
      <c r="I280" s="61" t="s">
        <v>200</v>
      </c>
      <c r="J280" s="61" t="s">
        <v>498</v>
      </c>
      <c r="K280" s="61" t="s">
        <v>291</v>
      </c>
      <c r="L280" s="63">
        <v>74</v>
      </c>
      <c r="M280" s="63">
        <f>L280*VLOOKUP(H280,dagsoorttabel1,2,FALSE)</f>
        <v>59.490196078431374</v>
      </c>
      <c r="N280" s="64">
        <f>prodnorm32</f>
        <v>0</v>
      </c>
      <c r="O280" s="65">
        <f>dagwerk32</f>
        <v>0</v>
      </c>
      <c r="P280" s="61" t="s">
        <v>41</v>
      </c>
      <c r="Q280" s="66">
        <f>uurtarief32</f>
        <v>0</v>
      </c>
      <c r="R280" s="63" t="e">
        <f>IF(ISBLANK(N280),0,M280/ROUND(N280,4))</f>
        <v>#DIV/0!</v>
      </c>
      <c r="S280" s="63" t="e">
        <f>IF(ISBLANK(N280),0,R280*ROUND(O280,2))</f>
        <v>#DIV/0!</v>
      </c>
      <c r="T280" s="66" t="e">
        <f>ROUND(Q280,2)*R280</f>
        <v>#DIV/0!</v>
      </c>
      <c r="U280" s="63" t="e">
        <f>R280*dagenperjaar1</f>
        <v>#DIV/0!</v>
      </c>
      <c r="V280" s="67" t="e">
        <f>U280*ROUND(Q280,2)</f>
        <v>#DIV/0!</v>
      </c>
    </row>
    <row r="281" spans="1:22" x14ac:dyDescent="0.2">
      <c r="A281" s="60" t="s">
        <v>582</v>
      </c>
      <c r="B281" s="61" t="s">
        <v>291</v>
      </c>
      <c r="C281" s="61" t="s">
        <v>292</v>
      </c>
      <c r="D281" s="61" t="s">
        <v>389</v>
      </c>
      <c r="E281" s="62" t="s">
        <v>489</v>
      </c>
      <c r="F281" s="61" t="s">
        <v>470</v>
      </c>
      <c r="G281" s="61" t="s">
        <v>250</v>
      </c>
      <c r="H281" s="61" t="s">
        <v>12</v>
      </c>
      <c r="I281" s="61" t="s">
        <v>200</v>
      </c>
      <c r="J281" s="61" t="s">
        <v>480</v>
      </c>
      <c r="K281" s="61" t="s">
        <v>291</v>
      </c>
      <c r="L281" s="63">
        <v>5.3</v>
      </c>
      <c r="M281" s="63">
        <f>L281*VLOOKUP(H281,dagsoorttabel1,2,FALSE)</f>
        <v>4.2607843137254902</v>
      </c>
      <c r="N281" s="64">
        <f>prodnorm39</f>
        <v>0</v>
      </c>
      <c r="O281" s="65">
        <f>dagwerk39</f>
        <v>0</v>
      </c>
      <c r="P281" s="61" t="s">
        <v>41</v>
      </c>
      <c r="Q281" s="66">
        <f>uurtarief39</f>
        <v>0</v>
      </c>
      <c r="R281" s="63" t="e">
        <f>IF(ISBLANK(N281),0,M281/ROUND(N281,4))</f>
        <v>#DIV/0!</v>
      </c>
      <c r="S281" s="63" t="e">
        <f>IF(ISBLANK(N281),0,R281*ROUND(O281,2))</f>
        <v>#DIV/0!</v>
      </c>
      <c r="T281" s="66" t="e">
        <f>ROUND(Q281,2)*R281</f>
        <v>#DIV/0!</v>
      </c>
      <c r="U281" s="63" t="e">
        <f>R281*dagenperjaar1</f>
        <v>#DIV/0!</v>
      </c>
      <c r="V281" s="67" t="e">
        <f>U281*ROUND(Q281,2)</f>
        <v>#DIV/0!</v>
      </c>
    </row>
    <row r="282" spans="1:22" x14ac:dyDescent="0.2">
      <c r="A282" s="60" t="s">
        <v>582</v>
      </c>
      <c r="B282" s="61" t="s">
        <v>291</v>
      </c>
      <c r="C282" s="61" t="s">
        <v>292</v>
      </c>
      <c r="D282" s="61" t="s">
        <v>394</v>
      </c>
      <c r="E282" s="62" t="s">
        <v>491</v>
      </c>
      <c r="F282" s="61" t="s">
        <v>470</v>
      </c>
      <c r="G282" s="61" t="s">
        <v>250</v>
      </c>
      <c r="H282" s="61" t="s">
        <v>12</v>
      </c>
      <c r="I282" s="61" t="s">
        <v>200</v>
      </c>
      <c r="J282" s="61" t="s">
        <v>480</v>
      </c>
      <c r="K282" s="61" t="s">
        <v>291</v>
      </c>
      <c r="L282" s="63">
        <v>5.3</v>
      </c>
      <c r="M282" s="63">
        <f>L282*VLOOKUP(H282,dagsoorttabel1,2,FALSE)</f>
        <v>4.2607843137254902</v>
      </c>
      <c r="N282" s="64">
        <f>prodnorm39</f>
        <v>0</v>
      </c>
      <c r="O282" s="65">
        <f>dagwerk39</f>
        <v>0</v>
      </c>
      <c r="P282" s="61" t="s">
        <v>41</v>
      </c>
      <c r="Q282" s="66">
        <f>uurtarief39</f>
        <v>0</v>
      </c>
      <c r="R282" s="63" t="e">
        <f>IF(ISBLANK(N282),0,M282/ROUND(N282,4))</f>
        <v>#DIV/0!</v>
      </c>
      <c r="S282" s="63" t="e">
        <f>IF(ISBLANK(N282),0,R282*ROUND(O282,2))</f>
        <v>#DIV/0!</v>
      </c>
      <c r="T282" s="66" t="e">
        <f>ROUND(Q282,2)*R282</f>
        <v>#DIV/0!</v>
      </c>
      <c r="U282" s="63" t="e">
        <f>R282*dagenperjaar1</f>
        <v>#DIV/0!</v>
      </c>
      <c r="V282" s="67" t="e">
        <f>U282*ROUND(Q282,2)</f>
        <v>#DIV/0!</v>
      </c>
    </row>
    <row r="283" spans="1:22" x14ac:dyDescent="0.2">
      <c r="A283" s="60" t="s">
        <v>582</v>
      </c>
      <c r="B283" s="61" t="s">
        <v>291</v>
      </c>
      <c r="C283" s="61" t="s">
        <v>292</v>
      </c>
      <c r="D283" s="61" t="s">
        <v>398</v>
      </c>
      <c r="E283" s="62" t="s">
        <v>634</v>
      </c>
      <c r="F283" s="61" t="s">
        <v>301</v>
      </c>
      <c r="G283" s="61" t="s">
        <v>214</v>
      </c>
      <c r="H283" s="61" t="s">
        <v>12</v>
      </c>
      <c r="I283" s="61" t="s">
        <v>200</v>
      </c>
      <c r="J283" s="61" t="s">
        <v>471</v>
      </c>
      <c r="K283" s="61" t="s">
        <v>291</v>
      </c>
      <c r="L283" s="63">
        <v>13.8</v>
      </c>
      <c r="M283" s="63">
        <f>L283*VLOOKUP(H283,dagsoorttabel1,2,FALSE)</f>
        <v>11.094117647058825</v>
      </c>
      <c r="N283" s="64">
        <f>prodnorm16</f>
        <v>0</v>
      </c>
      <c r="O283" s="65">
        <f>dagwerk16</f>
        <v>0</v>
      </c>
      <c r="P283" s="61" t="s">
        <v>41</v>
      </c>
      <c r="Q283" s="66">
        <f>uurtarief16</f>
        <v>0</v>
      </c>
      <c r="R283" s="63" t="e">
        <f>IF(ISBLANK(N283),0,M283/ROUND(N283,4))</f>
        <v>#DIV/0!</v>
      </c>
      <c r="S283" s="63" t="e">
        <f>IF(ISBLANK(N283),0,R283*ROUND(O283,2))</f>
        <v>#DIV/0!</v>
      </c>
      <c r="T283" s="66" t="e">
        <f>ROUND(Q283,2)*R283</f>
        <v>#DIV/0!</v>
      </c>
      <c r="U283" s="63" t="e">
        <f>R283*dagenperjaar1</f>
        <v>#DIV/0!</v>
      </c>
      <c r="V283" s="67" t="e">
        <f>U283*ROUND(Q283,2)</f>
        <v>#DIV/0!</v>
      </c>
    </row>
    <row r="284" spans="1:22" x14ac:dyDescent="0.2">
      <c r="A284" s="60" t="s">
        <v>582</v>
      </c>
      <c r="B284" s="61" t="s">
        <v>291</v>
      </c>
      <c r="C284" s="61" t="s">
        <v>292</v>
      </c>
      <c r="D284" s="61" t="s">
        <v>399</v>
      </c>
      <c r="E284" s="62" t="s">
        <v>483</v>
      </c>
      <c r="F284" s="61" t="s">
        <v>329</v>
      </c>
      <c r="G284" s="61" t="s">
        <v>212</v>
      </c>
      <c r="H284" s="61" t="s">
        <v>12</v>
      </c>
      <c r="I284" s="61" t="s">
        <v>200</v>
      </c>
      <c r="J284" s="61" t="s">
        <v>473</v>
      </c>
      <c r="K284" s="61" t="s">
        <v>291</v>
      </c>
      <c r="L284" s="63">
        <v>100</v>
      </c>
      <c r="M284" s="63">
        <f>L284*VLOOKUP(H284,dagsoorttabel1,2,FALSE)</f>
        <v>80.392156862745097</v>
      </c>
      <c r="N284" s="64">
        <f>prodnorm14</f>
        <v>0</v>
      </c>
      <c r="O284" s="65">
        <f>dagwerk14</f>
        <v>0</v>
      </c>
      <c r="P284" s="61" t="s">
        <v>41</v>
      </c>
      <c r="Q284" s="66">
        <f>uurtarief14</f>
        <v>0</v>
      </c>
      <c r="R284" s="63" t="e">
        <f>IF(ISBLANK(N284),0,M284/ROUND(N284,4))</f>
        <v>#DIV/0!</v>
      </c>
      <c r="S284" s="63" t="e">
        <f>IF(ISBLANK(N284),0,R284*ROUND(O284,2))</f>
        <v>#DIV/0!</v>
      </c>
      <c r="T284" s="66" t="e">
        <f>ROUND(Q284,2)*R284</f>
        <v>#DIV/0!</v>
      </c>
      <c r="U284" s="63" t="e">
        <f>R284*dagenperjaar1</f>
        <v>#DIV/0!</v>
      </c>
      <c r="V284" s="67" t="e">
        <f>U284*ROUND(Q284,2)</f>
        <v>#DIV/0!</v>
      </c>
    </row>
    <row r="285" spans="1:22" x14ac:dyDescent="0.2">
      <c r="A285" s="60" t="s">
        <v>582</v>
      </c>
      <c r="B285" s="61" t="s">
        <v>291</v>
      </c>
      <c r="C285" s="61" t="s">
        <v>292</v>
      </c>
      <c r="D285" s="61" t="s">
        <v>635</v>
      </c>
      <c r="E285" s="62" t="s">
        <v>636</v>
      </c>
      <c r="F285" s="61" t="s">
        <v>329</v>
      </c>
      <c r="G285" s="61" t="s">
        <v>202</v>
      </c>
      <c r="H285" s="61" t="s">
        <v>12</v>
      </c>
      <c r="I285" s="61" t="s">
        <v>200</v>
      </c>
      <c r="J285" s="61" t="s">
        <v>471</v>
      </c>
      <c r="K285" s="61" t="s">
        <v>291</v>
      </c>
      <c r="L285" s="63">
        <v>24</v>
      </c>
      <c r="M285" s="63">
        <f>L285*VLOOKUP(H285,dagsoorttabel1,2,FALSE)</f>
        <v>19.294117647058826</v>
      </c>
      <c r="N285" s="64">
        <f>prodnorm5</f>
        <v>0</v>
      </c>
      <c r="O285" s="65">
        <f>dagwerk5</f>
        <v>0</v>
      </c>
      <c r="P285" s="61" t="s">
        <v>41</v>
      </c>
      <c r="Q285" s="66">
        <f>uurtarief5</f>
        <v>0</v>
      </c>
      <c r="R285" s="63" t="e">
        <f>IF(ISBLANK(N285),0,M285/ROUND(N285,4))</f>
        <v>#DIV/0!</v>
      </c>
      <c r="S285" s="63" t="e">
        <f>IF(ISBLANK(N285),0,R285*ROUND(O285,2))</f>
        <v>#DIV/0!</v>
      </c>
      <c r="T285" s="66" t="e">
        <f>ROUND(Q285,2)*R285</f>
        <v>#DIV/0!</v>
      </c>
      <c r="U285" s="63" t="e">
        <f>R285*dagenperjaar1</f>
        <v>#DIV/0!</v>
      </c>
      <c r="V285" s="67" t="e">
        <f>U285*ROUND(Q285,2)</f>
        <v>#DIV/0!</v>
      </c>
    </row>
    <row r="286" spans="1:22" x14ac:dyDescent="0.2">
      <c r="A286" s="60" t="s">
        <v>582</v>
      </c>
      <c r="B286" s="61" t="s">
        <v>291</v>
      </c>
      <c r="C286" s="61" t="s">
        <v>292</v>
      </c>
      <c r="D286" s="61" t="s">
        <v>412</v>
      </c>
      <c r="E286" s="62" t="s">
        <v>637</v>
      </c>
      <c r="F286" s="61" t="s">
        <v>301</v>
      </c>
      <c r="G286" s="61" t="s">
        <v>264</v>
      </c>
      <c r="H286" s="61" t="s">
        <v>12</v>
      </c>
      <c r="I286" s="61" t="s">
        <v>200</v>
      </c>
      <c r="J286" s="61" t="s">
        <v>471</v>
      </c>
      <c r="K286" s="61" t="s">
        <v>291</v>
      </c>
      <c r="L286" s="63">
        <v>25.5</v>
      </c>
      <c r="M286" s="63">
        <f>L286*VLOOKUP(H286,dagsoorttabel1,2,FALSE)</f>
        <v>20.5</v>
      </c>
      <c r="N286" s="64">
        <f>prodnorm52</f>
        <v>0</v>
      </c>
      <c r="O286" s="65">
        <f>dagwerk52</f>
        <v>0</v>
      </c>
      <c r="P286" s="61" t="s">
        <v>41</v>
      </c>
      <c r="Q286" s="66">
        <f>uurtarief52</f>
        <v>0</v>
      </c>
      <c r="R286" s="63" t="e">
        <f>IF(ISBLANK(N286),0,M286/ROUND(N286,4))</f>
        <v>#DIV/0!</v>
      </c>
      <c r="S286" s="63" t="e">
        <f>IF(ISBLANK(N286),0,R286*ROUND(O286,2))</f>
        <v>#DIV/0!</v>
      </c>
      <c r="T286" s="66" t="e">
        <f>ROUND(Q286,2)*R286</f>
        <v>#DIV/0!</v>
      </c>
      <c r="U286" s="63" t="e">
        <f>R286*dagenperjaar1</f>
        <v>#DIV/0!</v>
      </c>
      <c r="V286" s="67" t="e">
        <f>U286*ROUND(Q286,2)</f>
        <v>#DIV/0!</v>
      </c>
    </row>
    <row r="287" spans="1:22" x14ac:dyDescent="0.2">
      <c r="A287" s="60" t="s">
        <v>582</v>
      </c>
      <c r="B287" s="61" t="s">
        <v>291</v>
      </c>
      <c r="C287" s="61" t="s">
        <v>292</v>
      </c>
      <c r="D287" s="61" t="s">
        <v>413</v>
      </c>
      <c r="E287" s="62" t="s">
        <v>489</v>
      </c>
      <c r="F287" s="61" t="s">
        <v>470</v>
      </c>
      <c r="G287" s="61" t="s">
        <v>250</v>
      </c>
      <c r="H287" s="61" t="s">
        <v>12</v>
      </c>
      <c r="I287" s="61" t="s">
        <v>200</v>
      </c>
      <c r="J287" s="61" t="s">
        <v>480</v>
      </c>
      <c r="K287" s="61" t="s">
        <v>291</v>
      </c>
      <c r="L287" s="63">
        <v>6.5</v>
      </c>
      <c r="M287" s="63">
        <f>L287*VLOOKUP(H287,dagsoorttabel1,2,FALSE)</f>
        <v>5.2254901960784315</v>
      </c>
      <c r="N287" s="64">
        <f>prodnorm39</f>
        <v>0</v>
      </c>
      <c r="O287" s="65">
        <f>dagwerk39</f>
        <v>0</v>
      </c>
      <c r="P287" s="61" t="s">
        <v>41</v>
      </c>
      <c r="Q287" s="66">
        <f>uurtarief39</f>
        <v>0</v>
      </c>
      <c r="R287" s="63" t="e">
        <f>IF(ISBLANK(N287),0,M287/ROUND(N287,4))</f>
        <v>#DIV/0!</v>
      </c>
      <c r="S287" s="63" t="e">
        <f>IF(ISBLANK(N287),0,R287*ROUND(O287,2))</f>
        <v>#DIV/0!</v>
      </c>
      <c r="T287" s="66" t="e">
        <f>ROUND(Q287,2)*R287</f>
        <v>#DIV/0!</v>
      </c>
      <c r="U287" s="63" t="e">
        <f>R287*dagenperjaar1</f>
        <v>#DIV/0!</v>
      </c>
      <c r="V287" s="67" t="e">
        <f>U287*ROUND(Q287,2)</f>
        <v>#DIV/0!</v>
      </c>
    </row>
    <row r="288" spans="1:22" x14ac:dyDescent="0.2">
      <c r="A288" s="60" t="s">
        <v>582</v>
      </c>
      <c r="B288" s="61" t="s">
        <v>291</v>
      </c>
      <c r="C288" s="61" t="s">
        <v>292</v>
      </c>
      <c r="D288" s="61" t="s">
        <v>415</v>
      </c>
      <c r="E288" s="62" t="s">
        <v>491</v>
      </c>
      <c r="F288" s="61" t="s">
        <v>470</v>
      </c>
      <c r="G288" s="61" t="s">
        <v>250</v>
      </c>
      <c r="H288" s="61" t="s">
        <v>12</v>
      </c>
      <c r="I288" s="61" t="s">
        <v>200</v>
      </c>
      <c r="J288" s="61" t="s">
        <v>480</v>
      </c>
      <c r="K288" s="61" t="s">
        <v>291</v>
      </c>
      <c r="L288" s="63">
        <v>6.5</v>
      </c>
      <c r="M288" s="63">
        <f>L288*VLOOKUP(H288,dagsoorttabel1,2,FALSE)</f>
        <v>5.2254901960784315</v>
      </c>
      <c r="N288" s="64">
        <f>prodnorm39</f>
        <v>0</v>
      </c>
      <c r="O288" s="65">
        <f>dagwerk39</f>
        <v>0</v>
      </c>
      <c r="P288" s="61" t="s">
        <v>41</v>
      </c>
      <c r="Q288" s="66">
        <f>uurtarief39</f>
        <v>0</v>
      </c>
      <c r="R288" s="63" t="e">
        <f>IF(ISBLANK(N288),0,M288/ROUND(N288,4))</f>
        <v>#DIV/0!</v>
      </c>
      <c r="S288" s="63" t="e">
        <f>IF(ISBLANK(N288),0,R288*ROUND(O288,2))</f>
        <v>#DIV/0!</v>
      </c>
      <c r="T288" s="66" t="e">
        <f>ROUND(Q288,2)*R288</f>
        <v>#DIV/0!</v>
      </c>
      <c r="U288" s="63" t="e">
        <f>R288*dagenperjaar1</f>
        <v>#DIV/0!</v>
      </c>
      <c r="V288" s="67" t="e">
        <f>U288*ROUND(Q288,2)</f>
        <v>#DIV/0!</v>
      </c>
    </row>
    <row r="289" spans="1:22" x14ac:dyDescent="0.2">
      <c r="A289" s="60" t="s">
        <v>582</v>
      </c>
      <c r="B289" s="61" t="s">
        <v>291</v>
      </c>
      <c r="C289" s="61" t="s">
        <v>292</v>
      </c>
      <c r="D289" s="61" t="s">
        <v>416</v>
      </c>
      <c r="E289" s="62" t="s">
        <v>488</v>
      </c>
      <c r="F289" s="61" t="s">
        <v>301</v>
      </c>
      <c r="G289" s="61" t="s">
        <v>262</v>
      </c>
      <c r="H289" s="61" t="s">
        <v>12</v>
      </c>
      <c r="I289" s="61" t="s">
        <v>200</v>
      </c>
      <c r="J289" s="61" t="s">
        <v>471</v>
      </c>
      <c r="K289" s="61" t="s">
        <v>291</v>
      </c>
      <c r="L289" s="63">
        <v>1.1000000000000001</v>
      </c>
      <c r="M289" s="63">
        <f>L289*VLOOKUP(H289,dagsoorttabel1,2,FALSE)</f>
        <v>0.88431372549019616</v>
      </c>
      <c r="N289" s="64">
        <f>prodnorm50</f>
        <v>0</v>
      </c>
      <c r="O289" s="65">
        <f>dagwerk50</f>
        <v>0</v>
      </c>
      <c r="P289" s="61" t="s">
        <v>41</v>
      </c>
      <c r="Q289" s="66">
        <f>uurtarief50</f>
        <v>0</v>
      </c>
      <c r="R289" s="63" t="e">
        <f>IF(ISBLANK(N289),0,M289/ROUND(N289,4))</f>
        <v>#DIV/0!</v>
      </c>
      <c r="S289" s="63" t="e">
        <f>IF(ISBLANK(N289),0,R289*ROUND(O289,2))</f>
        <v>#DIV/0!</v>
      </c>
      <c r="T289" s="66" t="e">
        <f>ROUND(Q289,2)*R289</f>
        <v>#DIV/0!</v>
      </c>
      <c r="U289" s="63" t="e">
        <f>R289*dagenperjaar1</f>
        <v>#DIV/0!</v>
      </c>
      <c r="V289" s="67" t="e">
        <f>U289*ROUND(Q289,2)</f>
        <v>#DIV/0!</v>
      </c>
    </row>
    <row r="290" spans="1:22" x14ac:dyDescent="0.2">
      <c r="A290" s="60" t="s">
        <v>582</v>
      </c>
      <c r="B290" s="61" t="s">
        <v>291</v>
      </c>
      <c r="C290" s="61" t="s">
        <v>292</v>
      </c>
      <c r="D290" s="61" t="s">
        <v>638</v>
      </c>
      <c r="E290" s="62" t="s">
        <v>337</v>
      </c>
      <c r="F290" s="61" t="s">
        <v>301</v>
      </c>
      <c r="G290" s="61" t="s">
        <v>254</v>
      </c>
      <c r="H290" s="61" t="s">
        <v>12</v>
      </c>
      <c r="I290" s="61" t="s">
        <v>200</v>
      </c>
      <c r="J290" s="61" t="s">
        <v>471</v>
      </c>
      <c r="K290" s="61" t="s">
        <v>291</v>
      </c>
      <c r="L290" s="63">
        <v>56.7</v>
      </c>
      <c r="M290" s="63">
        <f>L290*VLOOKUP(H290,dagsoorttabel1,2,FALSE)</f>
        <v>45.582352941176474</v>
      </c>
      <c r="N290" s="64">
        <f>prodnorm44</f>
        <v>0</v>
      </c>
      <c r="O290" s="65">
        <f>dagwerk44</f>
        <v>0</v>
      </c>
      <c r="P290" s="61" t="s">
        <v>41</v>
      </c>
      <c r="Q290" s="66">
        <f>uurtarief44</f>
        <v>0</v>
      </c>
      <c r="R290" s="63" t="e">
        <f>IF(ISBLANK(N290),0,M290/ROUND(N290,4))</f>
        <v>#DIV/0!</v>
      </c>
      <c r="S290" s="63" t="e">
        <f>IF(ISBLANK(N290),0,R290*ROUND(O290,2))</f>
        <v>#DIV/0!</v>
      </c>
      <c r="T290" s="66" t="e">
        <f>ROUND(Q290,2)*R290</f>
        <v>#DIV/0!</v>
      </c>
      <c r="U290" s="63" t="e">
        <f>R290*dagenperjaar1</f>
        <v>#DIV/0!</v>
      </c>
      <c r="V290" s="67" t="e">
        <f>U290*ROUND(Q290,2)</f>
        <v>#DIV/0!</v>
      </c>
    </row>
    <row r="291" spans="1:22" x14ac:dyDescent="0.2">
      <c r="A291" s="60" t="s">
        <v>582</v>
      </c>
      <c r="B291" s="61" t="s">
        <v>291</v>
      </c>
      <c r="C291" s="61" t="s">
        <v>292</v>
      </c>
      <c r="D291" s="61" t="s">
        <v>639</v>
      </c>
      <c r="E291" s="62" t="s">
        <v>337</v>
      </c>
      <c r="F291" s="61" t="s">
        <v>301</v>
      </c>
      <c r="G291" s="61" t="s">
        <v>254</v>
      </c>
      <c r="H291" s="61" t="s">
        <v>12</v>
      </c>
      <c r="I291" s="61" t="s">
        <v>200</v>
      </c>
      <c r="J291" s="61" t="s">
        <v>471</v>
      </c>
      <c r="K291" s="61" t="s">
        <v>291</v>
      </c>
      <c r="L291" s="63">
        <v>84.6</v>
      </c>
      <c r="M291" s="63">
        <f>L291*VLOOKUP(H291,dagsoorttabel1,2,FALSE)</f>
        <v>68.011764705882356</v>
      </c>
      <c r="N291" s="64">
        <f>prodnorm44</f>
        <v>0</v>
      </c>
      <c r="O291" s="65">
        <f>dagwerk44</f>
        <v>0</v>
      </c>
      <c r="P291" s="61" t="s">
        <v>41</v>
      </c>
      <c r="Q291" s="66">
        <f>uurtarief44</f>
        <v>0</v>
      </c>
      <c r="R291" s="63" t="e">
        <f>IF(ISBLANK(N291),0,M291/ROUND(N291,4))</f>
        <v>#DIV/0!</v>
      </c>
      <c r="S291" s="63" t="e">
        <f>IF(ISBLANK(N291),0,R291*ROUND(O291,2))</f>
        <v>#DIV/0!</v>
      </c>
      <c r="T291" s="66" t="e">
        <f>ROUND(Q291,2)*R291</f>
        <v>#DIV/0!</v>
      </c>
      <c r="U291" s="63" t="e">
        <f>R291*dagenperjaar1</f>
        <v>#DIV/0!</v>
      </c>
      <c r="V291" s="67" t="e">
        <f>U291*ROUND(Q291,2)</f>
        <v>#DIV/0!</v>
      </c>
    </row>
    <row r="292" spans="1:22" x14ac:dyDescent="0.2">
      <c r="A292" s="60" t="s">
        <v>582</v>
      </c>
      <c r="B292" s="61" t="s">
        <v>291</v>
      </c>
      <c r="C292" s="61" t="s">
        <v>292</v>
      </c>
      <c r="D292" s="61" t="s">
        <v>418</v>
      </c>
      <c r="E292" s="62" t="s">
        <v>640</v>
      </c>
      <c r="F292" s="61" t="s">
        <v>329</v>
      </c>
      <c r="G292" s="61" t="s">
        <v>202</v>
      </c>
      <c r="H292" s="61" t="s">
        <v>12</v>
      </c>
      <c r="I292" s="61" t="s">
        <v>200</v>
      </c>
      <c r="J292" s="61" t="s">
        <v>471</v>
      </c>
      <c r="K292" s="61" t="s">
        <v>291</v>
      </c>
      <c r="L292" s="63">
        <v>10.3</v>
      </c>
      <c r="M292" s="63">
        <f>L292*VLOOKUP(H292,dagsoorttabel1,2,FALSE)</f>
        <v>8.2803921568627459</v>
      </c>
      <c r="N292" s="64">
        <f>prodnorm5</f>
        <v>0</v>
      </c>
      <c r="O292" s="65">
        <f>dagwerk5</f>
        <v>0</v>
      </c>
      <c r="P292" s="61" t="s">
        <v>41</v>
      </c>
      <c r="Q292" s="66">
        <f>uurtarief5</f>
        <v>0</v>
      </c>
      <c r="R292" s="63" t="e">
        <f>IF(ISBLANK(N292),0,M292/ROUND(N292,4))</f>
        <v>#DIV/0!</v>
      </c>
      <c r="S292" s="63" t="e">
        <f>IF(ISBLANK(N292),0,R292*ROUND(O292,2))</f>
        <v>#DIV/0!</v>
      </c>
      <c r="T292" s="66" t="e">
        <f>ROUND(Q292,2)*R292</f>
        <v>#DIV/0!</v>
      </c>
      <c r="U292" s="63" t="e">
        <f>R292*dagenperjaar1</f>
        <v>#DIV/0!</v>
      </c>
      <c r="V292" s="67" t="e">
        <f>U292*ROUND(Q292,2)</f>
        <v>#DIV/0!</v>
      </c>
    </row>
    <row r="293" spans="1:22" x14ac:dyDescent="0.2">
      <c r="A293" s="60" t="s">
        <v>582</v>
      </c>
      <c r="B293" s="61" t="s">
        <v>291</v>
      </c>
      <c r="C293" s="61" t="s">
        <v>292</v>
      </c>
      <c r="D293" s="61" t="s">
        <v>419</v>
      </c>
      <c r="E293" s="62" t="s">
        <v>641</v>
      </c>
      <c r="F293" s="61" t="s">
        <v>301</v>
      </c>
      <c r="G293" s="61" t="s">
        <v>230</v>
      </c>
      <c r="H293" s="61" t="s">
        <v>19</v>
      </c>
      <c r="I293" s="61" t="s">
        <v>200</v>
      </c>
      <c r="J293" s="61" t="s">
        <v>471</v>
      </c>
      <c r="K293" s="61" t="s">
        <v>291</v>
      </c>
      <c r="L293" s="63">
        <v>8.3000000000000007</v>
      </c>
      <c r="M293" s="63">
        <f>L293*VLOOKUP(H293,dagsoorttabel1,2,FALSE)</f>
        <v>1.3345098039215688</v>
      </c>
      <c r="N293" s="64">
        <f>prodnorm28</f>
        <v>0</v>
      </c>
      <c r="O293" s="65">
        <f>dagwerk28</f>
        <v>0</v>
      </c>
      <c r="P293" s="61" t="s">
        <v>41</v>
      </c>
      <c r="Q293" s="66">
        <f>uurtarief28</f>
        <v>0</v>
      </c>
      <c r="R293" s="63" t="e">
        <f>IF(ISBLANK(N293),0,M293/ROUND(N293,4))</f>
        <v>#DIV/0!</v>
      </c>
      <c r="S293" s="63" t="e">
        <f>IF(ISBLANK(N293),0,R293*ROUND(O293,2))</f>
        <v>#DIV/0!</v>
      </c>
      <c r="T293" s="66" t="e">
        <f>ROUND(Q293,2)*R293</f>
        <v>#DIV/0!</v>
      </c>
      <c r="U293" s="63" t="e">
        <f>R293*dagenperjaar1</f>
        <v>#DIV/0!</v>
      </c>
      <c r="V293" s="67" t="e">
        <f>U293*ROUND(Q293,2)</f>
        <v>#DIV/0!</v>
      </c>
    </row>
    <row r="294" spans="1:22" x14ac:dyDescent="0.2">
      <c r="A294" s="60" t="s">
        <v>582</v>
      </c>
      <c r="B294" s="61" t="s">
        <v>291</v>
      </c>
      <c r="C294" s="61" t="s">
        <v>292</v>
      </c>
      <c r="D294" s="61" t="s">
        <v>421</v>
      </c>
      <c r="E294" s="62" t="s">
        <v>642</v>
      </c>
      <c r="F294" s="61" t="s">
        <v>329</v>
      </c>
      <c r="G294" s="61" t="s">
        <v>202</v>
      </c>
      <c r="H294" s="61" t="s">
        <v>12</v>
      </c>
      <c r="I294" s="61" t="s">
        <v>200</v>
      </c>
      <c r="J294" s="61" t="s">
        <v>473</v>
      </c>
      <c r="K294" s="61" t="s">
        <v>291</v>
      </c>
      <c r="L294" s="63">
        <v>35.799999999999997</v>
      </c>
      <c r="M294" s="63">
        <f>L294*VLOOKUP(H294,dagsoorttabel1,2,FALSE)</f>
        <v>28.780392156862742</v>
      </c>
      <c r="N294" s="64">
        <f>prodnorm5</f>
        <v>0</v>
      </c>
      <c r="O294" s="65">
        <f>dagwerk5</f>
        <v>0</v>
      </c>
      <c r="P294" s="61" t="s">
        <v>41</v>
      </c>
      <c r="Q294" s="66">
        <f>uurtarief5</f>
        <v>0</v>
      </c>
      <c r="R294" s="63" t="e">
        <f>IF(ISBLANK(N294),0,M294/ROUND(N294,4))</f>
        <v>#DIV/0!</v>
      </c>
      <c r="S294" s="63" t="e">
        <f>IF(ISBLANK(N294),0,R294*ROUND(O294,2))</f>
        <v>#DIV/0!</v>
      </c>
      <c r="T294" s="66" t="e">
        <f>ROUND(Q294,2)*R294</f>
        <v>#DIV/0!</v>
      </c>
      <c r="U294" s="63" t="e">
        <f>R294*dagenperjaar1</f>
        <v>#DIV/0!</v>
      </c>
      <c r="V294" s="67" t="e">
        <f>U294*ROUND(Q294,2)</f>
        <v>#DIV/0!</v>
      </c>
    </row>
    <row r="295" spans="1:22" x14ac:dyDescent="0.2">
      <c r="A295" s="60" t="s">
        <v>582</v>
      </c>
      <c r="B295" s="61" t="s">
        <v>291</v>
      </c>
      <c r="C295" s="61" t="s">
        <v>292</v>
      </c>
      <c r="D295" s="61" t="s">
        <v>422</v>
      </c>
      <c r="E295" s="62" t="s">
        <v>643</v>
      </c>
      <c r="F295" s="61" t="s">
        <v>329</v>
      </c>
      <c r="G295" s="61" t="s">
        <v>202</v>
      </c>
      <c r="H295" s="61" t="s">
        <v>12</v>
      </c>
      <c r="I295" s="61" t="s">
        <v>200</v>
      </c>
      <c r="J295" s="61" t="s">
        <v>473</v>
      </c>
      <c r="K295" s="61" t="s">
        <v>291</v>
      </c>
      <c r="L295" s="63">
        <v>19</v>
      </c>
      <c r="M295" s="63">
        <f>L295*VLOOKUP(H295,dagsoorttabel1,2,FALSE)</f>
        <v>15.274509803921569</v>
      </c>
      <c r="N295" s="64">
        <f>prodnorm5</f>
        <v>0</v>
      </c>
      <c r="O295" s="65">
        <f>dagwerk5</f>
        <v>0</v>
      </c>
      <c r="P295" s="61" t="s">
        <v>41</v>
      </c>
      <c r="Q295" s="66">
        <f>uurtarief5</f>
        <v>0</v>
      </c>
      <c r="R295" s="63" t="e">
        <f>IF(ISBLANK(N295),0,M295/ROUND(N295,4))</f>
        <v>#DIV/0!</v>
      </c>
      <c r="S295" s="63" t="e">
        <f>IF(ISBLANK(N295),0,R295*ROUND(O295,2))</f>
        <v>#DIV/0!</v>
      </c>
      <c r="T295" s="66" t="e">
        <f>ROUND(Q295,2)*R295</f>
        <v>#DIV/0!</v>
      </c>
      <c r="U295" s="63" t="e">
        <f>R295*dagenperjaar1</f>
        <v>#DIV/0!</v>
      </c>
      <c r="V295" s="67" t="e">
        <f>U295*ROUND(Q295,2)</f>
        <v>#DIV/0!</v>
      </c>
    </row>
    <row r="296" spans="1:22" x14ac:dyDescent="0.2">
      <c r="A296" s="60" t="s">
        <v>582</v>
      </c>
      <c r="B296" s="61" t="s">
        <v>291</v>
      </c>
      <c r="C296" s="61" t="s">
        <v>292</v>
      </c>
      <c r="D296" s="61" t="s">
        <v>423</v>
      </c>
      <c r="E296" s="62" t="s">
        <v>644</v>
      </c>
      <c r="F296" s="61" t="s">
        <v>329</v>
      </c>
      <c r="G296" s="61" t="s">
        <v>202</v>
      </c>
      <c r="H296" s="61" t="s">
        <v>12</v>
      </c>
      <c r="I296" s="61" t="s">
        <v>200</v>
      </c>
      <c r="J296" s="61" t="s">
        <v>473</v>
      </c>
      <c r="K296" s="61" t="s">
        <v>291</v>
      </c>
      <c r="L296" s="63">
        <v>30.1</v>
      </c>
      <c r="M296" s="63">
        <f>L296*VLOOKUP(H296,dagsoorttabel1,2,FALSE)</f>
        <v>24.198039215686276</v>
      </c>
      <c r="N296" s="64">
        <f>prodnorm5</f>
        <v>0</v>
      </c>
      <c r="O296" s="65">
        <f>dagwerk5</f>
        <v>0</v>
      </c>
      <c r="P296" s="61" t="s">
        <v>41</v>
      </c>
      <c r="Q296" s="66">
        <f>uurtarief5</f>
        <v>0</v>
      </c>
      <c r="R296" s="63" t="e">
        <f>IF(ISBLANK(N296),0,M296/ROUND(N296,4))</f>
        <v>#DIV/0!</v>
      </c>
      <c r="S296" s="63" t="e">
        <f>IF(ISBLANK(N296),0,R296*ROUND(O296,2))</f>
        <v>#DIV/0!</v>
      </c>
      <c r="T296" s="66" t="e">
        <f>ROUND(Q296,2)*R296</f>
        <v>#DIV/0!</v>
      </c>
      <c r="U296" s="63" t="e">
        <f>R296*dagenperjaar1</f>
        <v>#DIV/0!</v>
      </c>
      <c r="V296" s="67" t="e">
        <f>U296*ROUND(Q296,2)</f>
        <v>#DIV/0!</v>
      </c>
    </row>
    <row r="297" spans="1:22" x14ac:dyDescent="0.2">
      <c r="A297" s="60" t="s">
        <v>582</v>
      </c>
      <c r="B297" s="61" t="s">
        <v>291</v>
      </c>
      <c r="C297" s="61" t="s">
        <v>292</v>
      </c>
      <c r="D297" s="61" t="s">
        <v>424</v>
      </c>
      <c r="E297" s="62" t="s">
        <v>644</v>
      </c>
      <c r="F297" s="61" t="s">
        <v>329</v>
      </c>
      <c r="G297" s="61" t="s">
        <v>202</v>
      </c>
      <c r="H297" s="61" t="s">
        <v>12</v>
      </c>
      <c r="I297" s="61" t="s">
        <v>200</v>
      </c>
      <c r="J297" s="61" t="s">
        <v>473</v>
      </c>
      <c r="K297" s="61" t="s">
        <v>291</v>
      </c>
      <c r="L297" s="63">
        <v>12.8</v>
      </c>
      <c r="M297" s="63">
        <f>L297*VLOOKUP(H297,dagsoorttabel1,2,FALSE)</f>
        <v>10.290196078431373</v>
      </c>
      <c r="N297" s="64">
        <f>prodnorm5</f>
        <v>0</v>
      </c>
      <c r="O297" s="65">
        <f>dagwerk5</f>
        <v>0</v>
      </c>
      <c r="P297" s="61" t="s">
        <v>41</v>
      </c>
      <c r="Q297" s="66">
        <f>uurtarief5</f>
        <v>0</v>
      </c>
      <c r="R297" s="63" t="e">
        <f>IF(ISBLANK(N297),0,M297/ROUND(N297,4))</f>
        <v>#DIV/0!</v>
      </c>
      <c r="S297" s="63" t="e">
        <f>IF(ISBLANK(N297),0,R297*ROUND(O297,2))</f>
        <v>#DIV/0!</v>
      </c>
      <c r="T297" s="66" t="e">
        <f>ROUND(Q297,2)*R297</f>
        <v>#DIV/0!</v>
      </c>
      <c r="U297" s="63" t="e">
        <f>R297*dagenperjaar1</f>
        <v>#DIV/0!</v>
      </c>
      <c r="V297" s="67" t="e">
        <f>U297*ROUND(Q297,2)</f>
        <v>#DIV/0!</v>
      </c>
    </row>
    <row r="298" spans="1:22" x14ac:dyDescent="0.2">
      <c r="A298" s="60" t="s">
        <v>582</v>
      </c>
      <c r="B298" s="61" t="s">
        <v>291</v>
      </c>
      <c r="C298" s="61" t="s">
        <v>292</v>
      </c>
      <c r="D298" s="61" t="s">
        <v>425</v>
      </c>
      <c r="E298" s="62" t="s">
        <v>645</v>
      </c>
      <c r="F298" s="61" t="s">
        <v>324</v>
      </c>
      <c r="G298" s="61" t="s">
        <v>240</v>
      </c>
      <c r="H298" s="61" t="s">
        <v>12</v>
      </c>
      <c r="I298" s="61" t="s">
        <v>200</v>
      </c>
      <c r="J298" s="61" t="s">
        <v>498</v>
      </c>
      <c r="K298" s="61" t="s">
        <v>291</v>
      </c>
      <c r="L298" s="63">
        <v>100</v>
      </c>
      <c r="M298" s="63">
        <f>L298*VLOOKUP(H298,dagsoorttabel1,2,FALSE)</f>
        <v>80.392156862745097</v>
      </c>
      <c r="N298" s="64">
        <f>prodnorm33</f>
        <v>0</v>
      </c>
      <c r="O298" s="65">
        <f>dagwerk33</f>
        <v>0</v>
      </c>
      <c r="P298" s="61" t="s">
        <v>41</v>
      </c>
      <c r="Q298" s="66">
        <f>uurtarief33</f>
        <v>0</v>
      </c>
      <c r="R298" s="63" t="e">
        <f>IF(ISBLANK(N298),0,M298/ROUND(N298,4))</f>
        <v>#DIV/0!</v>
      </c>
      <c r="S298" s="63" t="e">
        <f>IF(ISBLANK(N298),0,R298*ROUND(O298,2))</f>
        <v>#DIV/0!</v>
      </c>
      <c r="T298" s="66" t="e">
        <f>ROUND(Q298,2)*R298</f>
        <v>#DIV/0!</v>
      </c>
      <c r="U298" s="63" t="e">
        <f>R298*dagenperjaar1</f>
        <v>#DIV/0!</v>
      </c>
      <c r="V298" s="67" t="e">
        <f>U298*ROUND(Q298,2)</f>
        <v>#DIV/0!</v>
      </c>
    </row>
    <row r="299" spans="1:22" x14ac:dyDescent="0.2">
      <c r="A299" s="60" t="s">
        <v>582</v>
      </c>
      <c r="B299" s="61" t="s">
        <v>291</v>
      </c>
      <c r="C299" s="61" t="s">
        <v>292</v>
      </c>
      <c r="D299" s="61" t="s">
        <v>426</v>
      </c>
      <c r="E299" s="62" t="s">
        <v>646</v>
      </c>
      <c r="F299" s="61" t="s">
        <v>324</v>
      </c>
      <c r="G299" s="61" t="s">
        <v>240</v>
      </c>
      <c r="H299" s="61" t="s">
        <v>12</v>
      </c>
      <c r="I299" s="61" t="s">
        <v>200</v>
      </c>
      <c r="J299" s="61" t="s">
        <v>498</v>
      </c>
      <c r="K299" s="61" t="s">
        <v>291</v>
      </c>
      <c r="L299" s="63">
        <v>100</v>
      </c>
      <c r="M299" s="63">
        <f>L299*VLOOKUP(H299,dagsoorttabel1,2,FALSE)</f>
        <v>80.392156862745097</v>
      </c>
      <c r="N299" s="64">
        <f>prodnorm33</f>
        <v>0</v>
      </c>
      <c r="O299" s="65">
        <f>dagwerk33</f>
        <v>0</v>
      </c>
      <c r="P299" s="61" t="s">
        <v>41</v>
      </c>
      <c r="Q299" s="66">
        <f>uurtarief33</f>
        <v>0</v>
      </c>
      <c r="R299" s="63" t="e">
        <f>IF(ISBLANK(N299),0,M299/ROUND(N299,4))</f>
        <v>#DIV/0!</v>
      </c>
      <c r="S299" s="63" t="e">
        <f>IF(ISBLANK(N299),0,R299*ROUND(O299,2))</f>
        <v>#DIV/0!</v>
      </c>
      <c r="T299" s="66" t="e">
        <f>ROUND(Q299,2)*R299</f>
        <v>#DIV/0!</v>
      </c>
      <c r="U299" s="63" t="e">
        <f>R299*dagenperjaar1</f>
        <v>#DIV/0!</v>
      </c>
      <c r="V299" s="67" t="e">
        <f>U299*ROUND(Q299,2)</f>
        <v>#DIV/0!</v>
      </c>
    </row>
    <row r="300" spans="1:22" x14ac:dyDescent="0.2">
      <c r="A300" s="60" t="s">
        <v>582</v>
      </c>
      <c r="B300" s="61" t="s">
        <v>291</v>
      </c>
      <c r="C300" s="61" t="s">
        <v>292</v>
      </c>
      <c r="D300" s="61" t="s">
        <v>647</v>
      </c>
      <c r="E300" s="62" t="s">
        <v>489</v>
      </c>
      <c r="F300" s="61" t="s">
        <v>470</v>
      </c>
      <c r="G300" s="61" t="s">
        <v>250</v>
      </c>
      <c r="H300" s="61" t="s">
        <v>12</v>
      </c>
      <c r="I300" s="61" t="s">
        <v>200</v>
      </c>
      <c r="J300" s="61" t="s">
        <v>480</v>
      </c>
      <c r="K300" s="61" t="s">
        <v>291</v>
      </c>
      <c r="L300" s="63">
        <v>5.5</v>
      </c>
      <c r="M300" s="63">
        <f>L300*VLOOKUP(H300,dagsoorttabel1,2,FALSE)</f>
        <v>4.4215686274509807</v>
      </c>
      <c r="N300" s="64">
        <f>prodnorm39</f>
        <v>0</v>
      </c>
      <c r="O300" s="65">
        <f>dagwerk39</f>
        <v>0</v>
      </c>
      <c r="P300" s="61" t="s">
        <v>41</v>
      </c>
      <c r="Q300" s="66">
        <f>uurtarief39</f>
        <v>0</v>
      </c>
      <c r="R300" s="63" t="e">
        <f>IF(ISBLANK(N300),0,M300/ROUND(N300,4))</f>
        <v>#DIV/0!</v>
      </c>
      <c r="S300" s="63" t="e">
        <f>IF(ISBLANK(N300),0,R300*ROUND(O300,2))</f>
        <v>#DIV/0!</v>
      </c>
      <c r="T300" s="66" t="e">
        <f>ROUND(Q300,2)*R300</f>
        <v>#DIV/0!</v>
      </c>
      <c r="U300" s="63" t="e">
        <f>R300*dagenperjaar1</f>
        <v>#DIV/0!</v>
      </c>
      <c r="V300" s="67" t="e">
        <f>U300*ROUND(Q300,2)</f>
        <v>#DIV/0!</v>
      </c>
    </row>
    <row r="301" spans="1:22" x14ac:dyDescent="0.2">
      <c r="A301" s="60" t="s">
        <v>582</v>
      </c>
      <c r="B301" s="61" t="s">
        <v>291</v>
      </c>
      <c r="C301" s="61" t="s">
        <v>292</v>
      </c>
      <c r="D301" s="61" t="s">
        <v>427</v>
      </c>
      <c r="E301" s="62" t="s">
        <v>491</v>
      </c>
      <c r="F301" s="61" t="s">
        <v>470</v>
      </c>
      <c r="G301" s="61" t="s">
        <v>250</v>
      </c>
      <c r="H301" s="61" t="s">
        <v>12</v>
      </c>
      <c r="I301" s="61" t="s">
        <v>200</v>
      </c>
      <c r="J301" s="61" t="s">
        <v>480</v>
      </c>
      <c r="K301" s="61" t="s">
        <v>291</v>
      </c>
      <c r="L301" s="63">
        <v>5.5</v>
      </c>
      <c r="M301" s="63">
        <f>L301*VLOOKUP(H301,dagsoorttabel1,2,FALSE)</f>
        <v>4.4215686274509807</v>
      </c>
      <c r="N301" s="64">
        <f>prodnorm39</f>
        <v>0</v>
      </c>
      <c r="O301" s="65">
        <f>dagwerk39</f>
        <v>0</v>
      </c>
      <c r="P301" s="61" t="s">
        <v>41</v>
      </c>
      <c r="Q301" s="66">
        <f>uurtarief39</f>
        <v>0</v>
      </c>
      <c r="R301" s="63" t="e">
        <f>IF(ISBLANK(N301),0,M301/ROUND(N301,4))</f>
        <v>#DIV/0!</v>
      </c>
      <c r="S301" s="63" t="e">
        <f>IF(ISBLANK(N301),0,R301*ROUND(O301,2))</f>
        <v>#DIV/0!</v>
      </c>
      <c r="T301" s="66" t="e">
        <f>ROUND(Q301,2)*R301</f>
        <v>#DIV/0!</v>
      </c>
      <c r="U301" s="63" t="e">
        <f>R301*dagenperjaar1</f>
        <v>#DIV/0!</v>
      </c>
      <c r="V301" s="67" t="e">
        <f>U301*ROUND(Q301,2)</f>
        <v>#DIV/0!</v>
      </c>
    </row>
    <row r="302" spans="1:22" x14ac:dyDescent="0.2">
      <c r="A302" s="60" t="s">
        <v>582</v>
      </c>
      <c r="B302" s="61" t="s">
        <v>291</v>
      </c>
      <c r="C302" s="61" t="s">
        <v>292</v>
      </c>
      <c r="D302" s="61" t="s">
        <v>429</v>
      </c>
      <c r="E302" s="62" t="s">
        <v>648</v>
      </c>
      <c r="F302" s="61" t="s">
        <v>324</v>
      </c>
      <c r="G302" s="61" t="s">
        <v>240</v>
      </c>
      <c r="H302" s="61" t="s">
        <v>12</v>
      </c>
      <c r="I302" s="61" t="s">
        <v>200</v>
      </c>
      <c r="J302" s="61" t="s">
        <v>498</v>
      </c>
      <c r="K302" s="61" t="s">
        <v>291</v>
      </c>
      <c r="L302" s="63">
        <v>85.5</v>
      </c>
      <c r="M302" s="63">
        <f>L302*VLOOKUP(H302,dagsoorttabel1,2,FALSE)</f>
        <v>68.735294117647058</v>
      </c>
      <c r="N302" s="64">
        <f>prodnorm33</f>
        <v>0</v>
      </c>
      <c r="O302" s="65">
        <f>dagwerk33</f>
        <v>0</v>
      </c>
      <c r="P302" s="61" t="s">
        <v>41</v>
      </c>
      <c r="Q302" s="66">
        <f>uurtarief33</f>
        <v>0</v>
      </c>
      <c r="R302" s="63" t="e">
        <f>IF(ISBLANK(N302),0,M302/ROUND(N302,4))</f>
        <v>#DIV/0!</v>
      </c>
      <c r="S302" s="63" t="e">
        <f>IF(ISBLANK(N302),0,R302*ROUND(O302,2))</f>
        <v>#DIV/0!</v>
      </c>
      <c r="T302" s="66" t="e">
        <f>ROUND(Q302,2)*R302</f>
        <v>#DIV/0!</v>
      </c>
      <c r="U302" s="63" t="e">
        <f>R302*dagenperjaar1</f>
        <v>#DIV/0!</v>
      </c>
      <c r="V302" s="67" t="e">
        <f>U302*ROUND(Q302,2)</f>
        <v>#DIV/0!</v>
      </c>
    </row>
    <row r="303" spans="1:22" x14ac:dyDescent="0.2">
      <c r="A303" s="60" t="s">
        <v>582</v>
      </c>
      <c r="B303" s="61" t="s">
        <v>291</v>
      </c>
      <c r="C303" s="61" t="s">
        <v>292</v>
      </c>
      <c r="D303" s="61" t="s">
        <v>649</v>
      </c>
      <c r="E303" s="62" t="s">
        <v>650</v>
      </c>
      <c r="F303" s="61" t="s">
        <v>324</v>
      </c>
      <c r="G303" s="61" t="s">
        <v>240</v>
      </c>
      <c r="H303" s="61" t="s">
        <v>12</v>
      </c>
      <c r="I303" s="61" t="s">
        <v>200</v>
      </c>
      <c r="J303" s="61" t="s">
        <v>498</v>
      </c>
      <c r="K303" s="61" t="s">
        <v>291</v>
      </c>
      <c r="L303" s="63">
        <v>30.8</v>
      </c>
      <c r="M303" s="63">
        <f>L303*VLOOKUP(H303,dagsoorttabel1,2,FALSE)</f>
        <v>24.760784313725491</v>
      </c>
      <c r="N303" s="64">
        <f>prodnorm33</f>
        <v>0</v>
      </c>
      <c r="O303" s="65">
        <f>dagwerk33</f>
        <v>0</v>
      </c>
      <c r="P303" s="61" t="s">
        <v>41</v>
      </c>
      <c r="Q303" s="66">
        <f>uurtarief33</f>
        <v>0</v>
      </c>
      <c r="R303" s="63" t="e">
        <f>IF(ISBLANK(N303),0,M303/ROUND(N303,4))</f>
        <v>#DIV/0!</v>
      </c>
      <c r="S303" s="63" t="e">
        <f>IF(ISBLANK(N303),0,R303*ROUND(O303,2))</f>
        <v>#DIV/0!</v>
      </c>
      <c r="T303" s="66" t="e">
        <f>ROUND(Q303,2)*R303</f>
        <v>#DIV/0!</v>
      </c>
      <c r="U303" s="63" t="e">
        <f>R303*dagenperjaar1</f>
        <v>#DIV/0!</v>
      </c>
      <c r="V303" s="67" t="e">
        <f>U303*ROUND(Q303,2)</f>
        <v>#DIV/0!</v>
      </c>
    </row>
    <row r="304" spans="1:22" x14ac:dyDescent="0.2">
      <c r="A304" s="60" t="s">
        <v>582</v>
      </c>
      <c r="B304" s="61" t="s">
        <v>291</v>
      </c>
      <c r="C304" s="61" t="s">
        <v>292</v>
      </c>
      <c r="D304" s="61" t="s">
        <v>430</v>
      </c>
      <c r="E304" s="62" t="s">
        <v>651</v>
      </c>
      <c r="F304" s="61" t="s">
        <v>324</v>
      </c>
      <c r="G304" s="61" t="s">
        <v>240</v>
      </c>
      <c r="H304" s="61" t="s">
        <v>12</v>
      </c>
      <c r="I304" s="61" t="s">
        <v>200</v>
      </c>
      <c r="J304" s="61" t="s">
        <v>498</v>
      </c>
      <c r="K304" s="61" t="s">
        <v>291</v>
      </c>
      <c r="L304" s="63">
        <v>94.5</v>
      </c>
      <c r="M304" s="63">
        <f>L304*VLOOKUP(H304,dagsoorttabel1,2,FALSE)</f>
        <v>75.970588235294116</v>
      </c>
      <c r="N304" s="64">
        <f>prodnorm33</f>
        <v>0</v>
      </c>
      <c r="O304" s="65">
        <f>dagwerk33</f>
        <v>0</v>
      </c>
      <c r="P304" s="61" t="s">
        <v>41</v>
      </c>
      <c r="Q304" s="66">
        <f>uurtarief33</f>
        <v>0</v>
      </c>
      <c r="R304" s="63" t="e">
        <f>IF(ISBLANK(N304),0,M304/ROUND(N304,4))</f>
        <v>#DIV/0!</v>
      </c>
      <c r="S304" s="63" t="e">
        <f>IF(ISBLANK(N304),0,R304*ROUND(O304,2))</f>
        <v>#DIV/0!</v>
      </c>
      <c r="T304" s="66" t="e">
        <f>ROUND(Q304,2)*R304</f>
        <v>#DIV/0!</v>
      </c>
      <c r="U304" s="63" t="e">
        <f>R304*dagenperjaar1</f>
        <v>#DIV/0!</v>
      </c>
      <c r="V304" s="67" t="e">
        <f>U304*ROUND(Q304,2)</f>
        <v>#DIV/0!</v>
      </c>
    </row>
    <row r="305" spans="1:22" x14ac:dyDescent="0.2">
      <c r="A305" s="60" t="s">
        <v>582</v>
      </c>
      <c r="B305" s="61" t="s">
        <v>291</v>
      </c>
      <c r="C305" s="61" t="s">
        <v>292</v>
      </c>
      <c r="D305" s="61" t="s">
        <v>652</v>
      </c>
      <c r="E305" s="62" t="s">
        <v>651</v>
      </c>
      <c r="F305" s="61" t="s">
        <v>324</v>
      </c>
      <c r="G305" s="61" t="s">
        <v>240</v>
      </c>
      <c r="H305" s="61" t="s">
        <v>12</v>
      </c>
      <c r="I305" s="61" t="s">
        <v>200</v>
      </c>
      <c r="J305" s="61" t="s">
        <v>498</v>
      </c>
      <c r="K305" s="61" t="s">
        <v>291</v>
      </c>
      <c r="L305" s="63">
        <v>50</v>
      </c>
      <c r="M305" s="63">
        <f>L305*VLOOKUP(H305,dagsoorttabel1,2,FALSE)</f>
        <v>40.196078431372548</v>
      </c>
      <c r="N305" s="64">
        <f>prodnorm33</f>
        <v>0</v>
      </c>
      <c r="O305" s="65">
        <f>dagwerk33</f>
        <v>0</v>
      </c>
      <c r="P305" s="61" t="s">
        <v>41</v>
      </c>
      <c r="Q305" s="66">
        <f>uurtarief33</f>
        <v>0</v>
      </c>
      <c r="R305" s="63" t="e">
        <f>IF(ISBLANK(N305),0,M305/ROUND(N305,4))</f>
        <v>#DIV/0!</v>
      </c>
      <c r="S305" s="63" t="e">
        <f>IF(ISBLANK(N305),0,R305*ROUND(O305,2))</f>
        <v>#DIV/0!</v>
      </c>
      <c r="T305" s="66" t="e">
        <f>ROUND(Q305,2)*R305</f>
        <v>#DIV/0!</v>
      </c>
      <c r="U305" s="63" t="e">
        <f>R305*dagenperjaar1</f>
        <v>#DIV/0!</v>
      </c>
      <c r="V305" s="67" t="e">
        <f>U305*ROUND(Q305,2)</f>
        <v>#DIV/0!</v>
      </c>
    </row>
    <row r="306" spans="1:22" x14ac:dyDescent="0.2">
      <c r="A306" s="60" t="s">
        <v>582</v>
      </c>
      <c r="B306" s="61" t="s">
        <v>291</v>
      </c>
      <c r="C306" s="61" t="s">
        <v>292</v>
      </c>
      <c r="D306" s="61" t="s">
        <v>653</v>
      </c>
      <c r="E306" s="62" t="s">
        <v>651</v>
      </c>
      <c r="F306" s="61" t="s">
        <v>324</v>
      </c>
      <c r="G306" s="61" t="s">
        <v>240</v>
      </c>
      <c r="H306" s="61" t="s">
        <v>12</v>
      </c>
      <c r="I306" s="61" t="s">
        <v>200</v>
      </c>
      <c r="J306" s="61" t="s">
        <v>498</v>
      </c>
      <c r="K306" s="61" t="s">
        <v>291</v>
      </c>
      <c r="L306" s="63">
        <v>50</v>
      </c>
      <c r="M306" s="63">
        <f>L306*VLOOKUP(H306,dagsoorttabel1,2,FALSE)</f>
        <v>40.196078431372548</v>
      </c>
      <c r="N306" s="64">
        <f>prodnorm33</f>
        <v>0</v>
      </c>
      <c r="O306" s="65">
        <f>dagwerk33</f>
        <v>0</v>
      </c>
      <c r="P306" s="61" t="s">
        <v>41</v>
      </c>
      <c r="Q306" s="66">
        <f>uurtarief33</f>
        <v>0</v>
      </c>
      <c r="R306" s="63" t="e">
        <f>IF(ISBLANK(N306),0,M306/ROUND(N306,4))</f>
        <v>#DIV/0!</v>
      </c>
      <c r="S306" s="63" t="e">
        <f>IF(ISBLANK(N306),0,R306*ROUND(O306,2))</f>
        <v>#DIV/0!</v>
      </c>
      <c r="T306" s="66" t="e">
        <f>ROUND(Q306,2)*R306</f>
        <v>#DIV/0!</v>
      </c>
      <c r="U306" s="63" t="e">
        <f>R306*dagenperjaar1</f>
        <v>#DIV/0!</v>
      </c>
      <c r="V306" s="67" t="e">
        <f>U306*ROUND(Q306,2)</f>
        <v>#DIV/0!</v>
      </c>
    </row>
    <row r="307" spans="1:22" x14ac:dyDescent="0.2">
      <c r="A307" s="60" t="s">
        <v>582</v>
      </c>
      <c r="B307" s="61" t="s">
        <v>291</v>
      </c>
      <c r="C307" s="61" t="s">
        <v>292</v>
      </c>
      <c r="D307" s="61" t="s">
        <v>431</v>
      </c>
      <c r="E307" s="62" t="s">
        <v>654</v>
      </c>
      <c r="F307" s="61" t="s">
        <v>324</v>
      </c>
      <c r="G307" s="61" t="s">
        <v>218</v>
      </c>
      <c r="H307" s="61" t="s">
        <v>12</v>
      </c>
      <c r="I307" s="61" t="s">
        <v>200</v>
      </c>
      <c r="J307" s="61" t="s">
        <v>498</v>
      </c>
      <c r="K307" s="61" t="s">
        <v>291</v>
      </c>
      <c r="L307" s="63">
        <v>64</v>
      </c>
      <c r="M307" s="63">
        <f>L307*VLOOKUP(H307,dagsoorttabel1,2,FALSE)</f>
        <v>51.450980392156865</v>
      </c>
      <c r="N307" s="64">
        <f>prodnorm19</f>
        <v>0</v>
      </c>
      <c r="O307" s="65">
        <f>dagwerk19</f>
        <v>0</v>
      </c>
      <c r="P307" s="61" t="s">
        <v>41</v>
      </c>
      <c r="Q307" s="66">
        <f>uurtarief19</f>
        <v>0</v>
      </c>
      <c r="R307" s="63" t="e">
        <f>IF(ISBLANK(N307),0,M307/ROUND(N307,4))</f>
        <v>#DIV/0!</v>
      </c>
      <c r="S307" s="63" t="e">
        <f>IF(ISBLANK(N307),0,R307*ROUND(O307,2))</f>
        <v>#DIV/0!</v>
      </c>
      <c r="T307" s="66" t="e">
        <f>ROUND(Q307,2)*R307</f>
        <v>#DIV/0!</v>
      </c>
      <c r="U307" s="63" t="e">
        <f>R307*dagenperjaar1</f>
        <v>#DIV/0!</v>
      </c>
      <c r="V307" s="67" t="e">
        <f>U307*ROUND(Q307,2)</f>
        <v>#DIV/0!</v>
      </c>
    </row>
    <row r="308" spans="1:22" x14ac:dyDescent="0.2">
      <c r="A308" s="60" t="s">
        <v>582</v>
      </c>
      <c r="B308" s="61" t="s">
        <v>291</v>
      </c>
      <c r="C308" s="61" t="s">
        <v>292</v>
      </c>
      <c r="D308" s="61" t="s">
        <v>432</v>
      </c>
      <c r="E308" s="62" t="s">
        <v>552</v>
      </c>
      <c r="F308" s="61" t="s">
        <v>301</v>
      </c>
      <c r="G308" s="61" t="s">
        <v>254</v>
      </c>
      <c r="H308" s="61" t="s">
        <v>12</v>
      </c>
      <c r="I308" s="61" t="s">
        <v>200</v>
      </c>
      <c r="J308" s="61" t="s">
        <v>471</v>
      </c>
      <c r="K308" s="61" t="s">
        <v>291</v>
      </c>
      <c r="L308" s="63">
        <v>22.6</v>
      </c>
      <c r="M308" s="63">
        <f>L308*VLOOKUP(H308,dagsoorttabel1,2,FALSE)</f>
        <v>18.168627450980395</v>
      </c>
      <c r="N308" s="64">
        <f>prodnorm44</f>
        <v>0</v>
      </c>
      <c r="O308" s="65">
        <f>dagwerk44</f>
        <v>0</v>
      </c>
      <c r="P308" s="61" t="s">
        <v>41</v>
      </c>
      <c r="Q308" s="66">
        <f>uurtarief44</f>
        <v>0</v>
      </c>
      <c r="R308" s="63" t="e">
        <f>IF(ISBLANK(N308),0,M308/ROUND(N308,4))</f>
        <v>#DIV/0!</v>
      </c>
      <c r="S308" s="63" t="e">
        <f>IF(ISBLANK(N308),0,R308*ROUND(O308,2))</f>
        <v>#DIV/0!</v>
      </c>
      <c r="T308" s="66" t="e">
        <f>ROUND(Q308,2)*R308</f>
        <v>#DIV/0!</v>
      </c>
      <c r="U308" s="63" t="e">
        <f>R308*dagenperjaar1</f>
        <v>#DIV/0!</v>
      </c>
      <c r="V308" s="67" t="e">
        <f>U308*ROUND(Q308,2)</f>
        <v>#DIV/0!</v>
      </c>
    </row>
    <row r="309" spans="1:22" x14ac:dyDescent="0.2">
      <c r="A309" s="60" t="s">
        <v>582</v>
      </c>
      <c r="B309" s="61" t="s">
        <v>291</v>
      </c>
      <c r="C309" s="61" t="s">
        <v>292</v>
      </c>
      <c r="D309" s="61" t="s">
        <v>434</v>
      </c>
      <c r="E309" s="62" t="s">
        <v>481</v>
      </c>
      <c r="F309" s="61" t="s">
        <v>532</v>
      </c>
      <c r="G309" s="61" t="s">
        <v>268</v>
      </c>
      <c r="H309" s="61" t="s">
        <v>12</v>
      </c>
      <c r="I309" s="61" t="s">
        <v>200</v>
      </c>
      <c r="J309" s="61" t="s">
        <v>471</v>
      </c>
      <c r="K309" s="61" t="s">
        <v>291</v>
      </c>
      <c r="L309" s="63">
        <v>8</v>
      </c>
      <c r="M309" s="63">
        <f>L309*VLOOKUP(H309,dagsoorttabel1,2,FALSE)</f>
        <v>6.4313725490196081</v>
      </c>
      <c r="N309" s="64">
        <f>prodnorm54</f>
        <v>0</v>
      </c>
      <c r="O309" s="65">
        <f>dagwerk54</f>
        <v>0</v>
      </c>
      <c r="P309" s="61" t="s">
        <v>41</v>
      </c>
      <c r="Q309" s="66">
        <f>uurtarief54</f>
        <v>0</v>
      </c>
      <c r="R309" s="63" t="e">
        <f>IF(ISBLANK(N309),0,M309/ROUND(N309,4))</f>
        <v>#DIV/0!</v>
      </c>
      <c r="S309" s="63" t="e">
        <f>IF(ISBLANK(N309),0,R309*ROUND(O309,2))</f>
        <v>#DIV/0!</v>
      </c>
      <c r="T309" s="66" t="e">
        <f>ROUND(Q309,2)*R309</f>
        <v>#DIV/0!</v>
      </c>
      <c r="U309" s="63" t="e">
        <f>R309*dagenperjaar1</f>
        <v>#DIV/0!</v>
      </c>
      <c r="V309" s="67" t="e">
        <f>U309*ROUND(Q309,2)</f>
        <v>#DIV/0!</v>
      </c>
    </row>
    <row r="310" spans="1:22" x14ac:dyDescent="0.2">
      <c r="A310" s="60" t="s">
        <v>582</v>
      </c>
      <c r="B310" s="61" t="s">
        <v>291</v>
      </c>
      <c r="C310" s="61" t="s">
        <v>292</v>
      </c>
      <c r="D310" s="61" t="s">
        <v>655</v>
      </c>
      <c r="E310" s="62" t="s">
        <v>482</v>
      </c>
      <c r="F310" s="61" t="s">
        <v>532</v>
      </c>
      <c r="G310" s="61" t="s">
        <v>268</v>
      </c>
      <c r="H310" s="61" t="s">
        <v>12</v>
      </c>
      <c r="I310" s="61" t="s">
        <v>200</v>
      </c>
      <c r="J310" s="61" t="s">
        <v>471</v>
      </c>
      <c r="K310" s="61" t="s">
        <v>291</v>
      </c>
      <c r="L310" s="63">
        <v>5</v>
      </c>
      <c r="M310" s="63">
        <f>L310*VLOOKUP(H310,dagsoorttabel1,2,FALSE)</f>
        <v>4.0196078431372548</v>
      </c>
      <c r="N310" s="64">
        <f>prodnorm54</f>
        <v>0</v>
      </c>
      <c r="O310" s="65">
        <f>dagwerk54</f>
        <v>0</v>
      </c>
      <c r="P310" s="61" t="s">
        <v>41</v>
      </c>
      <c r="Q310" s="66">
        <f>uurtarief54</f>
        <v>0</v>
      </c>
      <c r="R310" s="63" t="e">
        <f>IF(ISBLANK(N310),0,M310/ROUND(N310,4))</f>
        <v>#DIV/0!</v>
      </c>
      <c r="S310" s="63" t="e">
        <f>IF(ISBLANK(N310),0,R310*ROUND(O310,2))</f>
        <v>#DIV/0!</v>
      </c>
      <c r="T310" s="66" t="e">
        <f>ROUND(Q310,2)*R310</f>
        <v>#DIV/0!</v>
      </c>
      <c r="U310" s="63" t="e">
        <f>R310*dagenperjaar1</f>
        <v>#DIV/0!</v>
      </c>
      <c r="V310" s="67" t="e">
        <f>U310*ROUND(Q310,2)</f>
        <v>#DIV/0!</v>
      </c>
    </row>
    <row r="311" spans="1:22" x14ac:dyDescent="0.2">
      <c r="A311" s="60" t="s">
        <v>582</v>
      </c>
      <c r="B311" s="61" t="s">
        <v>291</v>
      </c>
      <c r="C311" s="61" t="s">
        <v>292</v>
      </c>
      <c r="D311" s="61" t="s">
        <v>435</v>
      </c>
      <c r="E311" s="62" t="s">
        <v>656</v>
      </c>
      <c r="F311" s="61" t="s">
        <v>301</v>
      </c>
      <c r="G311" s="61" t="s">
        <v>240</v>
      </c>
      <c r="H311" s="61" t="s">
        <v>12</v>
      </c>
      <c r="I311" s="61" t="s">
        <v>200</v>
      </c>
      <c r="J311" s="61" t="s">
        <v>498</v>
      </c>
      <c r="K311" s="61" t="s">
        <v>291</v>
      </c>
      <c r="L311" s="63">
        <v>57.1</v>
      </c>
      <c r="M311" s="63">
        <f>L311*VLOOKUP(H311,dagsoorttabel1,2,FALSE)</f>
        <v>45.903921568627453</v>
      </c>
      <c r="N311" s="64">
        <f>prodnorm33</f>
        <v>0</v>
      </c>
      <c r="O311" s="65">
        <f>dagwerk33</f>
        <v>0</v>
      </c>
      <c r="P311" s="61" t="s">
        <v>41</v>
      </c>
      <c r="Q311" s="66">
        <f>uurtarief33</f>
        <v>0</v>
      </c>
      <c r="R311" s="63" t="e">
        <f>IF(ISBLANK(N311),0,M311/ROUND(N311,4))</f>
        <v>#DIV/0!</v>
      </c>
      <c r="S311" s="63" t="e">
        <f>IF(ISBLANK(N311),0,R311*ROUND(O311,2))</f>
        <v>#DIV/0!</v>
      </c>
      <c r="T311" s="66" t="e">
        <f>ROUND(Q311,2)*R311</f>
        <v>#DIV/0!</v>
      </c>
      <c r="U311" s="63" t="e">
        <f>R311*dagenperjaar1</f>
        <v>#DIV/0!</v>
      </c>
      <c r="V311" s="67" t="e">
        <f>U311*ROUND(Q311,2)</f>
        <v>#DIV/0!</v>
      </c>
    </row>
    <row r="312" spans="1:22" x14ac:dyDescent="0.2">
      <c r="A312" s="60" t="s">
        <v>582</v>
      </c>
      <c r="B312" s="61" t="s">
        <v>291</v>
      </c>
      <c r="C312" s="61" t="s">
        <v>292</v>
      </c>
      <c r="D312" s="61" t="s">
        <v>436</v>
      </c>
      <c r="E312" s="62" t="s">
        <v>657</v>
      </c>
      <c r="F312" s="61" t="s">
        <v>329</v>
      </c>
      <c r="G312" s="61" t="s">
        <v>242</v>
      </c>
      <c r="H312" s="61" t="s">
        <v>12</v>
      </c>
      <c r="I312" s="61" t="s">
        <v>200</v>
      </c>
      <c r="J312" s="61" t="s">
        <v>498</v>
      </c>
      <c r="K312" s="61" t="s">
        <v>291</v>
      </c>
      <c r="L312" s="63">
        <v>11.6</v>
      </c>
      <c r="M312" s="63">
        <f>L312*VLOOKUP(H312,dagsoorttabel1,2,FALSE)</f>
        <v>9.325490196078432</v>
      </c>
      <c r="N312" s="64">
        <f>prodnorm34</f>
        <v>0</v>
      </c>
      <c r="O312" s="65">
        <f>dagwerk34</f>
        <v>0</v>
      </c>
      <c r="P312" s="61" t="s">
        <v>41</v>
      </c>
      <c r="Q312" s="66">
        <f>uurtarief34</f>
        <v>0</v>
      </c>
      <c r="R312" s="63" t="e">
        <f>IF(ISBLANK(N312),0,M312/ROUND(N312,4))</f>
        <v>#DIV/0!</v>
      </c>
      <c r="S312" s="63" t="e">
        <f>IF(ISBLANK(N312),0,R312*ROUND(O312,2))</f>
        <v>#DIV/0!</v>
      </c>
      <c r="T312" s="66" t="e">
        <f>ROUND(Q312,2)*R312</f>
        <v>#DIV/0!</v>
      </c>
      <c r="U312" s="63" t="e">
        <f>R312*dagenperjaar1</f>
        <v>#DIV/0!</v>
      </c>
      <c r="V312" s="67" t="e">
        <f>U312*ROUND(Q312,2)</f>
        <v>#DIV/0!</v>
      </c>
    </row>
    <row r="313" spans="1:22" x14ac:dyDescent="0.2">
      <c r="A313" s="60" t="s">
        <v>582</v>
      </c>
      <c r="B313" s="61" t="s">
        <v>291</v>
      </c>
      <c r="C313" s="61" t="s">
        <v>292</v>
      </c>
      <c r="D313" s="61" t="s">
        <v>658</v>
      </c>
      <c r="E313" s="62" t="s">
        <v>659</v>
      </c>
      <c r="F313" s="61" t="s">
        <v>329</v>
      </c>
      <c r="G313" s="61" t="s">
        <v>242</v>
      </c>
      <c r="H313" s="61" t="s">
        <v>12</v>
      </c>
      <c r="I313" s="61" t="s">
        <v>200</v>
      </c>
      <c r="J313" s="61" t="s">
        <v>498</v>
      </c>
      <c r="K313" s="61" t="s">
        <v>291</v>
      </c>
      <c r="L313" s="63">
        <v>11.6</v>
      </c>
      <c r="M313" s="63">
        <f>L313*VLOOKUP(H313,dagsoorttabel1,2,FALSE)</f>
        <v>9.325490196078432</v>
      </c>
      <c r="N313" s="64">
        <f>prodnorm34</f>
        <v>0</v>
      </c>
      <c r="O313" s="65">
        <f>dagwerk34</f>
        <v>0</v>
      </c>
      <c r="P313" s="61" t="s">
        <v>41</v>
      </c>
      <c r="Q313" s="66">
        <f>uurtarief34</f>
        <v>0</v>
      </c>
      <c r="R313" s="63" t="e">
        <f>IF(ISBLANK(N313),0,M313/ROUND(N313,4))</f>
        <v>#DIV/0!</v>
      </c>
      <c r="S313" s="63" t="e">
        <f>IF(ISBLANK(N313),0,R313*ROUND(O313,2))</f>
        <v>#DIV/0!</v>
      </c>
      <c r="T313" s="66" t="e">
        <f>ROUND(Q313,2)*R313</f>
        <v>#DIV/0!</v>
      </c>
      <c r="U313" s="63" t="e">
        <f>R313*dagenperjaar1</f>
        <v>#DIV/0!</v>
      </c>
      <c r="V313" s="67" t="e">
        <f>U313*ROUND(Q313,2)</f>
        <v>#DIV/0!</v>
      </c>
    </row>
    <row r="314" spans="1:22" x14ac:dyDescent="0.2">
      <c r="A314" s="60" t="s">
        <v>582</v>
      </c>
      <c r="B314" s="61" t="s">
        <v>291</v>
      </c>
      <c r="C314" s="61" t="s">
        <v>292</v>
      </c>
      <c r="D314" s="61" t="s">
        <v>660</v>
      </c>
      <c r="E314" s="62" t="s">
        <v>661</v>
      </c>
      <c r="F314" s="61" t="s">
        <v>329</v>
      </c>
      <c r="G314" s="61" t="s">
        <v>242</v>
      </c>
      <c r="H314" s="61" t="s">
        <v>12</v>
      </c>
      <c r="I314" s="61" t="s">
        <v>200</v>
      </c>
      <c r="J314" s="61" t="s">
        <v>498</v>
      </c>
      <c r="K314" s="61" t="s">
        <v>291</v>
      </c>
      <c r="L314" s="63">
        <v>11.6</v>
      </c>
      <c r="M314" s="63">
        <f>L314*VLOOKUP(H314,dagsoorttabel1,2,FALSE)</f>
        <v>9.325490196078432</v>
      </c>
      <c r="N314" s="64">
        <f>prodnorm34</f>
        <v>0</v>
      </c>
      <c r="O314" s="65">
        <f>dagwerk34</f>
        <v>0</v>
      </c>
      <c r="P314" s="61" t="s">
        <v>41</v>
      </c>
      <c r="Q314" s="66">
        <f>uurtarief34</f>
        <v>0</v>
      </c>
      <c r="R314" s="63" t="e">
        <f>IF(ISBLANK(N314),0,M314/ROUND(N314,4))</f>
        <v>#DIV/0!</v>
      </c>
      <c r="S314" s="63" t="e">
        <f>IF(ISBLANK(N314),0,R314*ROUND(O314,2))</f>
        <v>#DIV/0!</v>
      </c>
      <c r="T314" s="66" t="e">
        <f>ROUND(Q314,2)*R314</f>
        <v>#DIV/0!</v>
      </c>
      <c r="U314" s="63" t="e">
        <f>R314*dagenperjaar1</f>
        <v>#DIV/0!</v>
      </c>
      <c r="V314" s="67" t="e">
        <f>U314*ROUND(Q314,2)</f>
        <v>#DIV/0!</v>
      </c>
    </row>
    <row r="315" spans="1:22" x14ac:dyDescent="0.2">
      <c r="A315" s="60" t="s">
        <v>582</v>
      </c>
      <c r="B315" s="61" t="s">
        <v>291</v>
      </c>
      <c r="C315" s="61" t="s">
        <v>292</v>
      </c>
      <c r="D315" s="61" t="s">
        <v>437</v>
      </c>
      <c r="E315" s="62" t="s">
        <v>662</v>
      </c>
      <c r="F315" s="61" t="s">
        <v>301</v>
      </c>
      <c r="G315" s="61" t="s">
        <v>232</v>
      </c>
      <c r="H315" s="61" t="s">
        <v>12</v>
      </c>
      <c r="I315" s="61" t="s">
        <v>200</v>
      </c>
      <c r="J315" s="61" t="s">
        <v>498</v>
      </c>
      <c r="K315" s="61" t="s">
        <v>291</v>
      </c>
      <c r="L315" s="63">
        <v>75</v>
      </c>
      <c r="M315" s="63">
        <f>L315*VLOOKUP(H315,dagsoorttabel1,2,FALSE)</f>
        <v>60.294117647058826</v>
      </c>
      <c r="N315" s="64">
        <f>prodnorm29</f>
        <v>0</v>
      </c>
      <c r="O315" s="65">
        <f>dagwerk29</f>
        <v>0</v>
      </c>
      <c r="P315" s="61" t="s">
        <v>41</v>
      </c>
      <c r="Q315" s="66">
        <f>uurtarief29</f>
        <v>0</v>
      </c>
      <c r="R315" s="63" t="e">
        <f>IF(ISBLANK(N315),0,M315/ROUND(N315,4))</f>
        <v>#DIV/0!</v>
      </c>
      <c r="S315" s="63" t="e">
        <f>IF(ISBLANK(N315),0,R315*ROUND(O315,2))</f>
        <v>#DIV/0!</v>
      </c>
      <c r="T315" s="66" t="e">
        <f>ROUND(Q315,2)*R315</f>
        <v>#DIV/0!</v>
      </c>
      <c r="U315" s="63" t="e">
        <f>R315*dagenperjaar1</f>
        <v>#DIV/0!</v>
      </c>
      <c r="V315" s="67" t="e">
        <f>U315*ROUND(Q315,2)</f>
        <v>#DIV/0!</v>
      </c>
    </row>
    <row r="316" spans="1:22" x14ac:dyDescent="0.2">
      <c r="A316" s="60" t="s">
        <v>582</v>
      </c>
      <c r="B316" s="61" t="s">
        <v>291</v>
      </c>
      <c r="C316" s="61" t="s">
        <v>292</v>
      </c>
      <c r="D316" s="61" t="s">
        <v>438</v>
      </c>
      <c r="E316" s="62" t="s">
        <v>663</v>
      </c>
      <c r="F316" s="61" t="s">
        <v>329</v>
      </c>
      <c r="G316" s="61" t="s">
        <v>202</v>
      </c>
      <c r="H316" s="61" t="s">
        <v>12</v>
      </c>
      <c r="I316" s="61" t="s">
        <v>200</v>
      </c>
      <c r="J316" s="61" t="s">
        <v>473</v>
      </c>
      <c r="K316" s="61" t="s">
        <v>291</v>
      </c>
      <c r="L316" s="63">
        <v>23.9</v>
      </c>
      <c r="M316" s="63">
        <f>L316*VLOOKUP(H316,dagsoorttabel1,2,FALSE)</f>
        <v>19.213725490196079</v>
      </c>
      <c r="N316" s="64">
        <f>prodnorm5</f>
        <v>0</v>
      </c>
      <c r="O316" s="65">
        <f>dagwerk5</f>
        <v>0</v>
      </c>
      <c r="P316" s="61" t="s">
        <v>41</v>
      </c>
      <c r="Q316" s="66">
        <f>uurtarief5</f>
        <v>0</v>
      </c>
      <c r="R316" s="63" t="e">
        <f>IF(ISBLANK(N316),0,M316/ROUND(N316,4))</f>
        <v>#DIV/0!</v>
      </c>
      <c r="S316" s="63" t="e">
        <f>IF(ISBLANK(N316),0,R316*ROUND(O316,2))</f>
        <v>#DIV/0!</v>
      </c>
      <c r="T316" s="66" t="e">
        <f>ROUND(Q316,2)*R316</f>
        <v>#DIV/0!</v>
      </c>
      <c r="U316" s="63" t="e">
        <f>R316*dagenperjaar1</f>
        <v>#DIV/0!</v>
      </c>
      <c r="V316" s="67" t="e">
        <f>U316*ROUND(Q316,2)</f>
        <v>#DIV/0!</v>
      </c>
    </row>
    <row r="317" spans="1:22" x14ac:dyDescent="0.2">
      <c r="A317" s="60" t="s">
        <v>582</v>
      </c>
      <c r="B317" s="61" t="s">
        <v>291</v>
      </c>
      <c r="C317" s="61" t="s">
        <v>292</v>
      </c>
      <c r="D317" s="61" t="s">
        <v>440</v>
      </c>
      <c r="E317" s="62" t="s">
        <v>664</v>
      </c>
      <c r="F317" s="61" t="s">
        <v>329</v>
      </c>
      <c r="G317" s="61" t="s">
        <v>202</v>
      </c>
      <c r="H317" s="61" t="s">
        <v>12</v>
      </c>
      <c r="I317" s="61" t="s">
        <v>200</v>
      </c>
      <c r="J317" s="61" t="s">
        <v>473</v>
      </c>
      <c r="K317" s="61" t="s">
        <v>291</v>
      </c>
      <c r="L317" s="63">
        <v>24</v>
      </c>
      <c r="M317" s="63">
        <f>L317*VLOOKUP(H317,dagsoorttabel1,2,FALSE)</f>
        <v>19.294117647058826</v>
      </c>
      <c r="N317" s="64">
        <f>prodnorm5</f>
        <v>0</v>
      </c>
      <c r="O317" s="65">
        <f>dagwerk5</f>
        <v>0</v>
      </c>
      <c r="P317" s="61" t="s">
        <v>41</v>
      </c>
      <c r="Q317" s="66">
        <f>uurtarief5</f>
        <v>0</v>
      </c>
      <c r="R317" s="63" t="e">
        <f>IF(ISBLANK(N317),0,M317/ROUND(N317,4))</f>
        <v>#DIV/0!</v>
      </c>
      <c r="S317" s="63" t="e">
        <f>IF(ISBLANK(N317),0,R317*ROUND(O317,2))</f>
        <v>#DIV/0!</v>
      </c>
      <c r="T317" s="66" t="e">
        <f>ROUND(Q317,2)*R317</f>
        <v>#DIV/0!</v>
      </c>
      <c r="U317" s="63" t="e">
        <f>R317*dagenperjaar1</f>
        <v>#DIV/0!</v>
      </c>
      <c r="V317" s="67" t="e">
        <f>U317*ROUND(Q317,2)</f>
        <v>#DIV/0!</v>
      </c>
    </row>
    <row r="318" spans="1:22" x14ac:dyDescent="0.2">
      <c r="A318" s="60" t="s">
        <v>582</v>
      </c>
      <c r="B318" s="61" t="s">
        <v>291</v>
      </c>
      <c r="C318" s="61" t="s">
        <v>292</v>
      </c>
      <c r="D318" s="61" t="s">
        <v>441</v>
      </c>
      <c r="E318" s="62" t="s">
        <v>665</v>
      </c>
      <c r="F318" s="61" t="s">
        <v>615</v>
      </c>
      <c r="G318" s="61" t="s">
        <v>254</v>
      </c>
      <c r="H318" s="61" t="s">
        <v>12</v>
      </c>
      <c r="I318" s="61" t="s">
        <v>200</v>
      </c>
      <c r="J318" s="61" t="s">
        <v>471</v>
      </c>
      <c r="K318" s="61" t="s">
        <v>291</v>
      </c>
      <c r="L318" s="63">
        <v>16</v>
      </c>
      <c r="M318" s="63">
        <f>L318*VLOOKUP(H318,dagsoorttabel1,2,FALSE)</f>
        <v>12.862745098039216</v>
      </c>
      <c r="N318" s="64">
        <f>prodnorm44</f>
        <v>0</v>
      </c>
      <c r="O318" s="65">
        <f>dagwerk44</f>
        <v>0</v>
      </c>
      <c r="P318" s="61" t="s">
        <v>41</v>
      </c>
      <c r="Q318" s="66">
        <f>uurtarief44</f>
        <v>0</v>
      </c>
      <c r="R318" s="63" t="e">
        <f>IF(ISBLANK(N318),0,M318/ROUND(N318,4))</f>
        <v>#DIV/0!</v>
      </c>
      <c r="S318" s="63" t="e">
        <f>IF(ISBLANK(N318),0,R318*ROUND(O318,2))</f>
        <v>#DIV/0!</v>
      </c>
      <c r="T318" s="66" t="e">
        <f>ROUND(Q318,2)*R318</f>
        <v>#DIV/0!</v>
      </c>
      <c r="U318" s="63" t="e">
        <f>R318*dagenperjaar1</f>
        <v>#DIV/0!</v>
      </c>
      <c r="V318" s="67" t="e">
        <f>U318*ROUND(Q318,2)</f>
        <v>#DIV/0!</v>
      </c>
    </row>
    <row r="319" spans="1:22" x14ac:dyDescent="0.2">
      <c r="A319" s="60" t="s">
        <v>582</v>
      </c>
      <c r="B319" s="61" t="s">
        <v>291</v>
      </c>
      <c r="C319" s="61" t="s">
        <v>292</v>
      </c>
      <c r="D319" s="61" t="s">
        <v>442</v>
      </c>
      <c r="E319" s="62" t="s">
        <v>481</v>
      </c>
      <c r="F319" s="61" t="s">
        <v>532</v>
      </c>
      <c r="G319" s="61" t="s">
        <v>268</v>
      </c>
      <c r="H319" s="61" t="s">
        <v>12</v>
      </c>
      <c r="I319" s="61" t="s">
        <v>200</v>
      </c>
      <c r="J319" s="61" t="s">
        <v>471</v>
      </c>
      <c r="K319" s="61" t="s">
        <v>291</v>
      </c>
      <c r="L319" s="63">
        <v>10.8</v>
      </c>
      <c r="M319" s="63">
        <f>L319*VLOOKUP(H319,dagsoorttabel1,2,FALSE)</f>
        <v>8.6823529411764717</v>
      </c>
      <c r="N319" s="64">
        <f>prodnorm54</f>
        <v>0</v>
      </c>
      <c r="O319" s="65">
        <f>dagwerk54</f>
        <v>0</v>
      </c>
      <c r="P319" s="61" t="s">
        <v>41</v>
      </c>
      <c r="Q319" s="66">
        <f>uurtarief54</f>
        <v>0</v>
      </c>
      <c r="R319" s="63" t="e">
        <f>IF(ISBLANK(N319),0,M319/ROUND(N319,4))</f>
        <v>#DIV/0!</v>
      </c>
      <c r="S319" s="63" t="e">
        <f>IF(ISBLANK(N319),0,R319*ROUND(O319,2))</f>
        <v>#DIV/0!</v>
      </c>
      <c r="T319" s="66" t="e">
        <f>ROUND(Q319,2)*R319</f>
        <v>#DIV/0!</v>
      </c>
      <c r="U319" s="63" t="e">
        <f>R319*dagenperjaar1</f>
        <v>#DIV/0!</v>
      </c>
      <c r="V319" s="67" t="e">
        <f>U319*ROUND(Q319,2)</f>
        <v>#DIV/0!</v>
      </c>
    </row>
    <row r="320" spans="1:22" x14ac:dyDescent="0.2">
      <c r="A320" s="60" t="s">
        <v>582</v>
      </c>
      <c r="B320" s="61" t="s">
        <v>291</v>
      </c>
      <c r="C320" s="61" t="s">
        <v>292</v>
      </c>
      <c r="D320" s="61" t="s">
        <v>443</v>
      </c>
      <c r="E320" s="62" t="s">
        <v>482</v>
      </c>
      <c r="F320" s="61" t="s">
        <v>532</v>
      </c>
      <c r="G320" s="61" t="s">
        <v>268</v>
      </c>
      <c r="H320" s="61" t="s">
        <v>12</v>
      </c>
      <c r="I320" s="61" t="s">
        <v>200</v>
      </c>
      <c r="J320" s="61" t="s">
        <v>471</v>
      </c>
      <c r="K320" s="61" t="s">
        <v>291</v>
      </c>
      <c r="L320" s="63">
        <v>7.2</v>
      </c>
      <c r="M320" s="63">
        <f>L320*VLOOKUP(H320,dagsoorttabel1,2,FALSE)</f>
        <v>5.7882352941176478</v>
      </c>
      <c r="N320" s="64">
        <f>prodnorm54</f>
        <v>0</v>
      </c>
      <c r="O320" s="65">
        <f>dagwerk54</f>
        <v>0</v>
      </c>
      <c r="P320" s="61" t="s">
        <v>41</v>
      </c>
      <c r="Q320" s="66">
        <f>uurtarief54</f>
        <v>0</v>
      </c>
      <c r="R320" s="63" t="e">
        <f>IF(ISBLANK(N320),0,M320/ROUND(N320,4))</f>
        <v>#DIV/0!</v>
      </c>
      <c r="S320" s="63" t="e">
        <f>IF(ISBLANK(N320),0,R320*ROUND(O320,2))</f>
        <v>#DIV/0!</v>
      </c>
      <c r="T320" s="66" t="e">
        <f>ROUND(Q320,2)*R320</f>
        <v>#DIV/0!</v>
      </c>
      <c r="U320" s="63" t="e">
        <f>R320*dagenperjaar1</f>
        <v>#DIV/0!</v>
      </c>
      <c r="V320" s="67" t="e">
        <f>U320*ROUND(Q320,2)</f>
        <v>#DIV/0!</v>
      </c>
    </row>
    <row r="321" spans="1:22" x14ac:dyDescent="0.2">
      <c r="A321" s="60" t="s">
        <v>582</v>
      </c>
      <c r="B321" s="61" t="s">
        <v>291</v>
      </c>
      <c r="C321" s="61" t="s">
        <v>292</v>
      </c>
      <c r="D321" s="61" t="s">
        <v>447</v>
      </c>
      <c r="E321" s="62" t="s">
        <v>489</v>
      </c>
      <c r="F321" s="61" t="s">
        <v>470</v>
      </c>
      <c r="G321" s="61" t="s">
        <v>250</v>
      </c>
      <c r="H321" s="61" t="s">
        <v>12</v>
      </c>
      <c r="I321" s="61" t="s">
        <v>200</v>
      </c>
      <c r="J321" s="61" t="s">
        <v>480</v>
      </c>
      <c r="K321" s="61" t="s">
        <v>291</v>
      </c>
      <c r="L321" s="63">
        <v>11.2</v>
      </c>
      <c r="M321" s="63">
        <f>L321*VLOOKUP(H321,dagsoorttabel1,2,FALSE)</f>
        <v>9.003921568627451</v>
      </c>
      <c r="N321" s="64">
        <f>prodnorm39</f>
        <v>0</v>
      </c>
      <c r="O321" s="65">
        <f>dagwerk39</f>
        <v>0</v>
      </c>
      <c r="P321" s="61" t="s">
        <v>41</v>
      </c>
      <c r="Q321" s="66">
        <f>uurtarief39</f>
        <v>0</v>
      </c>
      <c r="R321" s="63" t="e">
        <f>IF(ISBLANK(N321),0,M321/ROUND(N321,4))</f>
        <v>#DIV/0!</v>
      </c>
      <c r="S321" s="63" t="e">
        <f>IF(ISBLANK(N321),0,R321*ROUND(O321,2))</f>
        <v>#DIV/0!</v>
      </c>
      <c r="T321" s="66" t="e">
        <f>ROUND(Q321,2)*R321</f>
        <v>#DIV/0!</v>
      </c>
      <c r="U321" s="63" t="e">
        <f>R321*dagenperjaar1</f>
        <v>#DIV/0!</v>
      </c>
      <c r="V321" s="67" t="e">
        <f>U321*ROUND(Q321,2)</f>
        <v>#DIV/0!</v>
      </c>
    </row>
    <row r="322" spans="1:22" x14ac:dyDescent="0.2">
      <c r="A322" s="60" t="s">
        <v>582</v>
      </c>
      <c r="B322" s="61" t="s">
        <v>291</v>
      </c>
      <c r="C322" s="61" t="s">
        <v>550</v>
      </c>
      <c r="D322" s="61" t="s">
        <v>666</v>
      </c>
      <c r="E322" s="62" t="s">
        <v>552</v>
      </c>
      <c r="F322" s="61" t="s">
        <v>301</v>
      </c>
      <c r="G322" s="61" t="s">
        <v>254</v>
      </c>
      <c r="H322" s="61" t="s">
        <v>12</v>
      </c>
      <c r="I322" s="61" t="s">
        <v>200</v>
      </c>
      <c r="J322" s="61" t="s">
        <v>471</v>
      </c>
      <c r="K322" s="61" t="s">
        <v>291</v>
      </c>
      <c r="L322" s="63">
        <v>17</v>
      </c>
      <c r="M322" s="63">
        <f>L322*VLOOKUP(H322,dagsoorttabel1,2,FALSE)</f>
        <v>13.666666666666668</v>
      </c>
      <c r="N322" s="64">
        <f>prodnorm44</f>
        <v>0</v>
      </c>
      <c r="O322" s="65">
        <f>dagwerk44</f>
        <v>0</v>
      </c>
      <c r="P322" s="61" t="s">
        <v>41</v>
      </c>
      <c r="Q322" s="66">
        <f>uurtarief44</f>
        <v>0</v>
      </c>
      <c r="R322" s="63" t="e">
        <f>IF(ISBLANK(N322),0,M322/ROUND(N322,4))</f>
        <v>#DIV/0!</v>
      </c>
      <c r="S322" s="63" t="e">
        <f>IF(ISBLANK(N322),0,R322*ROUND(O322,2))</f>
        <v>#DIV/0!</v>
      </c>
      <c r="T322" s="66" t="e">
        <f>ROUND(Q322,2)*R322</f>
        <v>#DIV/0!</v>
      </c>
      <c r="U322" s="63" t="e">
        <f>R322*dagenperjaar1</f>
        <v>#DIV/0!</v>
      </c>
      <c r="V322" s="67" t="e">
        <f>U322*ROUND(Q322,2)</f>
        <v>#DIV/0!</v>
      </c>
    </row>
    <row r="323" spans="1:22" x14ac:dyDescent="0.2">
      <c r="A323" s="60" t="s">
        <v>582</v>
      </c>
      <c r="B323" s="61" t="s">
        <v>291</v>
      </c>
      <c r="C323" s="61" t="s">
        <v>550</v>
      </c>
      <c r="D323" s="61" t="s">
        <v>667</v>
      </c>
      <c r="E323" s="62" t="s">
        <v>337</v>
      </c>
      <c r="F323" s="61" t="s">
        <v>301</v>
      </c>
      <c r="G323" s="61" t="s">
        <v>254</v>
      </c>
      <c r="H323" s="61" t="s">
        <v>12</v>
      </c>
      <c r="I323" s="61" t="s">
        <v>200</v>
      </c>
      <c r="J323" s="61" t="s">
        <v>471</v>
      </c>
      <c r="K323" s="61" t="s">
        <v>291</v>
      </c>
      <c r="L323" s="63">
        <v>37.6</v>
      </c>
      <c r="M323" s="63">
        <f>L323*VLOOKUP(H323,dagsoorttabel1,2,FALSE)</f>
        <v>30.22745098039216</v>
      </c>
      <c r="N323" s="64">
        <f>prodnorm44</f>
        <v>0</v>
      </c>
      <c r="O323" s="65">
        <f>dagwerk44</f>
        <v>0</v>
      </c>
      <c r="P323" s="61" t="s">
        <v>41</v>
      </c>
      <c r="Q323" s="66">
        <f>uurtarief44</f>
        <v>0</v>
      </c>
      <c r="R323" s="63" t="e">
        <f>IF(ISBLANK(N323),0,M323/ROUND(N323,4))</f>
        <v>#DIV/0!</v>
      </c>
      <c r="S323" s="63" t="e">
        <f>IF(ISBLANK(N323),0,R323*ROUND(O323,2))</f>
        <v>#DIV/0!</v>
      </c>
      <c r="T323" s="66" t="e">
        <f>ROUND(Q323,2)*R323</f>
        <v>#DIV/0!</v>
      </c>
      <c r="U323" s="63" t="e">
        <f>R323*dagenperjaar1</f>
        <v>#DIV/0!</v>
      </c>
      <c r="V323" s="67" t="e">
        <f>U323*ROUND(Q323,2)</f>
        <v>#DIV/0!</v>
      </c>
    </row>
    <row r="324" spans="1:22" x14ac:dyDescent="0.2">
      <c r="A324" s="60" t="s">
        <v>582</v>
      </c>
      <c r="B324" s="61" t="s">
        <v>291</v>
      </c>
      <c r="C324" s="61" t="s">
        <v>550</v>
      </c>
      <c r="D324" s="61" t="s">
        <v>668</v>
      </c>
      <c r="E324" s="62" t="s">
        <v>337</v>
      </c>
      <c r="F324" s="61" t="s">
        <v>301</v>
      </c>
      <c r="G324" s="61" t="s">
        <v>254</v>
      </c>
      <c r="H324" s="61" t="s">
        <v>12</v>
      </c>
      <c r="I324" s="61" t="s">
        <v>200</v>
      </c>
      <c r="J324" s="61" t="s">
        <v>471</v>
      </c>
      <c r="K324" s="61" t="s">
        <v>291</v>
      </c>
      <c r="L324" s="63">
        <v>77.7</v>
      </c>
      <c r="M324" s="63">
        <f>L324*VLOOKUP(H324,dagsoorttabel1,2,FALSE)</f>
        <v>62.464705882352945</v>
      </c>
      <c r="N324" s="64">
        <f>prodnorm44</f>
        <v>0</v>
      </c>
      <c r="O324" s="65">
        <f>dagwerk44</f>
        <v>0</v>
      </c>
      <c r="P324" s="61" t="s">
        <v>41</v>
      </c>
      <c r="Q324" s="66">
        <f>uurtarief44</f>
        <v>0</v>
      </c>
      <c r="R324" s="63" t="e">
        <f>IF(ISBLANK(N324),0,M324/ROUND(N324,4))</f>
        <v>#DIV/0!</v>
      </c>
      <c r="S324" s="63" t="e">
        <f>IF(ISBLANK(N324),0,R324*ROUND(O324,2))</f>
        <v>#DIV/0!</v>
      </c>
      <c r="T324" s="66" t="e">
        <f>ROUND(Q324,2)*R324</f>
        <v>#DIV/0!</v>
      </c>
      <c r="U324" s="63" t="e">
        <f>R324*dagenperjaar1</f>
        <v>#DIV/0!</v>
      </c>
      <c r="V324" s="67" t="e">
        <f>U324*ROUND(Q324,2)</f>
        <v>#DIV/0!</v>
      </c>
    </row>
    <row r="325" spans="1:22" x14ac:dyDescent="0.2">
      <c r="A325" s="60" t="s">
        <v>582</v>
      </c>
      <c r="B325" s="61" t="s">
        <v>291</v>
      </c>
      <c r="C325" s="61" t="s">
        <v>550</v>
      </c>
      <c r="D325" s="61" t="s">
        <v>669</v>
      </c>
      <c r="E325" s="62" t="s">
        <v>337</v>
      </c>
      <c r="F325" s="61" t="s">
        <v>301</v>
      </c>
      <c r="G325" s="61" t="s">
        <v>254</v>
      </c>
      <c r="H325" s="61" t="s">
        <v>12</v>
      </c>
      <c r="I325" s="61" t="s">
        <v>200</v>
      </c>
      <c r="J325" s="61" t="s">
        <v>471</v>
      </c>
      <c r="K325" s="61" t="s">
        <v>291</v>
      </c>
      <c r="L325" s="63">
        <v>73.349999999999994</v>
      </c>
      <c r="M325" s="63">
        <f>L325*VLOOKUP(H325,dagsoorttabel1,2,FALSE)</f>
        <v>58.96764705882353</v>
      </c>
      <c r="N325" s="64">
        <f>prodnorm44</f>
        <v>0</v>
      </c>
      <c r="O325" s="65">
        <f>dagwerk44</f>
        <v>0</v>
      </c>
      <c r="P325" s="61" t="s">
        <v>41</v>
      </c>
      <c r="Q325" s="66">
        <f>uurtarief44</f>
        <v>0</v>
      </c>
      <c r="R325" s="63" t="e">
        <f>IF(ISBLANK(N325),0,M325/ROUND(N325,4))</f>
        <v>#DIV/0!</v>
      </c>
      <c r="S325" s="63" t="e">
        <f>IF(ISBLANK(N325),0,R325*ROUND(O325,2))</f>
        <v>#DIV/0!</v>
      </c>
      <c r="T325" s="66" t="e">
        <f>ROUND(Q325,2)*R325</f>
        <v>#DIV/0!</v>
      </c>
      <c r="U325" s="63" t="e">
        <f>R325*dagenperjaar1</f>
        <v>#DIV/0!</v>
      </c>
      <c r="V325" s="67" t="e">
        <f>U325*ROUND(Q325,2)</f>
        <v>#DIV/0!</v>
      </c>
    </row>
    <row r="326" spans="1:22" x14ac:dyDescent="0.2">
      <c r="A326" s="60" t="s">
        <v>582</v>
      </c>
      <c r="B326" s="61" t="s">
        <v>291</v>
      </c>
      <c r="C326" s="61" t="s">
        <v>550</v>
      </c>
      <c r="D326" s="61" t="s">
        <v>558</v>
      </c>
      <c r="E326" s="62" t="s">
        <v>670</v>
      </c>
      <c r="F326" s="61" t="s">
        <v>329</v>
      </c>
      <c r="G326" s="61" t="s">
        <v>202</v>
      </c>
      <c r="H326" s="61" t="s">
        <v>12</v>
      </c>
      <c r="I326" s="61" t="s">
        <v>200</v>
      </c>
      <c r="J326" s="61" t="s">
        <v>473</v>
      </c>
      <c r="K326" s="61" t="s">
        <v>291</v>
      </c>
      <c r="L326" s="63">
        <v>23.8</v>
      </c>
      <c r="M326" s="63">
        <f>L326*VLOOKUP(H326,dagsoorttabel1,2,FALSE)</f>
        <v>19.133333333333333</v>
      </c>
      <c r="N326" s="64">
        <f>prodnorm5</f>
        <v>0</v>
      </c>
      <c r="O326" s="65">
        <f>dagwerk5</f>
        <v>0</v>
      </c>
      <c r="P326" s="61" t="s">
        <v>41</v>
      </c>
      <c r="Q326" s="66">
        <f>uurtarief5</f>
        <v>0</v>
      </c>
      <c r="R326" s="63" t="e">
        <f>IF(ISBLANK(N326),0,M326/ROUND(N326,4))</f>
        <v>#DIV/0!</v>
      </c>
      <c r="S326" s="63" t="e">
        <f>IF(ISBLANK(N326),0,R326*ROUND(O326,2))</f>
        <v>#DIV/0!</v>
      </c>
      <c r="T326" s="66" t="e">
        <f>ROUND(Q326,2)*R326</f>
        <v>#DIV/0!</v>
      </c>
      <c r="U326" s="63" t="e">
        <f>R326*dagenperjaar1</f>
        <v>#DIV/0!</v>
      </c>
      <c r="V326" s="67" t="e">
        <f>U326*ROUND(Q326,2)</f>
        <v>#DIV/0!</v>
      </c>
    </row>
    <row r="327" spans="1:22" x14ac:dyDescent="0.2">
      <c r="A327" s="60" t="s">
        <v>582</v>
      </c>
      <c r="B327" s="61" t="s">
        <v>291</v>
      </c>
      <c r="C327" s="61" t="s">
        <v>550</v>
      </c>
      <c r="D327" s="61" t="s">
        <v>560</v>
      </c>
      <c r="E327" s="62" t="s">
        <v>671</v>
      </c>
      <c r="F327" s="61" t="s">
        <v>301</v>
      </c>
      <c r="G327" s="61" t="s">
        <v>218</v>
      </c>
      <c r="H327" s="61" t="s">
        <v>12</v>
      </c>
      <c r="I327" s="61" t="s">
        <v>200</v>
      </c>
      <c r="J327" s="61" t="s">
        <v>498</v>
      </c>
      <c r="K327" s="61" t="s">
        <v>291</v>
      </c>
      <c r="L327" s="63">
        <v>49</v>
      </c>
      <c r="M327" s="63">
        <f>L327*VLOOKUP(H327,dagsoorttabel1,2,FALSE)</f>
        <v>39.392156862745097</v>
      </c>
      <c r="N327" s="64">
        <f>prodnorm19</f>
        <v>0</v>
      </c>
      <c r="O327" s="65">
        <f>dagwerk19</f>
        <v>0</v>
      </c>
      <c r="P327" s="61" t="s">
        <v>41</v>
      </c>
      <c r="Q327" s="66">
        <f>uurtarief19</f>
        <v>0</v>
      </c>
      <c r="R327" s="63" t="e">
        <f>IF(ISBLANK(N327),0,M327/ROUND(N327,4))</f>
        <v>#DIV/0!</v>
      </c>
      <c r="S327" s="63" t="e">
        <f>IF(ISBLANK(N327),0,R327*ROUND(O327,2))</f>
        <v>#DIV/0!</v>
      </c>
      <c r="T327" s="66" t="e">
        <f>ROUND(Q327,2)*R327</f>
        <v>#DIV/0!</v>
      </c>
      <c r="U327" s="63" t="e">
        <f>R327*dagenperjaar1</f>
        <v>#DIV/0!</v>
      </c>
      <c r="V327" s="67" t="e">
        <f>U327*ROUND(Q327,2)</f>
        <v>#DIV/0!</v>
      </c>
    </row>
    <row r="328" spans="1:22" x14ac:dyDescent="0.2">
      <c r="A328" s="60" t="s">
        <v>582</v>
      </c>
      <c r="B328" s="61" t="s">
        <v>291</v>
      </c>
      <c r="C328" s="61" t="s">
        <v>550</v>
      </c>
      <c r="D328" s="61" t="s">
        <v>672</v>
      </c>
      <c r="E328" s="62" t="s">
        <v>673</v>
      </c>
      <c r="F328" s="61" t="s">
        <v>301</v>
      </c>
      <c r="G328" s="61" t="s">
        <v>218</v>
      </c>
      <c r="H328" s="61" t="s">
        <v>12</v>
      </c>
      <c r="I328" s="61" t="s">
        <v>200</v>
      </c>
      <c r="J328" s="61" t="s">
        <v>498</v>
      </c>
      <c r="K328" s="61" t="s">
        <v>291</v>
      </c>
      <c r="L328" s="63">
        <v>49</v>
      </c>
      <c r="M328" s="63">
        <f>L328*VLOOKUP(H328,dagsoorttabel1,2,FALSE)</f>
        <v>39.392156862745097</v>
      </c>
      <c r="N328" s="64">
        <f>prodnorm19</f>
        <v>0</v>
      </c>
      <c r="O328" s="65">
        <f>dagwerk19</f>
        <v>0</v>
      </c>
      <c r="P328" s="61" t="s">
        <v>41</v>
      </c>
      <c r="Q328" s="66">
        <f>uurtarief19</f>
        <v>0</v>
      </c>
      <c r="R328" s="63" t="e">
        <f>IF(ISBLANK(N328),0,M328/ROUND(N328,4))</f>
        <v>#DIV/0!</v>
      </c>
      <c r="S328" s="63" t="e">
        <f>IF(ISBLANK(N328),0,R328*ROUND(O328,2))</f>
        <v>#DIV/0!</v>
      </c>
      <c r="T328" s="66" t="e">
        <f>ROUND(Q328,2)*R328</f>
        <v>#DIV/0!</v>
      </c>
      <c r="U328" s="63" t="e">
        <f>R328*dagenperjaar1</f>
        <v>#DIV/0!</v>
      </c>
      <c r="V328" s="67" t="e">
        <f>U328*ROUND(Q328,2)</f>
        <v>#DIV/0!</v>
      </c>
    </row>
    <row r="329" spans="1:22" x14ac:dyDescent="0.2">
      <c r="A329" s="60" t="s">
        <v>582</v>
      </c>
      <c r="B329" s="61" t="s">
        <v>291</v>
      </c>
      <c r="C329" s="61" t="s">
        <v>550</v>
      </c>
      <c r="D329" s="61" t="s">
        <v>562</v>
      </c>
      <c r="E329" s="62" t="s">
        <v>674</v>
      </c>
      <c r="F329" s="61" t="s">
        <v>301</v>
      </c>
      <c r="G329" s="61" t="s">
        <v>218</v>
      </c>
      <c r="H329" s="61" t="s">
        <v>12</v>
      </c>
      <c r="I329" s="61" t="s">
        <v>200</v>
      </c>
      <c r="J329" s="61" t="s">
        <v>498</v>
      </c>
      <c r="K329" s="61" t="s">
        <v>291</v>
      </c>
      <c r="L329" s="63">
        <v>49</v>
      </c>
      <c r="M329" s="63">
        <f>L329*VLOOKUP(H329,dagsoorttabel1,2,FALSE)</f>
        <v>39.392156862745097</v>
      </c>
      <c r="N329" s="64">
        <f>prodnorm19</f>
        <v>0</v>
      </c>
      <c r="O329" s="65">
        <f>dagwerk19</f>
        <v>0</v>
      </c>
      <c r="P329" s="61" t="s">
        <v>41</v>
      </c>
      <c r="Q329" s="66">
        <f>uurtarief19</f>
        <v>0</v>
      </c>
      <c r="R329" s="63" t="e">
        <f>IF(ISBLANK(N329),0,M329/ROUND(N329,4))</f>
        <v>#DIV/0!</v>
      </c>
      <c r="S329" s="63" t="e">
        <f>IF(ISBLANK(N329),0,R329*ROUND(O329,2))</f>
        <v>#DIV/0!</v>
      </c>
      <c r="T329" s="66" t="e">
        <f>ROUND(Q329,2)*R329</f>
        <v>#DIV/0!</v>
      </c>
      <c r="U329" s="63" t="e">
        <f>R329*dagenperjaar1</f>
        <v>#DIV/0!</v>
      </c>
      <c r="V329" s="67" t="e">
        <f>U329*ROUND(Q329,2)</f>
        <v>#DIV/0!</v>
      </c>
    </row>
    <row r="330" spans="1:22" x14ac:dyDescent="0.2">
      <c r="A330" s="60" t="s">
        <v>582</v>
      </c>
      <c r="B330" s="61" t="s">
        <v>291</v>
      </c>
      <c r="C330" s="61" t="s">
        <v>550</v>
      </c>
      <c r="D330" s="61" t="s">
        <v>563</v>
      </c>
      <c r="E330" s="62" t="s">
        <v>675</v>
      </c>
      <c r="F330" s="61" t="s">
        <v>301</v>
      </c>
      <c r="G330" s="61" t="s">
        <v>218</v>
      </c>
      <c r="H330" s="61" t="s">
        <v>12</v>
      </c>
      <c r="I330" s="61" t="s">
        <v>200</v>
      </c>
      <c r="J330" s="61" t="s">
        <v>498</v>
      </c>
      <c r="K330" s="61" t="s">
        <v>291</v>
      </c>
      <c r="L330" s="63">
        <v>49</v>
      </c>
      <c r="M330" s="63">
        <f>L330*VLOOKUP(H330,dagsoorttabel1,2,FALSE)</f>
        <v>39.392156862745097</v>
      </c>
      <c r="N330" s="64">
        <f>prodnorm19</f>
        <v>0</v>
      </c>
      <c r="O330" s="65">
        <f>dagwerk19</f>
        <v>0</v>
      </c>
      <c r="P330" s="61" t="s">
        <v>41</v>
      </c>
      <c r="Q330" s="66">
        <f>uurtarief19</f>
        <v>0</v>
      </c>
      <c r="R330" s="63" t="e">
        <f>IF(ISBLANK(N330),0,M330/ROUND(N330,4))</f>
        <v>#DIV/0!</v>
      </c>
      <c r="S330" s="63" t="e">
        <f>IF(ISBLANK(N330),0,R330*ROUND(O330,2))</f>
        <v>#DIV/0!</v>
      </c>
      <c r="T330" s="66" t="e">
        <f>ROUND(Q330,2)*R330</f>
        <v>#DIV/0!</v>
      </c>
      <c r="U330" s="63" t="e">
        <f>R330*dagenperjaar1</f>
        <v>#DIV/0!</v>
      </c>
      <c r="V330" s="67" t="e">
        <f>U330*ROUND(Q330,2)</f>
        <v>#DIV/0!</v>
      </c>
    </row>
    <row r="331" spans="1:22" x14ac:dyDescent="0.2">
      <c r="A331" s="60" t="s">
        <v>582</v>
      </c>
      <c r="B331" s="61" t="s">
        <v>291</v>
      </c>
      <c r="C331" s="61" t="s">
        <v>550</v>
      </c>
      <c r="D331" s="61" t="s">
        <v>676</v>
      </c>
      <c r="E331" s="62" t="s">
        <v>552</v>
      </c>
      <c r="F331" s="61" t="s">
        <v>301</v>
      </c>
      <c r="G331" s="61" t="s">
        <v>254</v>
      </c>
      <c r="H331" s="61" t="s">
        <v>12</v>
      </c>
      <c r="I331" s="61" t="s">
        <v>200</v>
      </c>
      <c r="J331" s="61" t="s">
        <v>471</v>
      </c>
      <c r="K331" s="61" t="s">
        <v>291</v>
      </c>
      <c r="L331" s="63">
        <v>5.4</v>
      </c>
      <c r="M331" s="63">
        <f>L331*VLOOKUP(H331,dagsoorttabel1,2,FALSE)</f>
        <v>4.3411764705882359</v>
      </c>
      <c r="N331" s="64">
        <f>prodnorm44</f>
        <v>0</v>
      </c>
      <c r="O331" s="65">
        <f>dagwerk44</f>
        <v>0</v>
      </c>
      <c r="P331" s="61" t="s">
        <v>41</v>
      </c>
      <c r="Q331" s="66">
        <f>uurtarief44</f>
        <v>0</v>
      </c>
      <c r="R331" s="63" t="e">
        <f>IF(ISBLANK(N331),0,M331/ROUND(N331,4))</f>
        <v>#DIV/0!</v>
      </c>
      <c r="S331" s="63" t="e">
        <f>IF(ISBLANK(N331),0,R331*ROUND(O331,2))</f>
        <v>#DIV/0!</v>
      </c>
      <c r="T331" s="66" t="e">
        <f>ROUND(Q331,2)*R331</f>
        <v>#DIV/0!</v>
      </c>
      <c r="U331" s="63" t="e">
        <f>R331*dagenperjaar1</f>
        <v>#DIV/0!</v>
      </c>
      <c r="V331" s="67" t="e">
        <f>U331*ROUND(Q331,2)</f>
        <v>#DIV/0!</v>
      </c>
    </row>
    <row r="332" spans="1:22" x14ac:dyDescent="0.2">
      <c r="A332" s="60" t="s">
        <v>582</v>
      </c>
      <c r="B332" s="61" t="s">
        <v>291</v>
      </c>
      <c r="C332" s="61" t="s">
        <v>550</v>
      </c>
      <c r="D332" s="61" t="s">
        <v>677</v>
      </c>
      <c r="E332" s="62" t="s">
        <v>552</v>
      </c>
      <c r="F332" s="61" t="s">
        <v>532</v>
      </c>
      <c r="G332" s="61" t="s">
        <v>254</v>
      </c>
      <c r="H332" s="61" t="s">
        <v>12</v>
      </c>
      <c r="I332" s="61" t="s">
        <v>200</v>
      </c>
      <c r="J332" s="61" t="s">
        <v>471</v>
      </c>
      <c r="K332" s="61" t="s">
        <v>291</v>
      </c>
      <c r="L332" s="63">
        <v>2.1</v>
      </c>
      <c r="M332" s="63">
        <f>L332*VLOOKUP(H332,dagsoorttabel1,2,FALSE)</f>
        <v>1.6882352941176473</v>
      </c>
      <c r="N332" s="64">
        <f>prodnorm44</f>
        <v>0</v>
      </c>
      <c r="O332" s="65">
        <f>dagwerk44</f>
        <v>0</v>
      </c>
      <c r="P332" s="61" t="s">
        <v>41</v>
      </c>
      <c r="Q332" s="66">
        <f>uurtarief44</f>
        <v>0</v>
      </c>
      <c r="R332" s="63" t="e">
        <f>IF(ISBLANK(N332),0,M332/ROUND(N332,4))</f>
        <v>#DIV/0!</v>
      </c>
      <c r="S332" s="63" t="e">
        <f>IF(ISBLANK(N332),0,R332*ROUND(O332,2))</f>
        <v>#DIV/0!</v>
      </c>
      <c r="T332" s="66" t="e">
        <f>ROUND(Q332,2)*R332</f>
        <v>#DIV/0!</v>
      </c>
      <c r="U332" s="63" t="e">
        <f>R332*dagenperjaar1</f>
        <v>#DIV/0!</v>
      </c>
      <c r="V332" s="67" t="e">
        <f>U332*ROUND(Q332,2)</f>
        <v>#DIV/0!</v>
      </c>
    </row>
    <row r="333" spans="1:22" x14ac:dyDescent="0.2">
      <c r="A333" s="60" t="s">
        <v>582</v>
      </c>
      <c r="B333" s="61" t="s">
        <v>291</v>
      </c>
      <c r="C333" s="61" t="s">
        <v>550</v>
      </c>
      <c r="D333" s="61" t="s">
        <v>566</v>
      </c>
      <c r="E333" s="62" t="s">
        <v>678</v>
      </c>
      <c r="F333" s="61" t="s">
        <v>301</v>
      </c>
      <c r="G333" s="61" t="s">
        <v>218</v>
      </c>
      <c r="H333" s="61" t="s">
        <v>12</v>
      </c>
      <c r="I333" s="61" t="s">
        <v>200</v>
      </c>
      <c r="J333" s="61" t="s">
        <v>498</v>
      </c>
      <c r="K333" s="61" t="s">
        <v>291</v>
      </c>
      <c r="L333" s="63">
        <v>48.9</v>
      </c>
      <c r="M333" s="63">
        <f>L333*VLOOKUP(H333,dagsoorttabel1,2,FALSE)</f>
        <v>39.311764705882354</v>
      </c>
      <c r="N333" s="64">
        <f>prodnorm19</f>
        <v>0</v>
      </c>
      <c r="O333" s="65">
        <f>dagwerk19</f>
        <v>0</v>
      </c>
      <c r="P333" s="61" t="s">
        <v>41</v>
      </c>
      <c r="Q333" s="66">
        <f>uurtarief19</f>
        <v>0</v>
      </c>
      <c r="R333" s="63" t="e">
        <f>IF(ISBLANK(N333),0,M333/ROUND(N333,4))</f>
        <v>#DIV/0!</v>
      </c>
      <c r="S333" s="63" t="e">
        <f>IF(ISBLANK(N333),0,R333*ROUND(O333,2))</f>
        <v>#DIV/0!</v>
      </c>
      <c r="T333" s="66" t="e">
        <f>ROUND(Q333,2)*R333</f>
        <v>#DIV/0!</v>
      </c>
      <c r="U333" s="63" t="e">
        <f>R333*dagenperjaar1</f>
        <v>#DIV/0!</v>
      </c>
      <c r="V333" s="67" t="e">
        <f>U333*ROUND(Q333,2)</f>
        <v>#DIV/0!</v>
      </c>
    </row>
    <row r="334" spans="1:22" x14ac:dyDescent="0.2">
      <c r="A334" s="60" t="s">
        <v>582</v>
      </c>
      <c r="B334" s="61" t="s">
        <v>291</v>
      </c>
      <c r="C334" s="61" t="s">
        <v>550</v>
      </c>
      <c r="D334" s="61" t="s">
        <v>568</v>
      </c>
      <c r="E334" s="62" t="s">
        <v>679</v>
      </c>
      <c r="F334" s="61" t="s">
        <v>329</v>
      </c>
      <c r="G334" s="61" t="s">
        <v>220</v>
      </c>
      <c r="H334" s="61" t="s">
        <v>12</v>
      </c>
      <c r="I334" s="61" t="s">
        <v>200</v>
      </c>
      <c r="J334" s="61" t="s">
        <v>498</v>
      </c>
      <c r="K334" s="61" t="s">
        <v>291</v>
      </c>
      <c r="L334" s="63">
        <v>50.6</v>
      </c>
      <c r="M334" s="63">
        <f>L334*VLOOKUP(H334,dagsoorttabel1,2,FALSE)</f>
        <v>40.678431372549021</v>
      </c>
      <c r="N334" s="64">
        <f>prodnorm21</f>
        <v>0</v>
      </c>
      <c r="O334" s="65">
        <f>dagwerk21</f>
        <v>0</v>
      </c>
      <c r="P334" s="61" t="s">
        <v>41</v>
      </c>
      <c r="Q334" s="66">
        <f>uurtarief21</f>
        <v>0</v>
      </c>
      <c r="R334" s="63" t="e">
        <f>IF(ISBLANK(N334),0,M334/ROUND(N334,4))</f>
        <v>#DIV/0!</v>
      </c>
      <c r="S334" s="63" t="e">
        <f>IF(ISBLANK(N334),0,R334*ROUND(O334,2))</f>
        <v>#DIV/0!</v>
      </c>
      <c r="T334" s="66" t="e">
        <f>ROUND(Q334,2)*R334</f>
        <v>#DIV/0!</v>
      </c>
      <c r="U334" s="63" t="e">
        <f>R334*dagenperjaar1</f>
        <v>#DIV/0!</v>
      </c>
      <c r="V334" s="67" t="e">
        <f>U334*ROUND(Q334,2)</f>
        <v>#DIV/0!</v>
      </c>
    </row>
    <row r="335" spans="1:22" x14ac:dyDescent="0.2">
      <c r="A335" s="60" t="s">
        <v>582</v>
      </c>
      <c r="B335" s="61" t="s">
        <v>291</v>
      </c>
      <c r="C335" s="61" t="s">
        <v>550</v>
      </c>
      <c r="D335" s="61" t="s">
        <v>570</v>
      </c>
      <c r="E335" s="62" t="s">
        <v>679</v>
      </c>
      <c r="F335" s="61" t="s">
        <v>301</v>
      </c>
      <c r="G335" s="61" t="s">
        <v>218</v>
      </c>
      <c r="H335" s="61" t="s">
        <v>12</v>
      </c>
      <c r="I335" s="61" t="s">
        <v>200</v>
      </c>
      <c r="J335" s="61" t="s">
        <v>498</v>
      </c>
      <c r="K335" s="61" t="s">
        <v>291</v>
      </c>
      <c r="L335" s="63">
        <v>49</v>
      </c>
      <c r="M335" s="63">
        <f>L335*VLOOKUP(H335,dagsoorttabel1,2,FALSE)</f>
        <v>39.392156862745097</v>
      </c>
      <c r="N335" s="64">
        <f>prodnorm19</f>
        <v>0</v>
      </c>
      <c r="O335" s="65">
        <f>dagwerk19</f>
        <v>0</v>
      </c>
      <c r="P335" s="61" t="s">
        <v>41</v>
      </c>
      <c r="Q335" s="66">
        <f>uurtarief19</f>
        <v>0</v>
      </c>
      <c r="R335" s="63" t="e">
        <f>IF(ISBLANK(N335),0,M335/ROUND(N335,4))</f>
        <v>#DIV/0!</v>
      </c>
      <c r="S335" s="63" t="e">
        <f>IF(ISBLANK(N335),0,R335*ROUND(O335,2))</f>
        <v>#DIV/0!</v>
      </c>
      <c r="T335" s="66" t="e">
        <f>ROUND(Q335,2)*R335</f>
        <v>#DIV/0!</v>
      </c>
      <c r="U335" s="63" t="e">
        <f>R335*dagenperjaar1</f>
        <v>#DIV/0!</v>
      </c>
      <c r="V335" s="67" t="e">
        <f>U335*ROUND(Q335,2)</f>
        <v>#DIV/0!</v>
      </c>
    </row>
    <row r="336" spans="1:22" x14ac:dyDescent="0.2">
      <c r="A336" s="60" t="s">
        <v>582</v>
      </c>
      <c r="B336" s="61" t="s">
        <v>291</v>
      </c>
      <c r="C336" s="61" t="s">
        <v>550</v>
      </c>
      <c r="D336" s="61" t="s">
        <v>572</v>
      </c>
      <c r="E336" s="62" t="s">
        <v>680</v>
      </c>
      <c r="F336" s="61" t="s">
        <v>301</v>
      </c>
      <c r="G336" s="61" t="s">
        <v>218</v>
      </c>
      <c r="H336" s="61" t="s">
        <v>12</v>
      </c>
      <c r="I336" s="61" t="s">
        <v>200</v>
      </c>
      <c r="J336" s="61" t="s">
        <v>498</v>
      </c>
      <c r="K336" s="61" t="s">
        <v>291</v>
      </c>
      <c r="L336" s="63">
        <v>49</v>
      </c>
      <c r="M336" s="63">
        <f>L336*VLOOKUP(H336,dagsoorttabel1,2,FALSE)</f>
        <v>39.392156862745097</v>
      </c>
      <c r="N336" s="64">
        <f>prodnorm19</f>
        <v>0</v>
      </c>
      <c r="O336" s="65">
        <f>dagwerk19</f>
        <v>0</v>
      </c>
      <c r="P336" s="61" t="s">
        <v>41</v>
      </c>
      <c r="Q336" s="66">
        <f>uurtarief19</f>
        <v>0</v>
      </c>
      <c r="R336" s="63" t="e">
        <f>IF(ISBLANK(N336),0,M336/ROUND(N336,4))</f>
        <v>#DIV/0!</v>
      </c>
      <c r="S336" s="63" t="e">
        <f>IF(ISBLANK(N336),0,R336*ROUND(O336,2))</f>
        <v>#DIV/0!</v>
      </c>
      <c r="T336" s="66" t="e">
        <f>ROUND(Q336,2)*R336</f>
        <v>#DIV/0!</v>
      </c>
      <c r="U336" s="63" t="e">
        <f>R336*dagenperjaar1</f>
        <v>#DIV/0!</v>
      </c>
      <c r="V336" s="67" t="e">
        <f>U336*ROUND(Q336,2)</f>
        <v>#DIV/0!</v>
      </c>
    </row>
    <row r="337" spans="1:22" x14ac:dyDescent="0.2">
      <c r="A337" s="60" t="s">
        <v>582</v>
      </c>
      <c r="B337" s="61" t="s">
        <v>291</v>
      </c>
      <c r="C337" s="61" t="s">
        <v>550</v>
      </c>
      <c r="D337" s="61" t="s">
        <v>576</v>
      </c>
      <c r="E337" s="62" t="s">
        <v>681</v>
      </c>
      <c r="F337" s="61" t="s">
        <v>301</v>
      </c>
      <c r="G337" s="61" t="s">
        <v>218</v>
      </c>
      <c r="H337" s="61" t="s">
        <v>12</v>
      </c>
      <c r="I337" s="61" t="s">
        <v>200</v>
      </c>
      <c r="J337" s="61" t="s">
        <v>498</v>
      </c>
      <c r="K337" s="61" t="s">
        <v>291</v>
      </c>
      <c r="L337" s="63">
        <v>49</v>
      </c>
      <c r="M337" s="63">
        <f>L337*VLOOKUP(H337,dagsoorttabel1,2,FALSE)</f>
        <v>39.392156862745097</v>
      </c>
      <c r="N337" s="64">
        <f>prodnorm19</f>
        <v>0</v>
      </c>
      <c r="O337" s="65">
        <f>dagwerk19</f>
        <v>0</v>
      </c>
      <c r="P337" s="61" t="s">
        <v>41</v>
      </c>
      <c r="Q337" s="66">
        <f>uurtarief19</f>
        <v>0</v>
      </c>
      <c r="R337" s="63" t="e">
        <f>IF(ISBLANK(N337),0,M337/ROUND(N337,4))</f>
        <v>#DIV/0!</v>
      </c>
      <c r="S337" s="63" t="e">
        <f>IF(ISBLANK(N337),0,R337*ROUND(O337,2))</f>
        <v>#DIV/0!</v>
      </c>
      <c r="T337" s="66" t="e">
        <f>ROUND(Q337,2)*R337</f>
        <v>#DIV/0!</v>
      </c>
      <c r="U337" s="63" t="e">
        <f>R337*dagenperjaar1</f>
        <v>#DIV/0!</v>
      </c>
      <c r="V337" s="67" t="e">
        <f>U337*ROUND(Q337,2)</f>
        <v>#DIV/0!</v>
      </c>
    </row>
    <row r="338" spans="1:22" x14ac:dyDescent="0.2">
      <c r="A338" s="60" t="s">
        <v>582</v>
      </c>
      <c r="B338" s="61" t="s">
        <v>291</v>
      </c>
      <c r="C338" s="61" t="s">
        <v>550</v>
      </c>
      <c r="D338" s="61" t="s">
        <v>579</v>
      </c>
      <c r="E338" s="62" t="s">
        <v>491</v>
      </c>
      <c r="F338" s="61" t="s">
        <v>470</v>
      </c>
      <c r="G338" s="61" t="s">
        <v>250</v>
      </c>
      <c r="H338" s="61" t="s">
        <v>12</v>
      </c>
      <c r="I338" s="61" t="s">
        <v>200</v>
      </c>
      <c r="J338" s="61" t="s">
        <v>480</v>
      </c>
      <c r="K338" s="61" t="s">
        <v>291</v>
      </c>
      <c r="L338" s="63">
        <v>10.88</v>
      </c>
      <c r="M338" s="63">
        <f>L338*VLOOKUP(H338,dagsoorttabel1,2,FALSE)</f>
        <v>8.7466666666666679</v>
      </c>
      <c r="N338" s="64">
        <f>prodnorm39</f>
        <v>0</v>
      </c>
      <c r="O338" s="65">
        <f>dagwerk39</f>
        <v>0</v>
      </c>
      <c r="P338" s="61" t="s">
        <v>41</v>
      </c>
      <c r="Q338" s="66">
        <f>uurtarief39</f>
        <v>0</v>
      </c>
      <c r="R338" s="63" t="e">
        <f>IF(ISBLANK(N338),0,M338/ROUND(N338,4))</f>
        <v>#DIV/0!</v>
      </c>
      <c r="S338" s="63" t="e">
        <f>IF(ISBLANK(N338),0,R338*ROUND(O338,2))</f>
        <v>#DIV/0!</v>
      </c>
      <c r="T338" s="66" t="e">
        <f>ROUND(Q338,2)*R338</f>
        <v>#DIV/0!</v>
      </c>
      <c r="U338" s="63" t="e">
        <f>R338*dagenperjaar1</f>
        <v>#DIV/0!</v>
      </c>
      <c r="V338" s="67" t="e">
        <f>U338*ROUND(Q338,2)</f>
        <v>#DIV/0!</v>
      </c>
    </row>
    <row r="339" spans="1:22" x14ac:dyDescent="0.2">
      <c r="A339" s="60" t="s">
        <v>582</v>
      </c>
      <c r="B339" s="61" t="s">
        <v>291</v>
      </c>
      <c r="C339" s="61" t="s">
        <v>550</v>
      </c>
      <c r="D339" s="61" t="s">
        <v>682</v>
      </c>
      <c r="E339" s="62" t="s">
        <v>489</v>
      </c>
      <c r="F339" s="61" t="s">
        <v>470</v>
      </c>
      <c r="G339" s="61" t="s">
        <v>250</v>
      </c>
      <c r="H339" s="61" t="s">
        <v>12</v>
      </c>
      <c r="I339" s="61" t="s">
        <v>200</v>
      </c>
      <c r="J339" s="61" t="s">
        <v>480</v>
      </c>
      <c r="K339" s="61" t="s">
        <v>291</v>
      </c>
      <c r="L339" s="63">
        <v>10.88</v>
      </c>
      <c r="M339" s="63">
        <f>L339*VLOOKUP(H339,dagsoorttabel1,2,FALSE)</f>
        <v>8.7466666666666679</v>
      </c>
      <c r="N339" s="64">
        <f>prodnorm39</f>
        <v>0</v>
      </c>
      <c r="O339" s="65">
        <f>dagwerk39</f>
        <v>0</v>
      </c>
      <c r="P339" s="61" t="s">
        <v>41</v>
      </c>
      <c r="Q339" s="66">
        <f>uurtarief39</f>
        <v>0</v>
      </c>
      <c r="R339" s="63" t="e">
        <f>IF(ISBLANK(N339),0,M339/ROUND(N339,4))</f>
        <v>#DIV/0!</v>
      </c>
      <c r="S339" s="63" t="e">
        <f>IF(ISBLANK(N339),0,R339*ROUND(O339,2))</f>
        <v>#DIV/0!</v>
      </c>
      <c r="T339" s="66" t="e">
        <f>ROUND(Q339,2)*R339</f>
        <v>#DIV/0!</v>
      </c>
      <c r="U339" s="63" t="e">
        <f>R339*dagenperjaar1</f>
        <v>#DIV/0!</v>
      </c>
      <c r="V339" s="67" t="e">
        <f>U339*ROUND(Q339,2)</f>
        <v>#DIV/0!</v>
      </c>
    </row>
    <row r="340" spans="1:22" x14ac:dyDescent="0.2">
      <c r="A340" s="60" t="s">
        <v>582</v>
      </c>
      <c r="B340" s="61" t="s">
        <v>291</v>
      </c>
      <c r="C340" s="61" t="s">
        <v>550</v>
      </c>
      <c r="D340" s="61" t="s">
        <v>683</v>
      </c>
      <c r="E340" s="62" t="s">
        <v>684</v>
      </c>
      <c r="F340" s="61" t="s">
        <v>301</v>
      </c>
      <c r="G340" s="61" t="s">
        <v>218</v>
      </c>
      <c r="H340" s="61" t="s">
        <v>12</v>
      </c>
      <c r="I340" s="61" t="s">
        <v>200</v>
      </c>
      <c r="J340" s="61" t="s">
        <v>498</v>
      </c>
      <c r="K340" s="61" t="s">
        <v>291</v>
      </c>
      <c r="L340" s="63">
        <v>56</v>
      </c>
      <c r="M340" s="63">
        <f>L340*VLOOKUP(H340,dagsoorttabel1,2,FALSE)</f>
        <v>45.019607843137258</v>
      </c>
      <c r="N340" s="64">
        <f>prodnorm19</f>
        <v>0</v>
      </c>
      <c r="O340" s="65">
        <f>dagwerk19</f>
        <v>0</v>
      </c>
      <c r="P340" s="61" t="s">
        <v>41</v>
      </c>
      <c r="Q340" s="66">
        <f>uurtarief19</f>
        <v>0</v>
      </c>
      <c r="R340" s="63" t="e">
        <f>IF(ISBLANK(N340),0,M340/ROUND(N340,4))</f>
        <v>#DIV/0!</v>
      </c>
      <c r="S340" s="63" t="e">
        <f>IF(ISBLANK(N340),0,R340*ROUND(O340,2))</f>
        <v>#DIV/0!</v>
      </c>
      <c r="T340" s="66" t="e">
        <f>ROUND(Q340,2)*R340</f>
        <v>#DIV/0!</v>
      </c>
      <c r="U340" s="63" t="e">
        <f>R340*dagenperjaar1</f>
        <v>#DIV/0!</v>
      </c>
      <c r="V340" s="67" t="e">
        <f>U340*ROUND(Q340,2)</f>
        <v>#DIV/0!</v>
      </c>
    </row>
    <row r="341" spans="1:22" x14ac:dyDescent="0.2">
      <c r="A341" s="60" t="s">
        <v>582</v>
      </c>
      <c r="B341" s="61" t="s">
        <v>291</v>
      </c>
      <c r="C341" s="61" t="s">
        <v>550</v>
      </c>
      <c r="D341" s="61" t="s">
        <v>685</v>
      </c>
      <c r="E341" s="62" t="s">
        <v>686</v>
      </c>
      <c r="F341" s="61" t="s">
        <v>301</v>
      </c>
      <c r="G341" s="61" t="s">
        <v>218</v>
      </c>
      <c r="H341" s="61" t="s">
        <v>12</v>
      </c>
      <c r="I341" s="61" t="s">
        <v>200</v>
      </c>
      <c r="J341" s="61" t="s">
        <v>498</v>
      </c>
      <c r="K341" s="61" t="s">
        <v>291</v>
      </c>
      <c r="L341" s="63">
        <v>62.9</v>
      </c>
      <c r="M341" s="63">
        <f>L341*VLOOKUP(H341,dagsoorttabel1,2,FALSE)</f>
        <v>50.56666666666667</v>
      </c>
      <c r="N341" s="64">
        <f>prodnorm19</f>
        <v>0</v>
      </c>
      <c r="O341" s="65">
        <f>dagwerk19</f>
        <v>0</v>
      </c>
      <c r="P341" s="61" t="s">
        <v>41</v>
      </c>
      <c r="Q341" s="66">
        <f>uurtarief19</f>
        <v>0</v>
      </c>
      <c r="R341" s="63" t="e">
        <f>IF(ISBLANK(N341),0,M341/ROUND(N341,4))</f>
        <v>#DIV/0!</v>
      </c>
      <c r="S341" s="63" t="e">
        <f>IF(ISBLANK(N341),0,R341*ROUND(O341,2))</f>
        <v>#DIV/0!</v>
      </c>
      <c r="T341" s="66" t="e">
        <f>ROUND(Q341,2)*R341</f>
        <v>#DIV/0!</v>
      </c>
      <c r="U341" s="63" t="e">
        <f>R341*dagenperjaar1</f>
        <v>#DIV/0!</v>
      </c>
      <c r="V341" s="67" t="e">
        <f>U341*ROUND(Q341,2)</f>
        <v>#DIV/0!</v>
      </c>
    </row>
    <row r="342" spans="1:22" x14ac:dyDescent="0.2">
      <c r="A342" s="60" t="s">
        <v>582</v>
      </c>
      <c r="B342" s="61" t="s">
        <v>291</v>
      </c>
      <c r="C342" s="61" t="s">
        <v>550</v>
      </c>
      <c r="D342" s="61" t="s">
        <v>687</v>
      </c>
      <c r="E342" s="62" t="s">
        <v>688</v>
      </c>
      <c r="F342" s="61" t="s">
        <v>301</v>
      </c>
      <c r="G342" s="61" t="s">
        <v>218</v>
      </c>
      <c r="H342" s="61" t="s">
        <v>12</v>
      </c>
      <c r="I342" s="61" t="s">
        <v>200</v>
      </c>
      <c r="J342" s="61" t="s">
        <v>498</v>
      </c>
      <c r="K342" s="61" t="s">
        <v>291</v>
      </c>
      <c r="L342" s="63">
        <v>62.9</v>
      </c>
      <c r="M342" s="63">
        <f>L342*VLOOKUP(H342,dagsoorttabel1,2,FALSE)</f>
        <v>50.56666666666667</v>
      </c>
      <c r="N342" s="64">
        <f>prodnorm19</f>
        <v>0</v>
      </c>
      <c r="O342" s="65">
        <f>dagwerk19</f>
        <v>0</v>
      </c>
      <c r="P342" s="61" t="s">
        <v>41</v>
      </c>
      <c r="Q342" s="66">
        <f>uurtarief19</f>
        <v>0</v>
      </c>
      <c r="R342" s="63" t="e">
        <f>IF(ISBLANK(N342),0,M342/ROUND(N342,4))</f>
        <v>#DIV/0!</v>
      </c>
      <c r="S342" s="63" t="e">
        <f>IF(ISBLANK(N342),0,R342*ROUND(O342,2))</f>
        <v>#DIV/0!</v>
      </c>
      <c r="T342" s="66" t="e">
        <f>ROUND(Q342,2)*R342</f>
        <v>#DIV/0!</v>
      </c>
      <c r="U342" s="63" t="e">
        <f>R342*dagenperjaar1</f>
        <v>#DIV/0!</v>
      </c>
      <c r="V342" s="67" t="e">
        <f>U342*ROUND(Q342,2)</f>
        <v>#DIV/0!</v>
      </c>
    </row>
    <row r="343" spans="1:22" x14ac:dyDescent="0.2">
      <c r="A343" s="60" t="s">
        <v>582</v>
      </c>
      <c r="B343" s="61" t="s">
        <v>291</v>
      </c>
      <c r="C343" s="61" t="s">
        <v>550</v>
      </c>
      <c r="D343" s="61" t="s">
        <v>689</v>
      </c>
      <c r="E343" s="62" t="s">
        <v>690</v>
      </c>
      <c r="F343" s="61" t="s">
        <v>301</v>
      </c>
      <c r="G343" s="61" t="s">
        <v>226</v>
      </c>
      <c r="H343" s="61" t="s">
        <v>12</v>
      </c>
      <c r="I343" s="61" t="s">
        <v>200</v>
      </c>
      <c r="J343" s="61" t="s">
        <v>498</v>
      </c>
      <c r="K343" s="61" t="s">
        <v>291</v>
      </c>
      <c r="L343" s="63">
        <v>62.9</v>
      </c>
      <c r="M343" s="63">
        <f>L343*VLOOKUP(H343,dagsoorttabel1,2,FALSE)</f>
        <v>50.56666666666667</v>
      </c>
      <c r="N343" s="64">
        <f>prodnorm25</f>
        <v>0</v>
      </c>
      <c r="O343" s="65">
        <f>dagwerk25</f>
        <v>0</v>
      </c>
      <c r="P343" s="61" t="s">
        <v>41</v>
      </c>
      <c r="Q343" s="66">
        <f>uurtarief25</f>
        <v>0</v>
      </c>
      <c r="R343" s="63" t="e">
        <f>IF(ISBLANK(N343),0,M343/ROUND(N343,4))</f>
        <v>#DIV/0!</v>
      </c>
      <c r="S343" s="63" t="e">
        <f>IF(ISBLANK(N343),0,R343*ROUND(O343,2))</f>
        <v>#DIV/0!</v>
      </c>
      <c r="T343" s="66" t="e">
        <f>ROUND(Q343,2)*R343</f>
        <v>#DIV/0!</v>
      </c>
      <c r="U343" s="63" t="e">
        <f>R343*dagenperjaar1</f>
        <v>#DIV/0!</v>
      </c>
      <c r="V343" s="67" t="e">
        <f>U343*ROUND(Q343,2)</f>
        <v>#DIV/0!</v>
      </c>
    </row>
    <row r="344" spans="1:22" x14ac:dyDescent="0.2">
      <c r="A344" s="60" t="s">
        <v>582</v>
      </c>
      <c r="B344" s="61" t="s">
        <v>291</v>
      </c>
      <c r="C344" s="61" t="s">
        <v>550</v>
      </c>
      <c r="D344" s="61" t="s">
        <v>691</v>
      </c>
      <c r="E344" s="62" t="s">
        <v>489</v>
      </c>
      <c r="F344" s="61" t="s">
        <v>470</v>
      </c>
      <c r="G344" s="61" t="s">
        <v>250</v>
      </c>
      <c r="H344" s="61" t="s">
        <v>12</v>
      </c>
      <c r="I344" s="61" t="s">
        <v>200</v>
      </c>
      <c r="J344" s="61" t="s">
        <v>480</v>
      </c>
      <c r="K344" s="61" t="s">
        <v>291</v>
      </c>
      <c r="L344" s="63">
        <v>5.6</v>
      </c>
      <c r="M344" s="63">
        <f>L344*VLOOKUP(H344,dagsoorttabel1,2,FALSE)</f>
        <v>4.5019607843137255</v>
      </c>
      <c r="N344" s="64">
        <f>prodnorm39</f>
        <v>0</v>
      </c>
      <c r="O344" s="65">
        <f>dagwerk39</f>
        <v>0</v>
      </c>
      <c r="P344" s="61" t="s">
        <v>41</v>
      </c>
      <c r="Q344" s="66">
        <f>uurtarief39</f>
        <v>0</v>
      </c>
      <c r="R344" s="63" t="e">
        <f>IF(ISBLANK(N344),0,M344/ROUND(N344,4))</f>
        <v>#DIV/0!</v>
      </c>
      <c r="S344" s="63" t="e">
        <f>IF(ISBLANK(N344),0,R344*ROUND(O344,2))</f>
        <v>#DIV/0!</v>
      </c>
      <c r="T344" s="66" t="e">
        <f>ROUND(Q344,2)*R344</f>
        <v>#DIV/0!</v>
      </c>
      <c r="U344" s="63" t="e">
        <f>R344*dagenperjaar1</f>
        <v>#DIV/0!</v>
      </c>
      <c r="V344" s="67" t="e">
        <f>U344*ROUND(Q344,2)</f>
        <v>#DIV/0!</v>
      </c>
    </row>
    <row r="345" spans="1:22" x14ac:dyDescent="0.2">
      <c r="A345" s="60" t="s">
        <v>582</v>
      </c>
      <c r="B345" s="61" t="s">
        <v>291</v>
      </c>
      <c r="C345" s="61" t="s">
        <v>550</v>
      </c>
      <c r="D345" s="61" t="s">
        <v>692</v>
      </c>
      <c r="E345" s="62" t="s">
        <v>491</v>
      </c>
      <c r="F345" s="61" t="s">
        <v>470</v>
      </c>
      <c r="G345" s="61" t="s">
        <v>250</v>
      </c>
      <c r="H345" s="61" t="s">
        <v>12</v>
      </c>
      <c r="I345" s="61" t="s">
        <v>200</v>
      </c>
      <c r="J345" s="61" t="s">
        <v>480</v>
      </c>
      <c r="K345" s="61" t="s">
        <v>291</v>
      </c>
      <c r="L345" s="63">
        <v>5.6</v>
      </c>
      <c r="M345" s="63">
        <f>L345*VLOOKUP(H345,dagsoorttabel1,2,FALSE)</f>
        <v>4.5019607843137255</v>
      </c>
      <c r="N345" s="64">
        <f>prodnorm39</f>
        <v>0</v>
      </c>
      <c r="O345" s="65">
        <f>dagwerk39</f>
        <v>0</v>
      </c>
      <c r="P345" s="61" t="s">
        <v>41</v>
      </c>
      <c r="Q345" s="66">
        <f>uurtarief39</f>
        <v>0</v>
      </c>
      <c r="R345" s="63" t="e">
        <f>IF(ISBLANK(N345),0,M345/ROUND(N345,4))</f>
        <v>#DIV/0!</v>
      </c>
      <c r="S345" s="63" t="e">
        <f>IF(ISBLANK(N345),0,R345*ROUND(O345,2))</f>
        <v>#DIV/0!</v>
      </c>
      <c r="T345" s="66" t="e">
        <f>ROUND(Q345,2)*R345</f>
        <v>#DIV/0!</v>
      </c>
      <c r="U345" s="63" t="e">
        <f>R345*dagenperjaar1</f>
        <v>#DIV/0!</v>
      </c>
      <c r="V345" s="67" t="e">
        <f>U345*ROUND(Q345,2)</f>
        <v>#DIV/0!</v>
      </c>
    </row>
    <row r="346" spans="1:22" x14ac:dyDescent="0.2">
      <c r="A346" s="60" t="s">
        <v>582</v>
      </c>
      <c r="B346" s="61" t="s">
        <v>291</v>
      </c>
      <c r="C346" s="61" t="s">
        <v>550</v>
      </c>
      <c r="D346" s="61" t="s">
        <v>693</v>
      </c>
      <c r="E346" s="62" t="s">
        <v>690</v>
      </c>
      <c r="F346" s="61" t="s">
        <v>329</v>
      </c>
      <c r="G346" s="61" t="s">
        <v>228</v>
      </c>
      <c r="H346" s="61" t="s">
        <v>12</v>
      </c>
      <c r="I346" s="61" t="s">
        <v>200</v>
      </c>
      <c r="J346" s="61" t="s">
        <v>471</v>
      </c>
      <c r="K346" s="61" t="s">
        <v>291</v>
      </c>
      <c r="L346" s="63">
        <v>117.2</v>
      </c>
      <c r="M346" s="63">
        <f>L346*VLOOKUP(H346,dagsoorttabel1,2,FALSE)</f>
        <v>94.219607843137254</v>
      </c>
      <c r="N346" s="64">
        <f>prodnorm26</f>
        <v>0</v>
      </c>
      <c r="O346" s="65">
        <f>dagwerk26</f>
        <v>0</v>
      </c>
      <c r="P346" s="61" t="s">
        <v>41</v>
      </c>
      <c r="Q346" s="66">
        <f>uurtarief26</f>
        <v>0</v>
      </c>
      <c r="R346" s="63" t="e">
        <f>IF(ISBLANK(N346),0,M346/ROUND(N346,4))</f>
        <v>#DIV/0!</v>
      </c>
      <c r="S346" s="63" t="e">
        <f>IF(ISBLANK(N346),0,R346*ROUND(O346,2))</f>
        <v>#DIV/0!</v>
      </c>
      <c r="T346" s="66" t="e">
        <f>ROUND(Q346,2)*R346</f>
        <v>#DIV/0!</v>
      </c>
      <c r="U346" s="63" t="e">
        <f>R346*dagenperjaar1</f>
        <v>#DIV/0!</v>
      </c>
      <c r="V346" s="67" t="e">
        <f>U346*ROUND(Q346,2)</f>
        <v>#DIV/0!</v>
      </c>
    </row>
    <row r="347" spans="1:22" x14ac:dyDescent="0.2">
      <c r="A347" s="60" t="s">
        <v>582</v>
      </c>
      <c r="B347" s="61" t="s">
        <v>291</v>
      </c>
      <c r="C347" s="61" t="s">
        <v>550</v>
      </c>
      <c r="D347" s="61" t="s">
        <v>694</v>
      </c>
      <c r="E347" s="62" t="s">
        <v>695</v>
      </c>
      <c r="F347" s="61" t="s">
        <v>329</v>
      </c>
      <c r="G347" s="61" t="s">
        <v>202</v>
      </c>
      <c r="H347" s="61" t="s">
        <v>12</v>
      </c>
      <c r="I347" s="61" t="s">
        <v>200</v>
      </c>
      <c r="J347" s="61" t="s">
        <v>473</v>
      </c>
      <c r="K347" s="61" t="s">
        <v>291</v>
      </c>
      <c r="L347" s="63">
        <v>10.199999999999999</v>
      </c>
      <c r="M347" s="63">
        <f>L347*VLOOKUP(H347,dagsoorttabel1,2,FALSE)</f>
        <v>8.1999999999999993</v>
      </c>
      <c r="N347" s="64">
        <f>prodnorm5</f>
        <v>0</v>
      </c>
      <c r="O347" s="65">
        <f>dagwerk5</f>
        <v>0</v>
      </c>
      <c r="P347" s="61" t="s">
        <v>41</v>
      </c>
      <c r="Q347" s="66">
        <f>uurtarief5</f>
        <v>0</v>
      </c>
      <c r="R347" s="63" t="e">
        <f>IF(ISBLANK(N347),0,M347/ROUND(N347,4))</f>
        <v>#DIV/0!</v>
      </c>
      <c r="S347" s="63" t="e">
        <f>IF(ISBLANK(N347),0,R347*ROUND(O347,2))</f>
        <v>#DIV/0!</v>
      </c>
      <c r="T347" s="66" t="e">
        <f>ROUND(Q347,2)*R347</f>
        <v>#DIV/0!</v>
      </c>
      <c r="U347" s="63" t="e">
        <f>R347*dagenperjaar1</f>
        <v>#DIV/0!</v>
      </c>
      <c r="V347" s="67" t="e">
        <f>U347*ROUND(Q347,2)</f>
        <v>#DIV/0!</v>
      </c>
    </row>
    <row r="348" spans="1:22" x14ac:dyDescent="0.2">
      <c r="A348" s="60" t="s">
        <v>582</v>
      </c>
      <c r="B348" s="61" t="s">
        <v>291</v>
      </c>
      <c r="C348" s="61" t="s">
        <v>550</v>
      </c>
      <c r="D348" s="61" t="s">
        <v>696</v>
      </c>
      <c r="E348" s="62" t="s">
        <v>489</v>
      </c>
      <c r="F348" s="61" t="s">
        <v>470</v>
      </c>
      <c r="G348" s="61" t="s">
        <v>250</v>
      </c>
      <c r="H348" s="61" t="s">
        <v>12</v>
      </c>
      <c r="I348" s="61" t="s">
        <v>200</v>
      </c>
      <c r="J348" s="61" t="s">
        <v>480</v>
      </c>
      <c r="K348" s="61" t="s">
        <v>291</v>
      </c>
      <c r="L348" s="63">
        <v>5.7</v>
      </c>
      <c r="M348" s="63">
        <f>L348*VLOOKUP(H348,dagsoorttabel1,2,FALSE)</f>
        <v>4.5823529411764712</v>
      </c>
      <c r="N348" s="64">
        <f>prodnorm39</f>
        <v>0</v>
      </c>
      <c r="O348" s="65">
        <f>dagwerk39</f>
        <v>0</v>
      </c>
      <c r="P348" s="61" t="s">
        <v>41</v>
      </c>
      <c r="Q348" s="66">
        <f>uurtarief39</f>
        <v>0</v>
      </c>
      <c r="R348" s="63" t="e">
        <f>IF(ISBLANK(N348),0,M348/ROUND(N348,4))</f>
        <v>#DIV/0!</v>
      </c>
      <c r="S348" s="63" t="e">
        <f>IF(ISBLANK(N348),0,R348*ROUND(O348,2))</f>
        <v>#DIV/0!</v>
      </c>
      <c r="T348" s="66" t="e">
        <f>ROUND(Q348,2)*R348</f>
        <v>#DIV/0!</v>
      </c>
      <c r="U348" s="63" t="e">
        <f>R348*dagenperjaar1</f>
        <v>#DIV/0!</v>
      </c>
      <c r="V348" s="67" t="e">
        <f>U348*ROUND(Q348,2)</f>
        <v>#DIV/0!</v>
      </c>
    </row>
    <row r="349" spans="1:22" x14ac:dyDescent="0.2">
      <c r="A349" s="60" t="s">
        <v>582</v>
      </c>
      <c r="B349" s="61" t="s">
        <v>291</v>
      </c>
      <c r="C349" s="61" t="s">
        <v>550</v>
      </c>
      <c r="D349" s="61" t="s">
        <v>697</v>
      </c>
      <c r="E349" s="62" t="s">
        <v>491</v>
      </c>
      <c r="F349" s="61" t="s">
        <v>470</v>
      </c>
      <c r="G349" s="61" t="s">
        <v>250</v>
      </c>
      <c r="H349" s="61" t="s">
        <v>12</v>
      </c>
      <c r="I349" s="61" t="s">
        <v>200</v>
      </c>
      <c r="J349" s="61" t="s">
        <v>480</v>
      </c>
      <c r="K349" s="61" t="s">
        <v>291</v>
      </c>
      <c r="L349" s="63">
        <v>5.6</v>
      </c>
      <c r="M349" s="63">
        <f>L349*VLOOKUP(H349,dagsoorttabel1,2,FALSE)</f>
        <v>4.5019607843137255</v>
      </c>
      <c r="N349" s="64">
        <f>prodnorm39</f>
        <v>0</v>
      </c>
      <c r="O349" s="65">
        <f>dagwerk39</f>
        <v>0</v>
      </c>
      <c r="P349" s="61" t="s">
        <v>41</v>
      </c>
      <c r="Q349" s="66">
        <f>uurtarief39</f>
        <v>0</v>
      </c>
      <c r="R349" s="63" t="e">
        <f>IF(ISBLANK(N349),0,M349/ROUND(N349,4))</f>
        <v>#DIV/0!</v>
      </c>
      <c r="S349" s="63" t="e">
        <f>IF(ISBLANK(N349),0,R349*ROUND(O349,2))</f>
        <v>#DIV/0!</v>
      </c>
      <c r="T349" s="66" t="e">
        <f>ROUND(Q349,2)*R349</f>
        <v>#DIV/0!</v>
      </c>
      <c r="U349" s="63" t="e">
        <f>R349*dagenperjaar1</f>
        <v>#DIV/0!</v>
      </c>
      <c r="V349" s="67" t="e">
        <f>U349*ROUND(Q349,2)</f>
        <v>#DIV/0!</v>
      </c>
    </row>
    <row r="350" spans="1:22" x14ac:dyDescent="0.2">
      <c r="A350" s="60" t="s">
        <v>582</v>
      </c>
      <c r="B350" s="61" t="s">
        <v>291</v>
      </c>
      <c r="C350" s="61" t="s">
        <v>550</v>
      </c>
      <c r="D350" s="61" t="s">
        <v>698</v>
      </c>
      <c r="E350" s="62" t="s">
        <v>699</v>
      </c>
      <c r="F350" s="61" t="s">
        <v>301</v>
      </c>
      <c r="G350" s="61" t="s">
        <v>210</v>
      </c>
      <c r="H350" s="61" t="s">
        <v>12</v>
      </c>
      <c r="I350" s="61" t="s">
        <v>200</v>
      </c>
      <c r="J350" s="61" t="s">
        <v>498</v>
      </c>
      <c r="K350" s="61" t="s">
        <v>291</v>
      </c>
      <c r="L350" s="63">
        <v>60.7</v>
      </c>
      <c r="M350" s="63">
        <f>L350*VLOOKUP(H350,dagsoorttabel1,2,FALSE)</f>
        <v>48.798039215686281</v>
      </c>
      <c r="N350" s="64">
        <f>prodnorm13</f>
        <v>0</v>
      </c>
      <c r="O350" s="65">
        <f>dagwerk13</f>
        <v>0</v>
      </c>
      <c r="P350" s="61" t="s">
        <v>41</v>
      </c>
      <c r="Q350" s="66">
        <f>uurtarief13</f>
        <v>0</v>
      </c>
      <c r="R350" s="63" t="e">
        <f>IF(ISBLANK(N350),0,M350/ROUND(N350,4))</f>
        <v>#DIV/0!</v>
      </c>
      <c r="S350" s="63" t="e">
        <f>IF(ISBLANK(N350),0,R350*ROUND(O350,2))</f>
        <v>#DIV/0!</v>
      </c>
      <c r="T350" s="66" t="e">
        <f>ROUND(Q350,2)*R350</f>
        <v>#DIV/0!</v>
      </c>
      <c r="U350" s="63" t="e">
        <f>R350*dagenperjaar1</f>
        <v>#DIV/0!</v>
      </c>
      <c r="V350" s="67" t="e">
        <f>U350*ROUND(Q350,2)</f>
        <v>#DIV/0!</v>
      </c>
    </row>
    <row r="351" spans="1:22" x14ac:dyDescent="0.2">
      <c r="A351" s="60" t="s">
        <v>582</v>
      </c>
      <c r="B351" s="61" t="s">
        <v>291</v>
      </c>
      <c r="C351" s="61" t="s">
        <v>550</v>
      </c>
      <c r="D351" s="61" t="s">
        <v>700</v>
      </c>
      <c r="E351" s="62" t="s">
        <v>584</v>
      </c>
      <c r="F351" s="61" t="s">
        <v>301</v>
      </c>
      <c r="G351" s="61" t="s">
        <v>254</v>
      </c>
      <c r="H351" s="61" t="s">
        <v>12</v>
      </c>
      <c r="I351" s="61" t="s">
        <v>200</v>
      </c>
      <c r="J351" s="61" t="s">
        <v>471</v>
      </c>
      <c r="K351" s="61" t="s">
        <v>291</v>
      </c>
      <c r="L351" s="63">
        <v>36.1</v>
      </c>
      <c r="M351" s="63">
        <f>L351*VLOOKUP(H351,dagsoorttabel1,2,FALSE)</f>
        <v>29.021568627450982</v>
      </c>
      <c r="N351" s="64">
        <f>prodnorm44</f>
        <v>0</v>
      </c>
      <c r="O351" s="65">
        <f>dagwerk44</f>
        <v>0</v>
      </c>
      <c r="P351" s="61" t="s">
        <v>41</v>
      </c>
      <c r="Q351" s="66">
        <f>uurtarief44</f>
        <v>0</v>
      </c>
      <c r="R351" s="63" t="e">
        <f>IF(ISBLANK(N351),0,M351/ROUND(N351,4))</f>
        <v>#DIV/0!</v>
      </c>
      <c r="S351" s="63" t="e">
        <f>IF(ISBLANK(N351),0,R351*ROUND(O351,2))</f>
        <v>#DIV/0!</v>
      </c>
      <c r="T351" s="66" t="e">
        <f>ROUND(Q351,2)*R351</f>
        <v>#DIV/0!</v>
      </c>
      <c r="U351" s="63" t="e">
        <f>R351*dagenperjaar1</f>
        <v>#DIV/0!</v>
      </c>
      <c r="V351" s="67" t="e">
        <f>U351*ROUND(Q351,2)</f>
        <v>#DIV/0!</v>
      </c>
    </row>
    <row r="352" spans="1:22" x14ac:dyDescent="0.2">
      <c r="A352" s="60" t="s">
        <v>582</v>
      </c>
      <c r="B352" s="61" t="s">
        <v>291</v>
      </c>
      <c r="C352" s="61" t="s">
        <v>550</v>
      </c>
      <c r="D352" s="61" t="s">
        <v>701</v>
      </c>
      <c r="E352" s="62" t="s">
        <v>337</v>
      </c>
      <c r="F352" s="61" t="s">
        <v>301</v>
      </c>
      <c r="G352" s="61" t="s">
        <v>254</v>
      </c>
      <c r="H352" s="61" t="s">
        <v>12</v>
      </c>
      <c r="I352" s="61" t="s">
        <v>200</v>
      </c>
      <c r="J352" s="61" t="s">
        <v>471</v>
      </c>
      <c r="K352" s="61" t="s">
        <v>291</v>
      </c>
      <c r="L352" s="63">
        <v>78.099999999999994</v>
      </c>
      <c r="M352" s="63">
        <f>L352*VLOOKUP(H352,dagsoorttabel1,2,FALSE)</f>
        <v>62.786274509803917</v>
      </c>
      <c r="N352" s="64">
        <f>prodnorm44</f>
        <v>0</v>
      </c>
      <c r="O352" s="65">
        <f>dagwerk44</f>
        <v>0</v>
      </c>
      <c r="P352" s="61" t="s">
        <v>41</v>
      </c>
      <c r="Q352" s="66">
        <f>uurtarief44</f>
        <v>0</v>
      </c>
      <c r="R352" s="63" t="e">
        <f>IF(ISBLANK(N352),0,M352/ROUND(N352,4))</f>
        <v>#DIV/0!</v>
      </c>
      <c r="S352" s="63" t="e">
        <f>IF(ISBLANK(N352),0,R352*ROUND(O352,2))</f>
        <v>#DIV/0!</v>
      </c>
      <c r="T352" s="66" t="e">
        <f>ROUND(Q352,2)*R352</f>
        <v>#DIV/0!</v>
      </c>
      <c r="U352" s="63" t="e">
        <f>R352*dagenperjaar1</f>
        <v>#DIV/0!</v>
      </c>
      <c r="V352" s="67" t="e">
        <f>U352*ROUND(Q352,2)</f>
        <v>#DIV/0!</v>
      </c>
    </row>
    <row r="353" spans="1:22" x14ac:dyDescent="0.2">
      <c r="A353" s="60" t="s">
        <v>582</v>
      </c>
      <c r="B353" s="61" t="s">
        <v>291</v>
      </c>
      <c r="C353" s="61" t="s">
        <v>550</v>
      </c>
      <c r="D353" s="61" t="s">
        <v>702</v>
      </c>
      <c r="E353" s="62" t="s">
        <v>337</v>
      </c>
      <c r="F353" s="61" t="s">
        <v>301</v>
      </c>
      <c r="G353" s="61" t="s">
        <v>254</v>
      </c>
      <c r="H353" s="61" t="s">
        <v>12</v>
      </c>
      <c r="I353" s="61" t="s">
        <v>200</v>
      </c>
      <c r="J353" s="61" t="s">
        <v>471</v>
      </c>
      <c r="K353" s="61" t="s">
        <v>291</v>
      </c>
      <c r="L353" s="63">
        <v>79</v>
      </c>
      <c r="M353" s="63">
        <f>L353*VLOOKUP(H353,dagsoorttabel1,2,FALSE)</f>
        <v>63.509803921568633</v>
      </c>
      <c r="N353" s="64">
        <f>prodnorm44</f>
        <v>0</v>
      </c>
      <c r="O353" s="65">
        <f>dagwerk44</f>
        <v>0</v>
      </c>
      <c r="P353" s="61" t="s">
        <v>41</v>
      </c>
      <c r="Q353" s="66">
        <f>uurtarief44</f>
        <v>0</v>
      </c>
      <c r="R353" s="63" t="e">
        <f>IF(ISBLANK(N353),0,M353/ROUND(N353,4))</f>
        <v>#DIV/0!</v>
      </c>
      <c r="S353" s="63" t="e">
        <f>IF(ISBLANK(N353),0,R353*ROUND(O353,2))</f>
        <v>#DIV/0!</v>
      </c>
      <c r="T353" s="66" t="e">
        <f>ROUND(Q353,2)*R353</f>
        <v>#DIV/0!</v>
      </c>
      <c r="U353" s="63" t="e">
        <f>R353*dagenperjaar1</f>
        <v>#DIV/0!</v>
      </c>
      <c r="V353" s="67" t="e">
        <f>U353*ROUND(Q353,2)</f>
        <v>#DIV/0!</v>
      </c>
    </row>
    <row r="354" spans="1:22" x14ac:dyDescent="0.2">
      <c r="A354" s="60" t="s">
        <v>582</v>
      </c>
      <c r="B354" s="61" t="s">
        <v>291</v>
      </c>
      <c r="C354" s="61" t="s">
        <v>550</v>
      </c>
      <c r="D354" s="61" t="s">
        <v>703</v>
      </c>
      <c r="E354" s="62" t="s">
        <v>704</v>
      </c>
      <c r="F354" s="61" t="s">
        <v>301</v>
      </c>
      <c r="G354" s="61" t="s">
        <v>218</v>
      </c>
      <c r="H354" s="61" t="s">
        <v>12</v>
      </c>
      <c r="I354" s="61" t="s">
        <v>200</v>
      </c>
      <c r="J354" s="61" t="s">
        <v>498</v>
      </c>
      <c r="K354" s="61" t="s">
        <v>291</v>
      </c>
      <c r="L354" s="63">
        <v>64</v>
      </c>
      <c r="M354" s="63">
        <f>L354*VLOOKUP(H354,dagsoorttabel1,2,FALSE)</f>
        <v>51.450980392156865</v>
      </c>
      <c r="N354" s="64">
        <f>prodnorm19</f>
        <v>0</v>
      </c>
      <c r="O354" s="65">
        <f>dagwerk19</f>
        <v>0</v>
      </c>
      <c r="P354" s="61" t="s">
        <v>41</v>
      </c>
      <c r="Q354" s="66">
        <f>uurtarief19</f>
        <v>0</v>
      </c>
      <c r="R354" s="63" t="e">
        <f>IF(ISBLANK(N354),0,M354/ROUND(N354,4))</f>
        <v>#DIV/0!</v>
      </c>
      <c r="S354" s="63" t="e">
        <f>IF(ISBLANK(N354),0,R354*ROUND(O354,2))</f>
        <v>#DIV/0!</v>
      </c>
      <c r="T354" s="66" t="e">
        <f>ROUND(Q354,2)*R354</f>
        <v>#DIV/0!</v>
      </c>
      <c r="U354" s="63" t="e">
        <f>R354*dagenperjaar1</f>
        <v>#DIV/0!</v>
      </c>
      <c r="V354" s="67" t="e">
        <f>U354*ROUND(Q354,2)</f>
        <v>#DIV/0!</v>
      </c>
    </row>
    <row r="355" spans="1:22" x14ac:dyDescent="0.2">
      <c r="A355" s="60" t="s">
        <v>582</v>
      </c>
      <c r="B355" s="61" t="s">
        <v>291</v>
      </c>
      <c r="C355" s="61" t="s">
        <v>550</v>
      </c>
      <c r="D355" s="61" t="s">
        <v>705</v>
      </c>
      <c r="E355" s="62" t="s">
        <v>706</v>
      </c>
      <c r="F355" s="61" t="s">
        <v>301</v>
      </c>
      <c r="G355" s="61" t="s">
        <v>218</v>
      </c>
      <c r="H355" s="61" t="s">
        <v>12</v>
      </c>
      <c r="I355" s="61" t="s">
        <v>200</v>
      </c>
      <c r="J355" s="61" t="s">
        <v>498</v>
      </c>
      <c r="K355" s="61" t="s">
        <v>291</v>
      </c>
      <c r="L355" s="63">
        <v>64</v>
      </c>
      <c r="M355" s="63">
        <f>L355*VLOOKUP(H355,dagsoorttabel1,2,FALSE)</f>
        <v>51.450980392156865</v>
      </c>
      <c r="N355" s="64">
        <f>prodnorm19</f>
        <v>0</v>
      </c>
      <c r="O355" s="65">
        <f>dagwerk19</f>
        <v>0</v>
      </c>
      <c r="P355" s="61" t="s">
        <v>41</v>
      </c>
      <c r="Q355" s="66">
        <f>uurtarief19</f>
        <v>0</v>
      </c>
      <c r="R355" s="63" t="e">
        <f>IF(ISBLANK(N355),0,M355/ROUND(N355,4))</f>
        <v>#DIV/0!</v>
      </c>
      <c r="S355" s="63" t="e">
        <f>IF(ISBLANK(N355),0,R355*ROUND(O355,2))</f>
        <v>#DIV/0!</v>
      </c>
      <c r="T355" s="66" t="e">
        <f>ROUND(Q355,2)*R355</f>
        <v>#DIV/0!</v>
      </c>
      <c r="U355" s="63" t="e">
        <f>R355*dagenperjaar1</f>
        <v>#DIV/0!</v>
      </c>
      <c r="V355" s="67" t="e">
        <f>U355*ROUND(Q355,2)</f>
        <v>#DIV/0!</v>
      </c>
    </row>
    <row r="356" spans="1:22" x14ac:dyDescent="0.2">
      <c r="A356" s="60" t="s">
        <v>582</v>
      </c>
      <c r="B356" s="61" t="s">
        <v>291</v>
      </c>
      <c r="C356" s="61" t="s">
        <v>550</v>
      </c>
      <c r="D356" s="61" t="s">
        <v>707</v>
      </c>
      <c r="E356" s="62" t="s">
        <v>708</v>
      </c>
      <c r="F356" s="61" t="s">
        <v>301</v>
      </c>
      <c r="G356" s="61" t="s">
        <v>218</v>
      </c>
      <c r="H356" s="61" t="s">
        <v>12</v>
      </c>
      <c r="I356" s="61" t="s">
        <v>200</v>
      </c>
      <c r="J356" s="61" t="s">
        <v>498</v>
      </c>
      <c r="K356" s="61" t="s">
        <v>291</v>
      </c>
      <c r="L356" s="63">
        <v>56</v>
      </c>
      <c r="M356" s="63">
        <f>L356*VLOOKUP(H356,dagsoorttabel1,2,FALSE)</f>
        <v>45.019607843137258</v>
      </c>
      <c r="N356" s="64">
        <f>prodnorm19</f>
        <v>0</v>
      </c>
      <c r="O356" s="65">
        <f>dagwerk19</f>
        <v>0</v>
      </c>
      <c r="P356" s="61" t="s">
        <v>41</v>
      </c>
      <c r="Q356" s="66">
        <f>uurtarief19</f>
        <v>0</v>
      </c>
      <c r="R356" s="63" t="e">
        <f>IF(ISBLANK(N356),0,M356/ROUND(N356,4))</f>
        <v>#DIV/0!</v>
      </c>
      <c r="S356" s="63" t="e">
        <f>IF(ISBLANK(N356),0,R356*ROUND(O356,2))</f>
        <v>#DIV/0!</v>
      </c>
      <c r="T356" s="66" t="e">
        <f>ROUND(Q356,2)*R356</f>
        <v>#DIV/0!</v>
      </c>
      <c r="U356" s="63" t="e">
        <f>R356*dagenperjaar1</f>
        <v>#DIV/0!</v>
      </c>
      <c r="V356" s="67" t="e">
        <f>U356*ROUND(Q356,2)</f>
        <v>#DIV/0!</v>
      </c>
    </row>
    <row r="357" spans="1:22" x14ac:dyDescent="0.2">
      <c r="A357" s="60" t="s">
        <v>582</v>
      </c>
      <c r="B357" s="61" t="s">
        <v>291</v>
      </c>
      <c r="C357" s="61" t="s">
        <v>550</v>
      </c>
      <c r="D357" s="61" t="s">
        <v>709</v>
      </c>
      <c r="E357" s="62" t="s">
        <v>489</v>
      </c>
      <c r="F357" s="61" t="s">
        <v>470</v>
      </c>
      <c r="G357" s="61" t="s">
        <v>250</v>
      </c>
      <c r="H357" s="61" t="s">
        <v>12</v>
      </c>
      <c r="I357" s="61" t="s">
        <v>200</v>
      </c>
      <c r="J357" s="61" t="s">
        <v>480</v>
      </c>
      <c r="K357" s="61" t="s">
        <v>291</v>
      </c>
      <c r="L357" s="63">
        <v>11.4</v>
      </c>
      <c r="M357" s="63">
        <f>L357*VLOOKUP(H357,dagsoorttabel1,2,FALSE)</f>
        <v>9.1647058823529424</v>
      </c>
      <c r="N357" s="64">
        <f>prodnorm39</f>
        <v>0</v>
      </c>
      <c r="O357" s="65">
        <f>dagwerk39</f>
        <v>0</v>
      </c>
      <c r="P357" s="61" t="s">
        <v>41</v>
      </c>
      <c r="Q357" s="66">
        <f>uurtarief39</f>
        <v>0</v>
      </c>
      <c r="R357" s="63" t="e">
        <f>IF(ISBLANK(N357),0,M357/ROUND(N357,4))</f>
        <v>#DIV/0!</v>
      </c>
      <c r="S357" s="63" t="e">
        <f>IF(ISBLANK(N357),0,R357*ROUND(O357,2))</f>
        <v>#DIV/0!</v>
      </c>
      <c r="T357" s="66" t="e">
        <f>ROUND(Q357,2)*R357</f>
        <v>#DIV/0!</v>
      </c>
      <c r="U357" s="63" t="e">
        <f>R357*dagenperjaar1</f>
        <v>#DIV/0!</v>
      </c>
      <c r="V357" s="67" t="e">
        <f>U357*ROUND(Q357,2)</f>
        <v>#DIV/0!</v>
      </c>
    </row>
    <row r="358" spans="1:22" x14ac:dyDescent="0.2">
      <c r="A358" s="60" t="s">
        <v>582</v>
      </c>
      <c r="B358" s="61" t="s">
        <v>291</v>
      </c>
      <c r="C358" s="61" t="s">
        <v>550</v>
      </c>
      <c r="D358" s="61" t="s">
        <v>710</v>
      </c>
      <c r="E358" s="62" t="s">
        <v>491</v>
      </c>
      <c r="F358" s="61" t="s">
        <v>470</v>
      </c>
      <c r="G358" s="61" t="s">
        <v>250</v>
      </c>
      <c r="H358" s="61" t="s">
        <v>12</v>
      </c>
      <c r="I358" s="61" t="s">
        <v>200</v>
      </c>
      <c r="J358" s="61" t="s">
        <v>480</v>
      </c>
      <c r="K358" s="61" t="s">
        <v>291</v>
      </c>
      <c r="L358" s="63">
        <v>11.4</v>
      </c>
      <c r="M358" s="63">
        <f>L358*VLOOKUP(H358,dagsoorttabel1,2,FALSE)</f>
        <v>9.1647058823529424</v>
      </c>
      <c r="N358" s="64">
        <f>prodnorm39</f>
        <v>0</v>
      </c>
      <c r="O358" s="65">
        <f>dagwerk39</f>
        <v>0</v>
      </c>
      <c r="P358" s="61" t="s">
        <v>41</v>
      </c>
      <c r="Q358" s="66">
        <f>uurtarief39</f>
        <v>0</v>
      </c>
      <c r="R358" s="63" t="e">
        <f>IF(ISBLANK(N358),0,M358/ROUND(N358,4))</f>
        <v>#DIV/0!</v>
      </c>
      <c r="S358" s="63" t="e">
        <f>IF(ISBLANK(N358),0,R358*ROUND(O358,2))</f>
        <v>#DIV/0!</v>
      </c>
      <c r="T358" s="66" t="e">
        <f>ROUND(Q358,2)*R358</f>
        <v>#DIV/0!</v>
      </c>
      <c r="U358" s="63" t="e">
        <f>R358*dagenperjaar1</f>
        <v>#DIV/0!</v>
      </c>
      <c r="V358" s="67" t="e">
        <f>U358*ROUND(Q358,2)</f>
        <v>#DIV/0!</v>
      </c>
    </row>
    <row r="359" spans="1:22" x14ac:dyDescent="0.2">
      <c r="A359" s="60" t="s">
        <v>582</v>
      </c>
      <c r="B359" s="61" t="s">
        <v>291</v>
      </c>
      <c r="C359" s="61" t="s">
        <v>550</v>
      </c>
      <c r="D359" s="61" t="s">
        <v>711</v>
      </c>
      <c r="E359" s="62" t="s">
        <v>712</v>
      </c>
      <c r="F359" s="61" t="s">
        <v>301</v>
      </c>
      <c r="G359" s="61" t="s">
        <v>218</v>
      </c>
      <c r="H359" s="61" t="s">
        <v>12</v>
      </c>
      <c r="I359" s="61" t="s">
        <v>200</v>
      </c>
      <c r="J359" s="61" t="s">
        <v>498</v>
      </c>
      <c r="K359" s="61" t="s">
        <v>291</v>
      </c>
      <c r="L359" s="63">
        <v>49</v>
      </c>
      <c r="M359" s="63">
        <f>L359*VLOOKUP(H359,dagsoorttabel1,2,FALSE)</f>
        <v>39.392156862745097</v>
      </c>
      <c r="N359" s="64">
        <f>prodnorm19</f>
        <v>0</v>
      </c>
      <c r="O359" s="65">
        <f>dagwerk19</f>
        <v>0</v>
      </c>
      <c r="P359" s="61" t="s">
        <v>41</v>
      </c>
      <c r="Q359" s="66">
        <f>uurtarief19</f>
        <v>0</v>
      </c>
      <c r="R359" s="63" t="e">
        <f>IF(ISBLANK(N359),0,M359/ROUND(N359,4))</f>
        <v>#DIV/0!</v>
      </c>
      <c r="S359" s="63" t="e">
        <f>IF(ISBLANK(N359),0,R359*ROUND(O359,2))</f>
        <v>#DIV/0!</v>
      </c>
      <c r="T359" s="66" t="e">
        <f>ROUND(Q359,2)*R359</f>
        <v>#DIV/0!</v>
      </c>
      <c r="U359" s="63" t="e">
        <f>R359*dagenperjaar1</f>
        <v>#DIV/0!</v>
      </c>
      <c r="V359" s="67" t="e">
        <f>U359*ROUND(Q359,2)</f>
        <v>#DIV/0!</v>
      </c>
    </row>
    <row r="360" spans="1:22" x14ac:dyDescent="0.2">
      <c r="A360" s="60" t="s">
        <v>582</v>
      </c>
      <c r="B360" s="61" t="s">
        <v>291</v>
      </c>
      <c r="C360" s="61" t="s">
        <v>550</v>
      </c>
      <c r="D360" s="61" t="s">
        <v>713</v>
      </c>
      <c r="E360" s="62" t="s">
        <v>714</v>
      </c>
      <c r="F360" s="61" t="s">
        <v>301</v>
      </c>
      <c r="G360" s="61" t="s">
        <v>218</v>
      </c>
      <c r="H360" s="61" t="s">
        <v>12</v>
      </c>
      <c r="I360" s="61" t="s">
        <v>200</v>
      </c>
      <c r="J360" s="61" t="s">
        <v>498</v>
      </c>
      <c r="K360" s="61" t="s">
        <v>291</v>
      </c>
      <c r="L360" s="63">
        <v>49</v>
      </c>
      <c r="M360" s="63">
        <f>L360*VLOOKUP(H360,dagsoorttabel1,2,FALSE)</f>
        <v>39.392156862745097</v>
      </c>
      <c r="N360" s="64">
        <f>prodnorm19</f>
        <v>0</v>
      </c>
      <c r="O360" s="65">
        <f>dagwerk19</f>
        <v>0</v>
      </c>
      <c r="P360" s="61" t="s">
        <v>41</v>
      </c>
      <c r="Q360" s="66">
        <f>uurtarief19</f>
        <v>0</v>
      </c>
      <c r="R360" s="63" t="e">
        <f>IF(ISBLANK(N360),0,M360/ROUND(N360,4))</f>
        <v>#DIV/0!</v>
      </c>
      <c r="S360" s="63" t="e">
        <f>IF(ISBLANK(N360),0,R360*ROUND(O360,2))</f>
        <v>#DIV/0!</v>
      </c>
      <c r="T360" s="66" t="e">
        <f>ROUND(Q360,2)*R360</f>
        <v>#DIV/0!</v>
      </c>
      <c r="U360" s="63" t="e">
        <f>R360*dagenperjaar1</f>
        <v>#DIV/0!</v>
      </c>
      <c r="V360" s="67" t="e">
        <f>U360*ROUND(Q360,2)</f>
        <v>#DIV/0!</v>
      </c>
    </row>
    <row r="361" spans="1:22" x14ac:dyDescent="0.2">
      <c r="A361" s="60" t="s">
        <v>582</v>
      </c>
      <c r="B361" s="61" t="s">
        <v>291</v>
      </c>
      <c r="C361" s="61" t="s">
        <v>550</v>
      </c>
      <c r="D361" s="61" t="s">
        <v>715</v>
      </c>
      <c r="E361" s="62" t="s">
        <v>716</v>
      </c>
      <c r="F361" s="61" t="s">
        <v>301</v>
      </c>
      <c r="G361" s="61" t="s">
        <v>218</v>
      </c>
      <c r="H361" s="61" t="s">
        <v>12</v>
      </c>
      <c r="I361" s="61" t="s">
        <v>200</v>
      </c>
      <c r="J361" s="61" t="s">
        <v>498</v>
      </c>
      <c r="K361" s="61" t="s">
        <v>291</v>
      </c>
      <c r="L361" s="63">
        <v>48</v>
      </c>
      <c r="M361" s="63">
        <f>L361*VLOOKUP(H361,dagsoorttabel1,2,FALSE)</f>
        <v>38.588235294117652</v>
      </c>
      <c r="N361" s="64">
        <f>prodnorm19</f>
        <v>0</v>
      </c>
      <c r="O361" s="65">
        <f>dagwerk19</f>
        <v>0</v>
      </c>
      <c r="P361" s="61" t="s">
        <v>41</v>
      </c>
      <c r="Q361" s="66">
        <f>uurtarief19</f>
        <v>0</v>
      </c>
      <c r="R361" s="63" t="e">
        <f>IF(ISBLANK(N361),0,M361/ROUND(N361,4))</f>
        <v>#DIV/0!</v>
      </c>
      <c r="S361" s="63" t="e">
        <f>IF(ISBLANK(N361),0,R361*ROUND(O361,2))</f>
        <v>#DIV/0!</v>
      </c>
      <c r="T361" s="66" t="e">
        <f>ROUND(Q361,2)*R361</f>
        <v>#DIV/0!</v>
      </c>
      <c r="U361" s="63" t="e">
        <f>R361*dagenperjaar1</f>
        <v>#DIV/0!</v>
      </c>
      <c r="V361" s="67" t="e">
        <f>U361*ROUND(Q361,2)</f>
        <v>#DIV/0!</v>
      </c>
    </row>
    <row r="362" spans="1:22" x14ac:dyDescent="0.2">
      <c r="A362" s="60" t="s">
        <v>582</v>
      </c>
      <c r="B362" s="61" t="s">
        <v>291</v>
      </c>
      <c r="C362" s="61" t="s">
        <v>550</v>
      </c>
      <c r="D362" s="61" t="s">
        <v>717</v>
      </c>
      <c r="E362" s="62" t="s">
        <v>629</v>
      </c>
      <c r="F362" s="61" t="s">
        <v>329</v>
      </c>
      <c r="G362" s="61" t="s">
        <v>224</v>
      </c>
      <c r="H362" s="61" t="s">
        <v>12</v>
      </c>
      <c r="I362" s="61" t="s">
        <v>200</v>
      </c>
      <c r="J362" s="61" t="s">
        <v>498</v>
      </c>
      <c r="K362" s="61" t="s">
        <v>291</v>
      </c>
      <c r="L362" s="63">
        <v>60</v>
      </c>
      <c r="M362" s="63">
        <f>L362*VLOOKUP(H362,dagsoorttabel1,2,FALSE)</f>
        <v>48.235294117647058</v>
      </c>
      <c r="N362" s="64">
        <f>prodnorm24</f>
        <v>0</v>
      </c>
      <c r="O362" s="65">
        <f>dagwerk24</f>
        <v>0</v>
      </c>
      <c r="P362" s="61" t="s">
        <v>41</v>
      </c>
      <c r="Q362" s="66">
        <f>uurtarief24</f>
        <v>0</v>
      </c>
      <c r="R362" s="63" t="e">
        <f>IF(ISBLANK(N362),0,M362/ROUND(N362,4))</f>
        <v>#DIV/0!</v>
      </c>
      <c r="S362" s="63" t="e">
        <f>IF(ISBLANK(N362),0,R362*ROUND(O362,2))</f>
        <v>#DIV/0!</v>
      </c>
      <c r="T362" s="66" t="e">
        <f>ROUND(Q362,2)*R362</f>
        <v>#DIV/0!</v>
      </c>
      <c r="U362" s="63" t="e">
        <f>R362*dagenperjaar1</f>
        <v>#DIV/0!</v>
      </c>
      <c r="V362" s="67" t="e">
        <f>U362*ROUND(Q362,2)</f>
        <v>#DIV/0!</v>
      </c>
    </row>
    <row r="363" spans="1:22" x14ac:dyDescent="0.2">
      <c r="A363" s="60" t="s">
        <v>582</v>
      </c>
      <c r="B363" s="61" t="s">
        <v>291</v>
      </c>
      <c r="C363" s="61" t="s">
        <v>550</v>
      </c>
      <c r="D363" s="61" t="s">
        <v>718</v>
      </c>
      <c r="E363" s="62" t="s">
        <v>719</v>
      </c>
      <c r="F363" s="61" t="s">
        <v>301</v>
      </c>
      <c r="G363" s="61" t="s">
        <v>218</v>
      </c>
      <c r="H363" s="61" t="s">
        <v>12</v>
      </c>
      <c r="I363" s="61" t="s">
        <v>200</v>
      </c>
      <c r="J363" s="61" t="s">
        <v>498</v>
      </c>
      <c r="K363" s="61" t="s">
        <v>291</v>
      </c>
      <c r="L363" s="63">
        <v>48</v>
      </c>
      <c r="M363" s="63">
        <f>L363*VLOOKUP(H363,dagsoorttabel1,2,FALSE)</f>
        <v>38.588235294117652</v>
      </c>
      <c r="N363" s="64">
        <f>prodnorm19</f>
        <v>0</v>
      </c>
      <c r="O363" s="65">
        <f>dagwerk19</f>
        <v>0</v>
      </c>
      <c r="P363" s="61" t="s">
        <v>41</v>
      </c>
      <c r="Q363" s="66">
        <f>uurtarief19</f>
        <v>0</v>
      </c>
      <c r="R363" s="63" t="e">
        <f>IF(ISBLANK(N363),0,M363/ROUND(N363,4))</f>
        <v>#DIV/0!</v>
      </c>
      <c r="S363" s="63" t="e">
        <f>IF(ISBLANK(N363),0,R363*ROUND(O363,2))</f>
        <v>#DIV/0!</v>
      </c>
      <c r="T363" s="66" t="e">
        <f>ROUND(Q363,2)*R363</f>
        <v>#DIV/0!</v>
      </c>
      <c r="U363" s="63" t="e">
        <f>R363*dagenperjaar1</f>
        <v>#DIV/0!</v>
      </c>
      <c r="V363" s="67" t="e">
        <f>U363*ROUND(Q363,2)</f>
        <v>#DIV/0!</v>
      </c>
    </row>
    <row r="364" spans="1:22" x14ac:dyDescent="0.2">
      <c r="A364" s="60" t="s">
        <v>582</v>
      </c>
      <c r="B364" s="61" t="s">
        <v>291</v>
      </c>
      <c r="C364" s="61" t="s">
        <v>550</v>
      </c>
      <c r="D364" s="61" t="s">
        <v>720</v>
      </c>
      <c r="E364" s="62" t="s">
        <v>552</v>
      </c>
      <c r="F364" s="61" t="s">
        <v>301</v>
      </c>
      <c r="G364" s="61" t="s">
        <v>254</v>
      </c>
      <c r="H364" s="61" t="s">
        <v>12</v>
      </c>
      <c r="I364" s="61" t="s">
        <v>200</v>
      </c>
      <c r="J364" s="61" t="s">
        <v>471</v>
      </c>
      <c r="K364" s="61" t="s">
        <v>291</v>
      </c>
      <c r="L364" s="63">
        <v>5.4</v>
      </c>
      <c r="M364" s="63">
        <f>L364*VLOOKUP(H364,dagsoorttabel1,2,FALSE)</f>
        <v>4.3411764705882359</v>
      </c>
      <c r="N364" s="64">
        <f>prodnorm44</f>
        <v>0</v>
      </c>
      <c r="O364" s="65">
        <f>dagwerk44</f>
        <v>0</v>
      </c>
      <c r="P364" s="61" t="s">
        <v>41</v>
      </c>
      <c r="Q364" s="66">
        <f>uurtarief44</f>
        <v>0</v>
      </c>
      <c r="R364" s="63" t="e">
        <f>IF(ISBLANK(N364),0,M364/ROUND(N364,4))</f>
        <v>#DIV/0!</v>
      </c>
      <c r="S364" s="63" t="e">
        <f>IF(ISBLANK(N364),0,R364*ROUND(O364,2))</f>
        <v>#DIV/0!</v>
      </c>
      <c r="T364" s="66" t="e">
        <f>ROUND(Q364,2)*R364</f>
        <v>#DIV/0!</v>
      </c>
      <c r="U364" s="63" t="e">
        <f>R364*dagenperjaar1</f>
        <v>#DIV/0!</v>
      </c>
      <c r="V364" s="67" t="e">
        <f>U364*ROUND(Q364,2)</f>
        <v>#DIV/0!</v>
      </c>
    </row>
    <row r="365" spans="1:22" x14ac:dyDescent="0.2">
      <c r="A365" s="60" t="s">
        <v>582</v>
      </c>
      <c r="B365" s="61" t="s">
        <v>291</v>
      </c>
      <c r="C365" s="61" t="s">
        <v>550</v>
      </c>
      <c r="D365" s="61" t="s">
        <v>721</v>
      </c>
      <c r="E365" s="62" t="s">
        <v>552</v>
      </c>
      <c r="F365" s="61" t="s">
        <v>301</v>
      </c>
      <c r="G365" s="61" t="s">
        <v>254</v>
      </c>
      <c r="H365" s="61" t="s">
        <v>12</v>
      </c>
      <c r="I365" s="61" t="s">
        <v>200</v>
      </c>
      <c r="J365" s="61" t="s">
        <v>471</v>
      </c>
      <c r="K365" s="61" t="s">
        <v>291</v>
      </c>
      <c r="L365" s="63">
        <v>2.1</v>
      </c>
      <c r="M365" s="63">
        <f>L365*VLOOKUP(H365,dagsoorttabel1,2,FALSE)</f>
        <v>1.6882352941176473</v>
      </c>
      <c r="N365" s="64">
        <f>prodnorm44</f>
        <v>0</v>
      </c>
      <c r="O365" s="65">
        <f>dagwerk44</f>
        <v>0</v>
      </c>
      <c r="P365" s="61" t="s">
        <v>41</v>
      </c>
      <c r="Q365" s="66">
        <f>uurtarief44</f>
        <v>0</v>
      </c>
      <c r="R365" s="63" t="e">
        <f>IF(ISBLANK(N365),0,M365/ROUND(N365,4))</f>
        <v>#DIV/0!</v>
      </c>
      <c r="S365" s="63" t="e">
        <f>IF(ISBLANK(N365),0,R365*ROUND(O365,2))</f>
        <v>#DIV/0!</v>
      </c>
      <c r="T365" s="66" t="e">
        <f>ROUND(Q365,2)*R365</f>
        <v>#DIV/0!</v>
      </c>
      <c r="U365" s="63" t="e">
        <f>R365*dagenperjaar1</f>
        <v>#DIV/0!</v>
      </c>
      <c r="V365" s="67" t="e">
        <f>U365*ROUND(Q365,2)</f>
        <v>#DIV/0!</v>
      </c>
    </row>
    <row r="366" spans="1:22" x14ac:dyDescent="0.2">
      <c r="A366" s="60" t="s">
        <v>582</v>
      </c>
      <c r="B366" s="61" t="s">
        <v>291</v>
      </c>
      <c r="C366" s="61" t="s">
        <v>550</v>
      </c>
      <c r="D366" s="61" t="s">
        <v>722</v>
      </c>
      <c r="E366" s="62" t="s">
        <v>723</v>
      </c>
      <c r="F366" s="61" t="s">
        <v>301</v>
      </c>
      <c r="G366" s="61" t="s">
        <v>218</v>
      </c>
      <c r="H366" s="61" t="s">
        <v>12</v>
      </c>
      <c r="I366" s="61" t="s">
        <v>200</v>
      </c>
      <c r="J366" s="61" t="s">
        <v>498</v>
      </c>
      <c r="K366" s="61" t="s">
        <v>291</v>
      </c>
      <c r="L366" s="63">
        <v>49</v>
      </c>
      <c r="M366" s="63">
        <f>L366*VLOOKUP(H366,dagsoorttabel1,2,FALSE)</f>
        <v>39.392156862745097</v>
      </c>
      <c r="N366" s="64">
        <f>prodnorm19</f>
        <v>0</v>
      </c>
      <c r="O366" s="65">
        <f>dagwerk19</f>
        <v>0</v>
      </c>
      <c r="P366" s="61" t="s">
        <v>41</v>
      </c>
      <c r="Q366" s="66">
        <f>uurtarief19</f>
        <v>0</v>
      </c>
      <c r="R366" s="63" t="e">
        <f>IF(ISBLANK(N366),0,M366/ROUND(N366,4))</f>
        <v>#DIV/0!</v>
      </c>
      <c r="S366" s="63" t="e">
        <f>IF(ISBLANK(N366),0,R366*ROUND(O366,2))</f>
        <v>#DIV/0!</v>
      </c>
      <c r="T366" s="66" t="e">
        <f>ROUND(Q366,2)*R366</f>
        <v>#DIV/0!</v>
      </c>
      <c r="U366" s="63" t="e">
        <f>R366*dagenperjaar1</f>
        <v>#DIV/0!</v>
      </c>
      <c r="V366" s="67" t="e">
        <f>U366*ROUND(Q366,2)</f>
        <v>#DIV/0!</v>
      </c>
    </row>
    <row r="367" spans="1:22" x14ac:dyDescent="0.2">
      <c r="A367" s="60" t="s">
        <v>582</v>
      </c>
      <c r="B367" s="61" t="s">
        <v>291</v>
      </c>
      <c r="C367" s="61" t="s">
        <v>550</v>
      </c>
      <c r="D367" s="61" t="s">
        <v>724</v>
      </c>
      <c r="E367" s="62" t="s">
        <v>725</v>
      </c>
      <c r="F367" s="61" t="s">
        <v>301</v>
      </c>
      <c r="G367" s="61" t="s">
        <v>218</v>
      </c>
      <c r="H367" s="61" t="s">
        <v>12</v>
      </c>
      <c r="I367" s="61" t="s">
        <v>200</v>
      </c>
      <c r="J367" s="61" t="s">
        <v>498</v>
      </c>
      <c r="K367" s="61" t="s">
        <v>291</v>
      </c>
      <c r="L367" s="63">
        <v>49</v>
      </c>
      <c r="M367" s="63">
        <f>L367*VLOOKUP(H367,dagsoorttabel1,2,FALSE)</f>
        <v>39.392156862745097</v>
      </c>
      <c r="N367" s="64">
        <f>prodnorm19</f>
        <v>0</v>
      </c>
      <c r="O367" s="65">
        <f>dagwerk19</f>
        <v>0</v>
      </c>
      <c r="P367" s="61" t="s">
        <v>41</v>
      </c>
      <c r="Q367" s="66">
        <f>uurtarief19</f>
        <v>0</v>
      </c>
      <c r="R367" s="63" t="e">
        <f>IF(ISBLANK(N367),0,M367/ROUND(N367,4))</f>
        <v>#DIV/0!</v>
      </c>
      <c r="S367" s="63" t="e">
        <f>IF(ISBLANK(N367),0,R367*ROUND(O367,2))</f>
        <v>#DIV/0!</v>
      </c>
      <c r="T367" s="66" t="e">
        <f>ROUND(Q367,2)*R367</f>
        <v>#DIV/0!</v>
      </c>
      <c r="U367" s="63" t="e">
        <f>R367*dagenperjaar1</f>
        <v>#DIV/0!</v>
      </c>
      <c r="V367" s="67" t="e">
        <f>U367*ROUND(Q367,2)</f>
        <v>#DIV/0!</v>
      </c>
    </row>
    <row r="368" spans="1:22" x14ac:dyDescent="0.2">
      <c r="A368" s="60" t="s">
        <v>582</v>
      </c>
      <c r="B368" s="61" t="s">
        <v>291</v>
      </c>
      <c r="C368" s="61" t="s">
        <v>550</v>
      </c>
      <c r="D368" s="61" t="s">
        <v>726</v>
      </c>
      <c r="E368" s="62" t="s">
        <v>727</v>
      </c>
      <c r="F368" s="61" t="s">
        <v>301</v>
      </c>
      <c r="G368" s="61" t="s">
        <v>218</v>
      </c>
      <c r="H368" s="61" t="s">
        <v>12</v>
      </c>
      <c r="I368" s="61" t="s">
        <v>200</v>
      </c>
      <c r="J368" s="61" t="s">
        <v>498</v>
      </c>
      <c r="K368" s="61" t="s">
        <v>291</v>
      </c>
      <c r="L368" s="63">
        <v>49</v>
      </c>
      <c r="M368" s="63">
        <f>L368*VLOOKUP(H368,dagsoorttabel1,2,FALSE)</f>
        <v>39.392156862745097</v>
      </c>
      <c r="N368" s="64">
        <f>prodnorm19</f>
        <v>0</v>
      </c>
      <c r="O368" s="65">
        <f>dagwerk19</f>
        <v>0</v>
      </c>
      <c r="P368" s="61" t="s">
        <v>41</v>
      </c>
      <c r="Q368" s="66">
        <f>uurtarief19</f>
        <v>0</v>
      </c>
      <c r="R368" s="63" t="e">
        <f>IF(ISBLANK(N368),0,M368/ROUND(N368,4))</f>
        <v>#DIV/0!</v>
      </c>
      <c r="S368" s="63" t="e">
        <f>IF(ISBLANK(N368),0,R368*ROUND(O368,2))</f>
        <v>#DIV/0!</v>
      </c>
      <c r="T368" s="66" t="e">
        <f>ROUND(Q368,2)*R368</f>
        <v>#DIV/0!</v>
      </c>
      <c r="U368" s="63" t="e">
        <f>R368*dagenperjaar1</f>
        <v>#DIV/0!</v>
      </c>
      <c r="V368" s="67" t="e">
        <f>U368*ROUND(Q368,2)</f>
        <v>#DIV/0!</v>
      </c>
    </row>
    <row r="369" spans="1:22" x14ac:dyDescent="0.2">
      <c r="A369" s="60" t="s">
        <v>582</v>
      </c>
      <c r="B369" s="61" t="s">
        <v>291</v>
      </c>
      <c r="C369" s="61" t="s">
        <v>550</v>
      </c>
      <c r="D369" s="61" t="s">
        <v>728</v>
      </c>
      <c r="E369" s="62" t="s">
        <v>729</v>
      </c>
      <c r="F369" s="61" t="s">
        <v>301</v>
      </c>
      <c r="G369" s="61" t="s">
        <v>218</v>
      </c>
      <c r="H369" s="61" t="s">
        <v>12</v>
      </c>
      <c r="I369" s="61" t="s">
        <v>200</v>
      </c>
      <c r="J369" s="61" t="s">
        <v>498</v>
      </c>
      <c r="K369" s="61" t="s">
        <v>291</v>
      </c>
      <c r="L369" s="63">
        <v>49</v>
      </c>
      <c r="M369" s="63">
        <f>L369*VLOOKUP(H369,dagsoorttabel1,2,FALSE)</f>
        <v>39.392156862745097</v>
      </c>
      <c r="N369" s="64">
        <f>prodnorm19</f>
        <v>0</v>
      </c>
      <c r="O369" s="65">
        <f>dagwerk19</f>
        <v>0</v>
      </c>
      <c r="P369" s="61" t="s">
        <v>41</v>
      </c>
      <c r="Q369" s="66">
        <f>uurtarief19</f>
        <v>0</v>
      </c>
      <c r="R369" s="63" t="e">
        <f>IF(ISBLANK(N369),0,M369/ROUND(N369,4))</f>
        <v>#DIV/0!</v>
      </c>
      <c r="S369" s="63" t="e">
        <f>IF(ISBLANK(N369),0,R369*ROUND(O369,2))</f>
        <v>#DIV/0!</v>
      </c>
      <c r="T369" s="66" t="e">
        <f>ROUND(Q369,2)*R369</f>
        <v>#DIV/0!</v>
      </c>
      <c r="U369" s="63" t="e">
        <f>R369*dagenperjaar1</f>
        <v>#DIV/0!</v>
      </c>
      <c r="V369" s="67" t="e">
        <f>U369*ROUND(Q369,2)</f>
        <v>#DIV/0!</v>
      </c>
    </row>
    <row r="370" spans="1:22" x14ac:dyDescent="0.2">
      <c r="A370" s="60" t="s">
        <v>582</v>
      </c>
      <c r="B370" s="61" t="s">
        <v>291</v>
      </c>
      <c r="C370" s="61" t="s">
        <v>550</v>
      </c>
      <c r="D370" s="61" t="s">
        <v>730</v>
      </c>
      <c r="E370" s="62" t="s">
        <v>506</v>
      </c>
      <c r="F370" s="61" t="s">
        <v>329</v>
      </c>
      <c r="G370" s="61" t="s">
        <v>202</v>
      </c>
      <c r="H370" s="61" t="s">
        <v>12</v>
      </c>
      <c r="I370" s="61" t="s">
        <v>200</v>
      </c>
      <c r="J370" s="61" t="s">
        <v>473</v>
      </c>
      <c r="K370" s="61" t="s">
        <v>291</v>
      </c>
      <c r="L370" s="63">
        <v>24.88</v>
      </c>
      <c r="M370" s="63">
        <f>L370*VLOOKUP(H370,dagsoorttabel1,2,FALSE)</f>
        <v>20.001568627450979</v>
      </c>
      <c r="N370" s="64">
        <f>prodnorm5</f>
        <v>0</v>
      </c>
      <c r="O370" s="65">
        <f>dagwerk5</f>
        <v>0</v>
      </c>
      <c r="P370" s="61" t="s">
        <v>41</v>
      </c>
      <c r="Q370" s="66">
        <f>uurtarief5</f>
        <v>0</v>
      </c>
      <c r="R370" s="63" t="e">
        <f>IF(ISBLANK(N370),0,M370/ROUND(N370,4))</f>
        <v>#DIV/0!</v>
      </c>
      <c r="S370" s="63" t="e">
        <f>IF(ISBLANK(N370),0,R370*ROUND(O370,2))</f>
        <v>#DIV/0!</v>
      </c>
      <c r="T370" s="66" t="e">
        <f>ROUND(Q370,2)*R370</f>
        <v>#DIV/0!</v>
      </c>
      <c r="U370" s="63" t="e">
        <f>R370*dagenperjaar1</f>
        <v>#DIV/0!</v>
      </c>
      <c r="V370" s="67" t="e">
        <f>U370*ROUND(Q370,2)</f>
        <v>#DIV/0!</v>
      </c>
    </row>
    <row r="371" spans="1:22" x14ac:dyDescent="0.2">
      <c r="A371" s="60" t="s">
        <v>582</v>
      </c>
      <c r="B371" s="61" t="s">
        <v>291</v>
      </c>
      <c r="C371" s="61" t="s">
        <v>550</v>
      </c>
      <c r="D371" s="61" t="s">
        <v>731</v>
      </c>
      <c r="E371" s="62" t="s">
        <v>552</v>
      </c>
      <c r="F371" s="61" t="s">
        <v>301</v>
      </c>
      <c r="G371" s="61" t="s">
        <v>254</v>
      </c>
      <c r="H371" s="61" t="s">
        <v>12</v>
      </c>
      <c r="I371" s="61" t="s">
        <v>200</v>
      </c>
      <c r="J371" s="61" t="s">
        <v>471</v>
      </c>
      <c r="K371" s="61" t="s">
        <v>291</v>
      </c>
      <c r="L371" s="63">
        <v>17</v>
      </c>
      <c r="M371" s="63">
        <f>L371*VLOOKUP(H371,dagsoorttabel1,2,FALSE)</f>
        <v>13.666666666666668</v>
      </c>
      <c r="N371" s="64">
        <f>prodnorm44</f>
        <v>0</v>
      </c>
      <c r="O371" s="65">
        <f>dagwerk44</f>
        <v>0</v>
      </c>
      <c r="P371" s="61" t="s">
        <v>41</v>
      </c>
      <c r="Q371" s="66">
        <f>uurtarief44</f>
        <v>0</v>
      </c>
      <c r="R371" s="63" t="e">
        <f>IF(ISBLANK(N371),0,M371/ROUND(N371,4))</f>
        <v>#DIV/0!</v>
      </c>
      <c r="S371" s="63" t="e">
        <f>IF(ISBLANK(N371),0,R371*ROUND(O371,2))</f>
        <v>#DIV/0!</v>
      </c>
      <c r="T371" s="66" t="e">
        <f>ROUND(Q371,2)*R371</f>
        <v>#DIV/0!</v>
      </c>
      <c r="U371" s="63" t="e">
        <f>R371*dagenperjaar1</f>
        <v>#DIV/0!</v>
      </c>
      <c r="V371" s="67" t="e">
        <f>U371*ROUND(Q371,2)</f>
        <v>#DIV/0!</v>
      </c>
    </row>
    <row r="372" spans="1:22" x14ac:dyDescent="0.2">
      <c r="A372" s="60" t="s">
        <v>582</v>
      </c>
      <c r="B372" s="61" t="s">
        <v>291</v>
      </c>
      <c r="C372" s="61" t="s">
        <v>550</v>
      </c>
      <c r="D372" s="61" t="s">
        <v>732</v>
      </c>
      <c r="E372" s="62" t="s">
        <v>552</v>
      </c>
      <c r="F372" s="61" t="s">
        <v>470</v>
      </c>
      <c r="G372" s="61" t="s">
        <v>254</v>
      </c>
      <c r="H372" s="61" t="s">
        <v>12</v>
      </c>
      <c r="I372" s="61" t="s">
        <v>200</v>
      </c>
      <c r="J372" s="61" t="s">
        <v>471</v>
      </c>
      <c r="K372" s="61" t="s">
        <v>291</v>
      </c>
      <c r="L372" s="63">
        <v>1.1000000000000001</v>
      </c>
      <c r="M372" s="63">
        <f>L372*VLOOKUP(H372,dagsoorttabel1,2,FALSE)</f>
        <v>0.88431372549019616</v>
      </c>
      <c r="N372" s="64">
        <f>prodnorm44</f>
        <v>0</v>
      </c>
      <c r="O372" s="65">
        <f>dagwerk44</f>
        <v>0</v>
      </c>
      <c r="P372" s="61" t="s">
        <v>41</v>
      </c>
      <c r="Q372" s="66">
        <f>uurtarief44</f>
        <v>0</v>
      </c>
      <c r="R372" s="63" t="e">
        <f>IF(ISBLANK(N372),0,M372/ROUND(N372,4))</f>
        <v>#DIV/0!</v>
      </c>
      <c r="S372" s="63" t="e">
        <f>IF(ISBLANK(N372),0,R372*ROUND(O372,2))</f>
        <v>#DIV/0!</v>
      </c>
      <c r="T372" s="66" t="e">
        <f>ROUND(Q372,2)*R372</f>
        <v>#DIV/0!</v>
      </c>
      <c r="U372" s="63" t="e">
        <f>R372*dagenperjaar1</f>
        <v>#DIV/0!</v>
      </c>
      <c r="V372" s="67" t="e">
        <f>U372*ROUND(Q372,2)</f>
        <v>#DIV/0!</v>
      </c>
    </row>
    <row r="373" spans="1:22" x14ac:dyDescent="0.2">
      <c r="A373" s="60" t="s">
        <v>582</v>
      </c>
      <c r="B373" s="61" t="s">
        <v>291</v>
      </c>
      <c r="C373" s="61" t="s">
        <v>550</v>
      </c>
      <c r="D373" s="61" t="s">
        <v>733</v>
      </c>
      <c r="E373" s="62" t="s">
        <v>734</v>
      </c>
      <c r="F373" s="61" t="s">
        <v>301</v>
      </c>
      <c r="G373" s="61" t="s">
        <v>208</v>
      </c>
      <c r="H373" s="61" t="s">
        <v>12</v>
      </c>
      <c r="I373" s="61" t="s">
        <v>200</v>
      </c>
      <c r="J373" s="61" t="s">
        <v>471</v>
      </c>
      <c r="K373" s="61" t="s">
        <v>291</v>
      </c>
      <c r="L373" s="63">
        <v>629.29999999999995</v>
      </c>
      <c r="M373" s="63">
        <f>L373*VLOOKUP(H373,dagsoorttabel1,2,FALSE)</f>
        <v>505.90784313725487</v>
      </c>
      <c r="N373" s="64">
        <f>prodnorm11</f>
        <v>0</v>
      </c>
      <c r="O373" s="65">
        <f>dagwerk11</f>
        <v>0</v>
      </c>
      <c r="P373" s="61" t="s">
        <v>41</v>
      </c>
      <c r="Q373" s="66">
        <f>uurtarief11</f>
        <v>0</v>
      </c>
      <c r="R373" s="63" t="e">
        <f>IF(ISBLANK(N373),0,M373/ROUND(N373,4))</f>
        <v>#DIV/0!</v>
      </c>
      <c r="S373" s="63" t="e">
        <f>IF(ISBLANK(N373),0,R373*ROUND(O373,2))</f>
        <v>#DIV/0!</v>
      </c>
      <c r="T373" s="66" t="e">
        <f>ROUND(Q373,2)*R373</f>
        <v>#DIV/0!</v>
      </c>
      <c r="U373" s="63" t="e">
        <f>R373*dagenperjaar1</f>
        <v>#DIV/0!</v>
      </c>
      <c r="V373" s="67" t="e">
        <f>U373*ROUND(Q373,2)</f>
        <v>#DIV/0!</v>
      </c>
    </row>
    <row r="374" spans="1:22" x14ac:dyDescent="0.2">
      <c r="A374" s="60" t="s">
        <v>582</v>
      </c>
      <c r="B374" s="61" t="s">
        <v>291</v>
      </c>
      <c r="C374" s="61" t="s">
        <v>550</v>
      </c>
      <c r="D374" s="61" t="s">
        <v>735</v>
      </c>
      <c r="E374" s="62" t="s">
        <v>734</v>
      </c>
      <c r="F374" s="61" t="s">
        <v>470</v>
      </c>
      <c r="G374" s="61" t="s">
        <v>208</v>
      </c>
      <c r="H374" s="61" t="s">
        <v>12</v>
      </c>
      <c r="I374" s="61" t="s">
        <v>200</v>
      </c>
      <c r="J374" s="61" t="s">
        <v>471</v>
      </c>
      <c r="K374" s="61" t="s">
        <v>291</v>
      </c>
      <c r="L374" s="63">
        <v>11.7</v>
      </c>
      <c r="M374" s="63">
        <f>L374*VLOOKUP(H374,dagsoorttabel1,2,FALSE)</f>
        <v>9.4058823529411768</v>
      </c>
      <c r="N374" s="64">
        <f>prodnorm11</f>
        <v>0</v>
      </c>
      <c r="O374" s="65">
        <f>dagwerk11</f>
        <v>0</v>
      </c>
      <c r="P374" s="61" t="s">
        <v>41</v>
      </c>
      <c r="Q374" s="66">
        <f>uurtarief11</f>
        <v>0</v>
      </c>
      <c r="R374" s="63" t="e">
        <f>IF(ISBLANK(N374),0,M374/ROUND(N374,4))</f>
        <v>#DIV/0!</v>
      </c>
      <c r="S374" s="63" t="e">
        <f>IF(ISBLANK(N374),0,R374*ROUND(O374,2))</f>
        <v>#DIV/0!</v>
      </c>
      <c r="T374" s="66" t="e">
        <f>ROUND(Q374,2)*R374</f>
        <v>#DIV/0!</v>
      </c>
      <c r="U374" s="63" t="e">
        <f>R374*dagenperjaar1</f>
        <v>#DIV/0!</v>
      </c>
      <c r="V374" s="67" t="e">
        <f>U374*ROUND(Q374,2)</f>
        <v>#DIV/0!</v>
      </c>
    </row>
    <row r="375" spans="1:22" x14ac:dyDescent="0.2">
      <c r="A375" s="60" t="s">
        <v>582</v>
      </c>
      <c r="B375" s="61" t="s">
        <v>291</v>
      </c>
      <c r="C375" s="61" t="s">
        <v>550</v>
      </c>
      <c r="D375" s="61" t="s">
        <v>736</v>
      </c>
      <c r="E375" s="62" t="s">
        <v>737</v>
      </c>
      <c r="F375" s="61" t="s">
        <v>301</v>
      </c>
      <c r="G375" s="61" t="s">
        <v>254</v>
      </c>
      <c r="H375" s="61" t="s">
        <v>12</v>
      </c>
      <c r="I375" s="61" t="s">
        <v>200</v>
      </c>
      <c r="J375" s="61" t="s">
        <v>471</v>
      </c>
      <c r="K375" s="61" t="s">
        <v>291</v>
      </c>
      <c r="L375" s="63">
        <v>2.8</v>
      </c>
      <c r="M375" s="63">
        <f>L375*VLOOKUP(H375,dagsoorttabel1,2,FALSE)</f>
        <v>2.2509803921568627</v>
      </c>
      <c r="N375" s="64">
        <f>prodnorm44</f>
        <v>0</v>
      </c>
      <c r="O375" s="65">
        <f>dagwerk44</f>
        <v>0</v>
      </c>
      <c r="P375" s="61" t="s">
        <v>41</v>
      </c>
      <c r="Q375" s="66">
        <f>uurtarief44</f>
        <v>0</v>
      </c>
      <c r="R375" s="63" t="e">
        <f>IF(ISBLANK(N375),0,M375/ROUND(N375,4))</f>
        <v>#DIV/0!</v>
      </c>
      <c r="S375" s="63" t="e">
        <f>IF(ISBLANK(N375),0,R375*ROUND(O375,2))</f>
        <v>#DIV/0!</v>
      </c>
      <c r="T375" s="66" t="e">
        <f>ROUND(Q375,2)*R375</f>
        <v>#DIV/0!</v>
      </c>
      <c r="U375" s="63" t="e">
        <f>R375*dagenperjaar1</f>
        <v>#DIV/0!</v>
      </c>
      <c r="V375" s="67" t="e">
        <f>U375*ROUND(Q375,2)</f>
        <v>#DIV/0!</v>
      </c>
    </row>
    <row r="376" spans="1:22" x14ac:dyDescent="0.2">
      <c r="A376" s="60" t="s">
        <v>582</v>
      </c>
      <c r="B376" s="61" t="s">
        <v>291</v>
      </c>
      <c r="C376" s="61" t="s">
        <v>550</v>
      </c>
      <c r="D376" s="61" t="s">
        <v>738</v>
      </c>
      <c r="E376" s="62" t="s">
        <v>737</v>
      </c>
      <c r="F376" s="61" t="s">
        <v>301</v>
      </c>
      <c r="G376" s="61" t="s">
        <v>254</v>
      </c>
      <c r="H376" s="61" t="s">
        <v>12</v>
      </c>
      <c r="I376" s="61" t="s">
        <v>200</v>
      </c>
      <c r="J376" s="61" t="s">
        <v>471</v>
      </c>
      <c r="K376" s="61" t="s">
        <v>291</v>
      </c>
      <c r="L376" s="63">
        <v>2.8</v>
      </c>
      <c r="M376" s="63">
        <f>L376*VLOOKUP(H376,dagsoorttabel1,2,FALSE)</f>
        <v>2.2509803921568627</v>
      </c>
      <c r="N376" s="64">
        <f>prodnorm44</f>
        <v>0</v>
      </c>
      <c r="O376" s="65">
        <f>dagwerk44</f>
        <v>0</v>
      </c>
      <c r="P376" s="61" t="s">
        <v>41</v>
      </c>
      <c r="Q376" s="66">
        <f>uurtarief44</f>
        <v>0</v>
      </c>
      <c r="R376" s="63" t="e">
        <f>IF(ISBLANK(N376),0,M376/ROUND(N376,4))</f>
        <v>#DIV/0!</v>
      </c>
      <c r="S376" s="63" t="e">
        <f>IF(ISBLANK(N376),0,R376*ROUND(O376,2))</f>
        <v>#DIV/0!</v>
      </c>
      <c r="T376" s="66" t="e">
        <f>ROUND(Q376,2)*R376</f>
        <v>#DIV/0!</v>
      </c>
      <c r="U376" s="63" t="e">
        <f>R376*dagenperjaar1</f>
        <v>#DIV/0!</v>
      </c>
      <c r="V376" s="67" t="e">
        <f>U376*ROUND(Q376,2)</f>
        <v>#DIV/0!</v>
      </c>
    </row>
    <row r="377" spans="1:22" x14ac:dyDescent="0.2">
      <c r="A377" s="68" t="s">
        <v>582</v>
      </c>
      <c r="B377" s="69" t="s">
        <v>291</v>
      </c>
      <c r="C377" s="69" t="s">
        <v>550</v>
      </c>
      <c r="D377" s="69" t="s">
        <v>739</v>
      </c>
      <c r="E377" s="70" t="s">
        <v>481</v>
      </c>
      <c r="F377" s="69" t="s">
        <v>532</v>
      </c>
      <c r="G377" s="69" t="s">
        <v>268</v>
      </c>
      <c r="H377" s="69" t="s">
        <v>12</v>
      </c>
      <c r="I377" s="69" t="s">
        <v>200</v>
      </c>
      <c r="J377" s="69" t="s">
        <v>471</v>
      </c>
      <c r="K377" s="69" t="s">
        <v>291</v>
      </c>
      <c r="L377" s="71">
        <v>3</v>
      </c>
      <c r="M377" s="71">
        <f>L377*VLOOKUP(H377,dagsoorttabel1,2,FALSE)</f>
        <v>2.4117647058823533</v>
      </c>
      <c r="N377" s="72">
        <f>prodnorm54</f>
        <v>0</v>
      </c>
      <c r="O377" s="73">
        <f>dagwerk54</f>
        <v>0</v>
      </c>
      <c r="P377" s="69" t="s">
        <v>41</v>
      </c>
      <c r="Q377" s="74">
        <f>uurtarief54</f>
        <v>0</v>
      </c>
      <c r="R377" s="71" t="e">
        <f>IF(ISBLANK(N377),0,M377/ROUND(N377,4))</f>
        <v>#DIV/0!</v>
      </c>
      <c r="S377" s="71" t="e">
        <f>IF(ISBLANK(N377),0,R377*ROUND(O377,2))</f>
        <v>#DIV/0!</v>
      </c>
      <c r="T377" s="74" t="e">
        <f>ROUND(Q377,2)*R377</f>
        <v>#DIV/0!</v>
      </c>
      <c r="U377" s="71" t="e">
        <f>R377*dagenperjaar1</f>
        <v>#DIV/0!</v>
      </c>
      <c r="V377" s="75" t="e">
        <f>U377*ROUND(Q377,2)</f>
        <v>#DIV/0!</v>
      </c>
    </row>
    <row r="378" spans="1:22" x14ac:dyDescent="0.2">
      <c r="A378" s="42" t="s">
        <v>466</v>
      </c>
      <c r="B378" s="43"/>
      <c r="C378" s="43"/>
      <c r="D378" s="43"/>
      <c r="E378" s="43"/>
      <c r="F378" s="43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5" t="e">
        <f>IF(_xlfn.SINGLE(object3_urenjaar1)&gt;0,_xlfn.SINGLE(object3_prijsjaar1)/_xlfn.SINGLE(object3_urenjaar1),0)</f>
        <v>#DIV/0!</v>
      </c>
      <c r="R378" s="44" t="e">
        <f>SUM(R211:R377)</f>
        <v>#DIV/0!</v>
      </c>
      <c r="S378" s="44" t="e">
        <f>SUM(S211:S377)</f>
        <v>#DIV/0!</v>
      </c>
      <c r="T378" s="45" t="e">
        <f>SUM(T211:T377)</f>
        <v>#DIV/0!</v>
      </c>
      <c r="U378" s="44" t="e">
        <f>SUM(U211:U377)</f>
        <v>#DIV/0!</v>
      </c>
      <c r="V378" s="45" t="e">
        <f>SUM(V211:V377)</f>
        <v>#DIV/0!</v>
      </c>
    </row>
  </sheetData>
  <autoFilter ref="A3:V378" xr:uid="{57A6EBB3-DE25-4026-B511-E51C6CEF250F}"/>
  <pageMargins left="0.7" right="0.7" top="0.75" bottom="0.75" header="0.3" footer="0.3"/>
  <pageSetup paperSize="9" scale="61" orientation="landscape" horizontalDpi="150" verticalDpi="0" r:id="rId1"/>
  <headerFooter>
    <oddFooter>&amp;LOns Middelbaar Onderwijs optimalisatie                      
CONCEPT PER 01-03-2021&amp;ROpmaakdatum: 18-03-2021
Intexso - De Start 5 - Leusden
+31 (33) 2778485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9EA0D-3D3A-4C5E-AE52-60F32067A9C2}">
  <dimension ref="A1:L60"/>
  <sheetViews>
    <sheetView workbookViewId="0"/>
  </sheetViews>
  <sheetFormatPr defaultRowHeight="12.6" x14ac:dyDescent="0.2"/>
  <cols>
    <col min="1" max="1" width="5.6328125" customWidth="1"/>
    <col min="2" max="2" width="6.1796875" customWidth="1"/>
    <col min="3" max="3" width="11.6328125" customWidth="1"/>
    <col min="4" max="12" width="12.6328125" customWidth="1"/>
  </cols>
  <sheetData>
    <row r="1" spans="1:12" x14ac:dyDescent="0.2">
      <c r="A1" s="1" t="s">
        <v>740</v>
      </c>
    </row>
    <row r="3" spans="1:12" x14ac:dyDescent="0.2">
      <c r="A3" s="77" t="s">
        <v>191</v>
      </c>
      <c r="B3" s="77" t="s">
        <v>7</v>
      </c>
      <c r="C3" s="77" t="s">
        <v>741</v>
      </c>
      <c r="D3" s="77" t="s">
        <v>742</v>
      </c>
      <c r="E3" s="77" t="s">
        <v>743</v>
      </c>
      <c r="F3" s="77" t="s">
        <v>744</v>
      </c>
      <c r="G3" s="77" t="s">
        <v>745</v>
      </c>
      <c r="H3" s="77" t="s">
        <v>34</v>
      </c>
      <c r="I3" s="77" t="s">
        <v>746</v>
      </c>
      <c r="J3" s="77" t="s">
        <v>747</v>
      </c>
      <c r="K3" s="77" t="s">
        <v>748</v>
      </c>
      <c r="L3" s="77" t="s">
        <v>749</v>
      </c>
    </row>
    <row r="4" spans="1:12" x14ac:dyDescent="0.2">
      <c r="A4" s="78"/>
      <c r="B4" s="78"/>
      <c r="C4" s="78"/>
      <c r="D4" s="78"/>
      <c r="E4" s="78"/>
      <c r="F4" s="78"/>
      <c r="G4" s="78"/>
      <c r="H4" s="78"/>
      <c r="I4" s="78"/>
      <c r="J4" s="79" t="s">
        <v>193</v>
      </c>
      <c r="K4" s="79" t="s">
        <v>193</v>
      </c>
      <c r="L4" s="79" t="s">
        <v>193</v>
      </c>
    </row>
    <row r="5" spans="1:12" x14ac:dyDescent="0.2">
      <c r="A5" s="15" t="s">
        <v>199</v>
      </c>
      <c r="B5" s="15" t="s">
        <v>12</v>
      </c>
      <c r="C5" s="15" t="s">
        <v>750</v>
      </c>
      <c r="D5" s="15" t="s">
        <v>200</v>
      </c>
      <c r="E5" s="30">
        <f>VLOOKUP(B5,dagsoorttabel1,2,FALSE)</f>
        <v>0.80392156862745101</v>
      </c>
      <c r="F5" s="30">
        <v>1</v>
      </c>
      <c r="G5" s="30">
        <f>IF(prodnorm3&gt;0,1/ROUND(prodnorm3,4),0)</f>
        <v>0</v>
      </c>
      <c r="H5" s="32">
        <f>ROUND(dagwerk3,4+2)</f>
        <v>0</v>
      </c>
      <c r="I5" s="33">
        <f>ROUND(uurtarief3,2)</f>
        <v>0</v>
      </c>
      <c r="J5" s="30">
        <v>134</v>
      </c>
      <c r="K5" s="30">
        <v>73.7</v>
      </c>
      <c r="L5" s="30">
        <v>38.9</v>
      </c>
    </row>
    <row r="6" spans="1:12" x14ac:dyDescent="0.2">
      <c r="A6" s="20" t="s">
        <v>199</v>
      </c>
      <c r="B6" s="20" t="s">
        <v>11</v>
      </c>
      <c r="C6" s="20" t="s">
        <v>750</v>
      </c>
      <c r="D6" s="20" t="s">
        <v>200</v>
      </c>
      <c r="E6" s="34">
        <f>VLOOKUP(B6,dagsoorttabel1,2,FALSE)</f>
        <v>0.82352941176470584</v>
      </c>
      <c r="F6" s="34">
        <v>1</v>
      </c>
      <c r="G6" s="34">
        <f>IF(prodnorm4&gt;0,1/ROUND(prodnorm4,4),0)</f>
        <v>0</v>
      </c>
      <c r="H6" s="36">
        <f>ROUND(dagwerk4,4+2)</f>
        <v>0</v>
      </c>
      <c r="I6" s="37">
        <f>ROUND(uurtarief4,2)</f>
        <v>0</v>
      </c>
      <c r="J6" s="34">
        <v>30</v>
      </c>
      <c r="K6" s="34">
        <v>0</v>
      </c>
      <c r="L6" s="34">
        <v>0</v>
      </c>
    </row>
    <row r="7" spans="1:12" x14ac:dyDescent="0.2">
      <c r="A7" s="20" t="s">
        <v>202</v>
      </c>
      <c r="B7" s="20" t="s">
        <v>12</v>
      </c>
      <c r="C7" s="20" t="s">
        <v>750</v>
      </c>
      <c r="D7" s="20" t="s">
        <v>200</v>
      </c>
      <c r="E7" s="34">
        <f>VLOOKUP(B7,dagsoorttabel1,2,FALSE)</f>
        <v>0.80392156862745101</v>
      </c>
      <c r="F7" s="34">
        <v>1</v>
      </c>
      <c r="G7" s="34">
        <f>IF(prodnorm5&gt;0,1/ROUND(prodnorm5,4),0)</f>
        <v>0</v>
      </c>
      <c r="H7" s="36">
        <f>ROUND(dagwerk5,4+2)</f>
        <v>0</v>
      </c>
      <c r="I7" s="37">
        <f>ROUND(uurtarief5,2)</f>
        <v>0</v>
      </c>
      <c r="J7" s="34">
        <v>113</v>
      </c>
      <c r="K7" s="34">
        <v>81.45</v>
      </c>
      <c r="L7" s="34">
        <v>276.58000000000004</v>
      </c>
    </row>
    <row r="8" spans="1:12" x14ac:dyDescent="0.2">
      <c r="A8" s="20" t="s">
        <v>202</v>
      </c>
      <c r="B8" s="20" t="s">
        <v>11</v>
      </c>
      <c r="C8" s="20" t="s">
        <v>750</v>
      </c>
      <c r="D8" s="20" t="s">
        <v>200</v>
      </c>
      <c r="E8" s="34">
        <f>VLOOKUP(B8,dagsoorttabel1,2,FALSE)</f>
        <v>0.82352941176470584</v>
      </c>
      <c r="F8" s="34">
        <v>1</v>
      </c>
      <c r="G8" s="34">
        <f>IF(prodnorm6&gt;0,1/ROUND(prodnorm6,4),0)</f>
        <v>0</v>
      </c>
      <c r="H8" s="36">
        <f>ROUND(dagwerk6,4+2)</f>
        <v>0</v>
      </c>
      <c r="I8" s="37">
        <f>ROUND(uurtarief6,2)</f>
        <v>0</v>
      </c>
      <c r="J8" s="34">
        <v>66</v>
      </c>
      <c r="K8" s="34">
        <v>0</v>
      </c>
      <c r="L8" s="34">
        <v>0</v>
      </c>
    </row>
    <row r="9" spans="1:12" x14ac:dyDescent="0.2">
      <c r="A9" s="20" t="s">
        <v>204</v>
      </c>
      <c r="B9" s="20" t="s">
        <v>12</v>
      </c>
      <c r="C9" s="20" t="s">
        <v>750</v>
      </c>
      <c r="D9" s="20" t="s">
        <v>200</v>
      </c>
      <c r="E9" s="34">
        <f>VLOOKUP(B9,dagsoorttabel1,2,FALSE)</f>
        <v>0.80392156862745101</v>
      </c>
      <c r="F9" s="34">
        <v>1</v>
      </c>
      <c r="G9" s="34">
        <f>IF(prodnorm7&gt;0,1/ROUND(prodnorm7,4),0)</f>
        <v>0</v>
      </c>
      <c r="H9" s="36">
        <f>ROUND(dagwerk7,4+2)</f>
        <v>0</v>
      </c>
      <c r="I9" s="37">
        <f>ROUND(uurtarief7,2)</f>
        <v>0</v>
      </c>
      <c r="J9" s="34">
        <v>589</v>
      </c>
      <c r="K9" s="34">
        <v>0</v>
      </c>
      <c r="L9" s="34">
        <v>0</v>
      </c>
    </row>
    <row r="10" spans="1:12" x14ac:dyDescent="0.2">
      <c r="A10" s="20" t="s">
        <v>204</v>
      </c>
      <c r="B10" s="20" t="s">
        <v>19</v>
      </c>
      <c r="C10" s="20" t="s">
        <v>750</v>
      </c>
      <c r="D10" s="20" t="s">
        <v>200</v>
      </c>
      <c r="E10" s="34">
        <f>VLOOKUP(B10,dagsoorttabel1,2,FALSE)</f>
        <v>0.16078431372549021</v>
      </c>
      <c r="F10" s="34">
        <v>1</v>
      </c>
      <c r="G10" s="34">
        <f>IF(prodnorm8&gt;0,1/ROUND(prodnorm8,4),0)</f>
        <v>0</v>
      </c>
      <c r="H10" s="36">
        <f>ROUND(dagwerk8,4+2)</f>
        <v>0</v>
      </c>
      <c r="I10" s="37">
        <f>ROUND(uurtarief8,2)</f>
        <v>0</v>
      </c>
      <c r="J10" s="34">
        <v>0</v>
      </c>
      <c r="K10" s="34">
        <v>0</v>
      </c>
      <c r="L10" s="34">
        <v>140</v>
      </c>
    </row>
    <row r="11" spans="1:12" x14ac:dyDescent="0.2">
      <c r="A11" s="20" t="s">
        <v>204</v>
      </c>
      <c r="B11" s="20" t="s">
        <v>18</v>
      </c>
      <c r="C11" s="20" t="s">
        <v>750</v>
      </c>
      <c r="D11" s="20" t="s">
        <v>200</v>
      </c>
      <c r="E11" s="34">
        <f>VLOOKUP(B11,dagsoorttabel1,2,FALSE)</f>
        <v>0.17647058823529413</v>
      </c>
      <c r="F11" s="34">
        <v>1</v>
      </c>
      <c r="G11" s="34">
        <f>IF(prodnorm9&gt;0,1/ROUND(prodnorm9,4),0)</f>
        <v>0</v>
      </c>
      <c r="H11" s="36">
        <f>ROUND(dagwerk9,4+2)</f>
        <v>0</v>
      </c>
      <c r="I11" s="37">
        <f>ROUND(uurtarief9,2)</f>
        <v>0</v>
      </c>
      <c r="J11" s="34">
        <v>0</v>
      </c>
      <c r="K11" s="34">
        <v>0</v>
      </c>
      <c r="L11" s="34">
        <v>1207</v>
      </c>
    </row>
    <row r="12" spans="1:12" x14ac:dyDescent="0.2">
      <c r="A12" s="20" t="s">
        <v>206</v>
      </c>
      <c r="B12" s="20" t="s">
        <v>12</v>
      </c>
      <c r="C12" s="20" t="s">
        <v>750</v>
      </c>
      <c r="D12" s="20" t="s">
        <v>200</v>
      </c>
      <c r="E12" s="34">
        <f>VLOOKUP(B12,dagsoorttabel1,2,FALSE)</f>
        <v>0.80392156862745101</v>
      </c>
      <c r="F12" s="34">
        <v>1</v>
      </c>
      <c r="G12" s="34">
        <f>IF(prodnorm10&gt;0,1/ROUND(prodnorm10,4),0)</f>
        <v>0</v>
      </c>
      <c r="H12" s="36">
        <f>ROUND(dagwerk10,4+2)</f>
        <v>0</v>
      </c>
      <c r="I12" s="37">
        <f>ROUND(uurtarief10,2)</f>
        <v>0</v>
      </c>
      <c r="J12" s="34">
        <v>51</v>
      </c>
      <c r="K12" s="34">
        <v>0</v>
      </c>
      <c r="L12" s="34">
        <v>0</v>
      </c>
    </row>
    <row r="13" spans="1:12" x14ac:dyDescent="0.2">
      <c r="A13" s="20" t="s">
        <v>208</v>
      </c>
      <c r="B13" s="20" t="s">
        <v>12</v>
      </c>
      <c r="C13" s="20" t="s">
        <v>750</v>
      </c>
      <c r="D13" s="20" t="s">
        <v>200</v>
      </c>
      <c r="E13" s="34">
        <f>VLOOKUP(B13,dagsoorttabel1,2,FALSE)</f>
        <v>0.80392156862745101</v>
      </c>
      <c r="F13" s="34">
        <v>1</v>
      </c>
      <c r="G13" s="34">
        <f>IF(prodnorm11&gt;0,1/ROUND(prodnorm11,4),0)</f>
        <v>0</v>
      </c>
      <c r="H13" s="36">
        <f>ROUND(dagwerk11,4+2)</f>
        <v>0</v>
      </c>
      <c r="I13" s="37">
        <f>ROUND(uurtarief11,2)</f>
        <v>0</v>
      </c>
      <c r="J13" s="34">
        <v>698</v>
      </c>
      <c r="K13" s="34">
        <v>0</v>
      </c>
      <c r="L13" s="34">
        <v>641</v>
      </c>
    </row>
    <row r="14" spans="1:12" x14ac:dyDescent="0.2">
      <c r="A14" s="20" t="s">
        <v>208</v>
      </c>
      <c r="B14" s="20" t="s">
        <v>11</v>
      </c>
      <c r="C14" s="20" t="s">
        <v>750</v>
      </c>
      <c r="D14" s="20" t="s">
        <v>200</v>
      </c>
      <c r="E14" s="34">
        <f>VLOOKUP(B14,dagsoorttabel1,2,FALSE)</f>
        <v>0.82352941176470584</v>
      </c>
      <c r="F14" s="34">
        <v>1</v>
      </c>
      <c r="G14" s="34">
        <f>IF(prodnorm12&gt;0,1/ROUND(prodnorm12,4),0)</f>
        <v>0</v>
      </c>
      <c r="H14" s="36">
        <f>ROUND(dagwerk12,4+2)</f>
        <v>0</v>
      </c>
      <c r="I14" s="37">
        <f>ROUND(uurtarief12,2)</f>
        <v>0</v>
      </c>
      <c r="J14" s="34">
        <v>130</v>
      </c>
      <c r="K14" s="34">
        <v>0</v>
      </c>
      <c r="L14" s="34">
        <v>0</v>
      </c>
    </row>
    <row r="15" spans="1:12" x14ac:dyDescent="0.2">
      <c r="A15" s="20" t="s">
        <v>210</v>
      </c>
      <c r="B15" s="20" t="s">
        <v>12</v>
      </c>
      <c r="C15" s="20" t="s">
        <v>750</v>
      </c>
      <c r="D15" s="20" t="s">
        <v>200</v>
      </c>
      <c r="E15" s="34">
        <f>VLOOKUP(B15,dagsoorttabel1,2,FALSE)</f>
        <v>0.80392156862745101</v>
      </c>
      <c r="F15" s="34">
        <v>1</v>
      </c>
      <c r="G15" s="34">
        <f>IF(prodnorm13&gt;0,1/ROUND(prodnorm13,4),0)</f>
        <v>0</v>
      </c>
      <c r="H15" s="36">
        <f>ROUND(dagwerk13,4+2)</f>
        <v>0</v>
      </c>
      <c r="I15" s="37">
        <f>ROUND(uurtarief13,2)</f>
        <v>0</v>
      </c>
      <c r="J15" s="34">
        <v>71</v>
      </c>
      <c r="K15" s="34">
        <v>0</v>
      </c>
      <c r="L15" s="34">
        <v>60.7</v>
      </c>
    </row>
    <row r="16" spans="1:12" x14ac:dyDescent="0.2">
      <c r="A16" s="20" t="s">
        <v>212</v>
      </c>
      <c r="B16" s="20" t="s">
        <v>12</v>
      </c>
      <c r="C16" s="20" t="s">
        <v>750</v>
      </c>
      <c r="D16" s="20" t="s">
        <v>200</v>
      </c>
      <c r="E16" s="34">
        <f>VLOOKUP(B16,dagsoorttabel1,2,FALSE)</f>
        <v>0.80392156862745101</v>
      </c>
      <c r="F16" s="34">
        <v>1</v>
      </c>
      <c r="G16" s="34">
        <f>IF(prodnorm14&gt;0,1/ROUND(prodnorm14,4),0)</f>
        <v>0</v>
      </c>
      <c r="H16" s="36">
        <f>ROUND(dagwerk14,4+2)</f>
        <v>0</v>
      </c>
      <c r="I16" s="37">
        <f>ROUND(uurtarief14,2)</f>
        <v>0</v>
      </c>
      <c r="J16" s="34">
        <v>0</v>
      </c>
      <c r="K16" s="34">
        <v>72.75</v>
      </c>
      <c r="L16" s="34">
        <v>100</v>
      </c>
    </row>
    <row r="17" spans="1:12" x14ac:dyDescent="0.2">
      <c r="A17" s="20" t="s">
        <v>212</v>
      </c>
      <c r="B17" s="20" t="s">
        <v>11</v>
      </c>
      <c r="C17" s="20" t="s">
        <v>750</v>
      </c>
      <c r="D17" s="20" t="s">
        <v>200</v>
      </c>
      <c r="E17" s="34">
        <f>VLOOKUP(B17,dagsoorttabel1,2,FALSE)</f>
        <v>0.82352941176470584</v>
      </c>
      <c r="F17" s="34">
        <v>1</v>
      </c>
      <c r="G17" s="34">
        <f>IF(prodnorm15&gt;0,1/ROUND(prodnorm15,4),0)</f>
        <v>0</v>
      </c>
      <c r="H17" s="36">
        <f>ROUND(dagwerk15,4+2)</f>
        <v>0</v>
      </c>
      <c r="I17" s="37">
        <f>ROUND(uurtarief15,2)</f>
        <v>0</v>
      </c>
      <c r="J17" s="34">
        <v>130</v>
      </c>
      <c r="K17" s="34">
        <v>0</v>
      </c>
      <c r="L17" s="34">
        <v>0</v>
      </c>
    </row>
    <row r="18" spans="1:12" x14ac:dyDescent="0.2">
      <c r="A18" s="20" t="s">
        <v>214</v>
      </c>
      <c r="B18" s="20" t="s">
        <v>12</v>
      </c>
      <c r="C18" s="20" t="s">
        <v>750</v>
      </c>
      <c r="D18" s="20" t="s">
        <v>200</v>
      </c>
      <c r="E18" s="34">
        <f>VLOOKUP(B18,dagsoorttabel1,2,FALSE)</f>
        <v>0.80392156862745101</v>
      </c>
      <c r="F18" s="34">
        <v>1</v>
      </c>
      <c r="G18" s="34">
        <f>IF(prodnorm16&gt;0,1/ROUND(prodnorm16,4),0)</f>
        <v>0</v>
      </c>
      <c r="H18" s="36">
        <f>ROUND(dagwerk16,4+2)</f>
        <v>0</v>
      </c>
      <c r="I18" s="37">
        <f>ROUND(uurtarief16,2)</f>
        <v>0</v>
      </c>
      <c r="J18" s="34">
        <v>36</v>
      </c>
      <c r="K18" s="34">
        <v>0</v>
      </c>
      <c r="L18" s="34">
        <v>13.8</v>
      </c>
    </row>
    <row r="19" spans="1:12" x14ac:dyDescent="0.2">
      <c r="A19" s="20" t="s">
        <v>216</v>
      </c>
      <c r="B19" s="20" t="s">
        <v>12</v>
      </c>
      <c r="C19" s="20" t="s">
        <v>750</v>
      </c>
      <c r="D19" s="20" t="s">
        <v>200</v>
      </c>
      <c r="E19" s="34">
        <f>VLOOKUP(B19,dagsoorttabel1,2,FALSE)</f>
        <v>0.80392156862745101</v>
      </c>
      <c r="F19" s="34">
        <v>1</v>
      </c>
      <c r="G19" s="34">
        <f>IF(prodnorm17&gt;0,1/ROUND(prodnorm17,4),0)</f>
        <v>0</v>
      </c>
      <c r="H19" s="36">
        <f>ROUND(dagwerk17,4+2)</f>
        <v>0</v>
      </c>
      <c r="I19" s="37">
        <f>ROUND(uurtarief17,2)</f>
        <v>0</v>
      </c>
      <c r="J19" s="34">
        <v>0</v>
      </c>
      <c r="K19" s="34">
        <v>17.399999999999999</v>
      </c>
      <c r="L19" s="34">
        <v>0</v>
      </c>
    </row>
    <row r="20" spans="1:12" x14ac:dyDescent="0.2">
      <c r="A20" s="20" t="s">
        <v>216</v>
      </c>
      <c r="B20" s="20" t="s">
        <v>11</v>
      </c>
      <c r="C20" s="20" t="s">
        <v>750</v>
      </c>
      <c r="D20" s="20" t="s">
        <v>200</v>
      </c>
      <c r="E20" s="34">
        <f>VLOOKUP(B20,dagsoorttabel1,2,FALSE)</f>
        <v>0.82352941176470584</v>
      </c>
      <c r="F20" s="34">
        <v>1</v>
      </c>
      <c r="G20" s="34">
        <f>IF(prodnorm18&gt;0,1/ROUND(prodnorm18,4),0)</f>
        <v>0</v>
      </c>
      <c r="H20" s="36">
        <f>ROUND(dagwerk18,4+2)</f>
        <v>0</v>
      </c>
      <c r="I20" s="37">
        <f>ROUND(uurtarief18,2)</f>
        <v>0</v>
      </c>
      <c r="J20" s="34">
        <v>18</v>
      </c>
      <c r="K20" s="34">
        <v>0</v>
      </c>
      <c r="L20" s="34">
        <v>0</v>
      </c>
    </row>
    <row r="21" spans="1:12" x14ac:dyDescent="0.2">
      <c r="A21" s="20" t="s">
        <v>218</v>
      </c>
      <c r="B21" s="20" t="s">
        <v>12</v>
      </c>
      <c r="C21" s="20" t="s">
        <v>750</v>
      </c>
      <c r="D21" s="20" t="s">
        <v>200</v>
      </c>
      <c r="E21" s="34">
        <f>VLOOKUP(B21,dagsoorttabel1,2,FALSE)</f>
        <v>0.80392156862745101</v>
      </c>
      <c r="F21" s="34">
        <v>1</v>
      </c>
      <c r="G21" s="34">
        <f>IF(prodnorm19&gt;0,1/ROUND(prodnorm19,4),0)</f>
        <v>0</v>
      </c>
      <c r="H21" s="36">
        <f>ROUND(dagwerk19,4+2)</f>
        <v>0</v>
      </c>
      <c r="I21" s="37">
        <f>ROUND(uurtarief19,2)</f>
        <v>0</v>
      </c>
      <c r="J21" s="34">
        <v>1371</v>
      </c>
      <c r="K21" s="34">
        <v>563.1</v>
      </c>
      <c r="L21" s="34">
        <v>1263.6999999999998</v>
      </c>
    </row>
    <row r="22" spans="1:12" x14ac:dyDescent="0.2">
      <c r="A22" s="20" t="s">
        <v>218</v>
      </c>
      <c r="B22" s="20" t="s">
        <v>19</v>
      </c>
      <c r="C22" s="20" t="s">
        <v>750</v>
      </c>
      <c r="D22" s="20" t="s">
        <v>200</v>
      </c>
      <c r="E22" s="34">
        <f>VLOOKUP(B22,dagsoorttabel1,2,FALSE)</f>
        <v>0.16078431372549021</v>
      </c>
      <c r="F22" s="34">
        <v>1</v>
      </c>
      <c r="G22" s="34">
        <f>IF(prodnorm20&gt;0,1/ROUND(prodnorm20,4),0)</f>
        <v>0</v>
      </c>
      <c r="H22" s="36">
        <f>ROUND(dagwerk20,4+2)</f>
        <v>0</v>
      </c>
      <c r="I22" s="37">
        <f>ROUND(uurtarief20,2)</f>
        <v>0</v>
      </c>
      <c r="J22" s="34">
        <v>53</v>
      </c>
      <c r="K22" s="34">
        <v>0</v>
      </c>
      <c r="L22" s="34">
        <v>0</v>
      </c>
    </row>
    <row r="23" spans="1:12" x14ac:dyDescent="0.2">
      <c r="A23" s="20" t="s">
        <v>220</v>
      </c>
      <c r="B23" s="20" t="s">
        <v>12</v>
      </c>
      <c r="C23" s="20" t="s">
        <v>750</v>
      </c>
      <c r="D23" s="20" t="s">
        <v>200</v>
      </c>
      <c r="E23" s="34">
        <f>VLOOKUP(B23,dagsoorttabel1,2,FALSE)</f>
        <v>0.80392156862745101</v>
      </c>
      <c r="F23" s="34">
        <v>1</v>
      </c>
      <c r="G23" s="34">
        <f>IF(prodnorm21&gt;0,1/ROUND(prodnorm21,4),0)</f>
        <v>0</v>
      </c>
      <c r="H23" s="36">
        <f>ROUND(dagwerk21,4+2)</f>
        <v>0</v>
      </c>
      <c r="I23" s="37">
        <f>ROUND(uurtarief21,2)</f>
        <v>0</v>
      </c>
      <c r="J23" s="34">
        <v>0</v>
      </c>
      <c r="K23" s="34">
        <v>0</v>
      </c>
      <c r="L23" s="34">
        <v>50.6</v>
      </c>
    </row>
    <row r="24" spans="1:12" x14ac:dyDescent="0.2">
      <c r="A24" s="20" t="s">
        <v>220</v>
      </c>
      <c r="B24" s="20" t="s">
        <v>11</v>
      </c>
      <c r="C24" s="20" t="s">
        <v>750</v>
      </c>
      <c r="D24" s="20" t="s">
        <v>200</v>
      </c>
      <c r="E24" s="34">
        <f>VLOOKUP(B24,dagsoorttabel1,2,FALSE)</f>
        <v>0.82352941176470584</v>
      </c>
      <c r="F24" s="34">
        <v>1</v>
      </c>
      <c r="G24" s="34">
        <f>IF(prodnorm22&gt;0,1/ROUND(prodnorm22,4),0)</f>
        <v>0</v>
      </c>
      <c r="H24" s="36">
        <f>ROUND(dagwerk22,4+2)</f>
        <v>0</v>
      </c>
      <c r="I24" s="37">
        <f>ROUND(uurtarief22,2)</f>
        <v>0</v>
      </c>
      <c r="J24" s="34">
        <v>56</v>
      </c>
      <c r="K24" s="34">
        <v>0</v>
      </c>
      <c r="L24" s="34">
        <v>0</v>
      </c>
    </row>
    <row r="25" spans="1:12" x14ac:dyDescent="0.2">
      <c r="A25" s="20" t="s">
        <v>222</v>
      </c>
      <c r="B25" s="20" t="s">
        <v>12</v>
      </c>
      <c r="C25" s="20" t="s">
        <v>750</v>
      </c>
      <c r="D25" s="20" t="s">
        <v>200</v>
      </c>
      <c r="E25" s="34">
        <f>VLOOKUP(B25,dagsoorttabel1,2,FALSE)</f>
        <v>0.80392156862745101</v>
      </c>
      <c r="F25" s="34">
        <v>1</v>
      </c>
      <c r="G25" s="34">
        <f>IF(prodnorm23&gt;0,1/ROUND(prodnorm23,4),0)</f>
        <v>0</v>
      </c>
      <c r="H25" s="36">
        <f>ROUND(dagwerk23,4+2)</f>
        <v>0</v>
      </c>
      <c r="I25" s="37">
        <f>ROUND(uurtarief23,2)</f>
        <v>0</v>
      </c>
      <c r="J25" s="34">
        <v>1080</v>
      </c>
      <c r="K25" s="34">
        <v>854</v>
      </c>
      <c r="L25" s="34">
        <v>46.7</v>
      </c>
    </row>
    <row r="26" spans="1:12" x14ac:dyDescent="0.2">
      <c r="A26" s="20" t="s">
        <v>224</v>
      </c>
      <c r="B26" s="20" t="s">
        <v>12</v>
      </c>
      <c r="C26" s="20" t="s">
        <v>750</v>
      </c>
      <c r="D26" s="20" t="s">
        <v>200</v>
      </c>
      <c r="E26" s="34">
        <f>VLOOKUP(B26,dagsoorttabel1,2,FALSE)</f>
        <v>0.80392156862745101</v>
      </c>
      <c r="F26" s="34">
        <v>1</v>
      </c>
      <c r="G26" s="34">
        <f>IF(prodnorm24&gt;0,1/ROUND(prodnorm24,4),0)</f>
        <v>0</v>
      </c>
      <c r="H26" s="36">
        <f>ROUND(dagwerk24,4+2)</f>
        <v>0</v>
      </c>
      <c r="I26" s="37">
        <f>ROUND(uurtarief24,2)</f>
        <v>0</v>
      </c>
      <c r="J26" s="34">
        <v>0</v>
      </c>
      <c r="K26" s="34">
        <v>0</v>
      </c>
      <c r="L26" s="34">
        <v>60</v>
      </c>
    </row>
    <row r="27" spans="1:12" x14ac:dyDescent="0.2">
      <c r="A27" s="20" t="s">
        <v>226</v>
      </c>
      <c r="B27" s="20" t="s">
        <v>12</v>
      </c>
      <c r="C27" s="20" t="s">
        <v>750</v>
      </c>
      <c r="D27" s="20" t="s">
        <v>200</v>
      </c>
      <c r="E27" s="34">
        <f>VLOOKUP(B27,dagsoorttabel1,2,FALSE)</f>
        <v>0.80392156862745101</v>
      </c>
      <c r="F27" s="34">
        <v>1</v>
      </c>
      <c r="G27" s="34">
        <f>IF(prodnorm25&gt;0,1/ROUND(prodnorm25,4),0)</f>
        <v>0</v>
      </c>
      <c r="H27" s="36">
        <f>ROUND(dagwerk25,4+2)</f>
        <v>0</v>
      </c>
      <c r="I27" s="37">
        <f>ROUND(uurtarief25,2)</f>
        <v>0</v>
      </c>
      <c r="J27" s="34">
        <v>0</v>
      </c>
      <c r="K27" s="34">
        <v>0</v>
      </c>
      <c r="L27" s="34">
        <v>62.9</v>
      </c>
    </row>
    <row r="28" spans="1:12" x14ac:dyDescent="0.2">
      <c r="A28" s="20" t="s">
        <v>228</v>
      </c>
      <c r="B28" s="20" t="s">
        <v>12</v>
      </c>
      <c r="C28" s="20" t="s">
        <v>750</v>
      </c>
      <c r="D28" s="20" t="s">
        <v>200</v>
      </c>
      <c r="E28" s="34">
        <f>VLOOKUP(B28,dagsoorttabel1,2,FALSE)</f>
        <v>0.80392156862745101</v>
      </c>
      <c r="F28" s="34">
        <v>1</v>
      </c>
      <c r="G28" s="34">
        <f>IF(prodnorm26&gt;0,1/ROUND(prodnorm26,4),0)</f>
        <v>0</v>
      </c>
      <c r="H28" s="36">
        <f>ROUND(dagwerk26,4+2)</f>
        <v>0</v>
      </c>
      <c r="I28" s="37">
        <f>ROUND(uurtarief26,2)</f>
        <v>0</v>
      </c>
      <c r="J28" s="34">
        <v>0</v>
      </c>
      <c r="K28" s="34">
        <v>0</v>
      </c>
      <c r="L28" s="34">
        <v>117.2</v>
      </c>
    </row>
    <row r="29" spans="1:12" x14ac:dyDescent="0.2">
      <c r="A29" s="20" t="s">
        <v>230</v>
      </c>
      <c r="B29" s="20" t="s">
        <v>26</v>
      </c>
      <c r="C29" s="20" t="s">
        <v>750</v>
      </c>
      <c r="D29" s="20" t="s">
        <v>200</v>
      </c>
      <c r="E29" s="34">
        <f>VLOOKUP(B29,dagsoorttabel1,2,FALSE)</f>
        <v>3.9215686274509803E-3</v>
      </c>
      <c r="F29" s="34">
        <v>1</v>
      </c>
      <c r="G29" s="34">
        <f>IF(prodnorm27&gt;0,1/ROUND(prodnorm27,4),0)</f>
        <v>0</v>
      </c>
      <c r="H29" s="36">
        <f>ROUND(dagwerk27,4+2)</f>
        <v>0</v>
      </c>
      <c r="I29" s="37">
        <f>ROUND(uurtarief27,2)</f>
        <v>0</v>
      </c>
      <c r="J29" s="34">
        <v>79</v>
      </c>
      <c r="K29" s="34">
        <v>0</v>
      </c>
      <c r="L29" s="34">
        <v>0</v>
      </c>
    </row>
    <row r="30" spans="1:12" x14ac:dyDescent="0.2">
      <c r="A30" s="20" t="s">
        <v>230</v>
      </c>
      <c r="B30" s="20" t="s">
        <v>19</v>
      </c>
      <c r="C30" s="20" t="s">
        <v>750</v>
      </c>
      <c r="D30" s="20" t="s">
        <v>200</v>
      </c>
      <c r="E30" s="34">
        <f>VLOOKUP(B30,dagsoorttabel1,2,FALSE)</f>
        <v>0.16078431372549021</v>
      </c>
      <c r="F30" s="34">
        <v>1</v>
      </c>
      <c r="G30" s="34">
        <f>IF(prodnorm28&gt;0,1/ROUND(prodnorm28,4),0)</f>
        <v>0</v>
      </c>
      <c r="H30" s="36">
        <f>ROUND(dagwerk28,4+2)</f>
        <v>0</v>
      </c>
      <c r="I30" s="37">
        <f>ROUND(uurtarief28,2)</f>
        <v>0</v>
      </c>
      <c r="J30" s="34">
        <v>0</v>
      </c>
      <c r="K30" s="34">
        <v>41.9</v>
      </c>
      <c r="L30" s="34">
        <v>83.8</v>
      </c>
    </row>
    <row r="31" spans="1:12" x14ac:dyDescent="0.2">
      <c r="A31" s="20" t="s">
        <v>232</v>
      </c>
      <c r="B31" s="20" t="s">
        <v>12</v>
      </c>
      <c r="C31" s="20" t="s">
        <v>750</v>
      </c>
      <c r="D31" s="20" t="s">
        <v>200</v>
      </c>
      <c r="E31" s="34">
        <f>VLOOKUP(B31,dagsoorttabel1,2,FALSE)</f>
        <v>0.80392156862745101</v>
      </c>
      <c r="F31" s="34">
        <v>1</v>
      </c>
      <c r="G31" s="34">
        <f>IF(prodnorm29&gt;0,1/ROUND(prodnorm29,4),0)</f>
        <v>0</v>
      </c>
      <c r="H31" s="36">
        <f>ROUND(dagwerk29,4+2)</f>
        <v>0</v>
      </c>
      <c r="I31" s="37">
        <f>ROUND(uurtarief29,2)</f>
        <v>0</v>
      </c>
      <c r="J31" s="34">
        <v>184</v>
      </c>
      <c r="K31" s="34">
        <v>0</v>
      </c>
      <c r="L31" s="34">
        <v>75</v>
      </c>
    </row>
    <row r="32" spans="1:12" x14ac:dyDescent="0.2">
      <c r="A32" s="20" t="s">
        <v>234</v>
      </c>
      <c r="B32" s="20" t="s">
        <v>12</v>
      </c>
      <c r="C32" s="20" t="s">
        <v>750</v>
      </c>
      <c r="D32" s="20" t="s">
        <v>200</v>
      </c>
      <c r="E32" s="34">
        <f>VLOOKUP(B32,dagsoorttabel1,2,FALSE)</f>
        <v>0.80392156862745101</v>
      </c>
      <c r="F32" s="34">
        <v>1</v>
      </c>
      <c r="G32" s="34">
        <f>IF(prodnorm30&gt;0,1/ROUND(prodnorm30,4),0)</f>
        <v>0</v>
      </c>
      <c r="H32" s="36">
        <f>ROUND(dagwerk30,4+2)</f>
        <v>0</v>
      </c>
      <c r="I32" s="37">
        <f>ROUND(uurtarief30,2)</f>
        <v>0</v>
      </c>
      <c r="J32" s="34">
        <v>0</v>
      </c>
      <c r="K32" s="34">
        <v>192.3</v>
      </c>
      <c r="L32" s="34">
        <v>0</v>
      </c>
    </row>
    <row r="33" spans="1:12" x14ac:dyDescent="0.2">
      <c r="A33" s="20" t="s">
        <v>236</v>
      </c>
      <c r="B33" s="20" t="s">
        <v>12</v>
      </c>
      <c r="C33" s="20" t="s">
        <v>750</v>
      </c>
      <c r="D33" s="20" t="s">
        <v>200</v>
      </c>
      <c r="E33" s="34">
        <f>VLOOKUP(B33,dagsoorttabel1,2,FALSE)</f>
        <v>0.80392156862745101</v>
      </c>
      <c r="F33" s="34">
        <v>1</v>
      </c>
      <c r="G33" s="34">
        <f>IF(prodnorm31&gt;0,1/ROUND(prodnorm31,4),0)</f>
        <v>0</v>
      </c>
      <c r="H33" s="36">
        <f>ROUND(dagwerk31,4+2)</f>
        <v>0</v>
      </c>
      <c r="I33" s="37">
        <f>ROUND(uurtarief31,2)</f>
        <v>0</v>
      </c>
      <c r="J33" s="34">
        <v>0</v>
      </c>
      <c r="K33" s="34">
        <v>66</v>
      </c>
      <c r="L33" s="34">
        <v>0</v>
      </c>
    </row>
    <row r="34" spans="1:12" x14ac:dyDescent="0.2">
      <c r="A34" s="20" t="s">
        <v>238</v>
      </c>
      <c r="B34" s="20" t="s">
        <v>12</v>
      </c>
      <c r="C34" s="20" t="s">
        <v>750</v>
      </c>
      <c r="D34" s="20" t="s">
        <v>200</v>
      </c>
      <c r="E34" s="34">
        <f>VLOOKUP(B34,dagsoorttabel1,2,FALSE)</f>
        <v>0.80392156862745101</v>
      </c>
      <c r="F34" s="34">
        <v>1</v>
      </c>
      <c r="G34" s="34">
        <f>IF(prodnorm32&gt;0,1/ROUND(prodnorm32,4),0)</f>
        <v>0</v>
      </c>
      <c r="H34" s="36">
        <f>ROUND(dagwerk32,4+2)</f>
        <v>0</v>
      </c>
      <c r="I34" s="37">
        <f>ROUND(uurtarief32,2)</f>
        <v>0</v>
      </c>
      <c r="J34" s="34">
        <v>80</v>
      </c>
      <c r="K34" s="34">
        <v>0</v>
      </c>
      <c r="L34" s="34">
        <v>423</v>
      </c>
    </row>
    <row r="35" spans="1:12" x14ac:dyDescent="0.2">
      <c r="A35" s="20" t="s">
        <v>240</v>
      </c>
      <c r="B35" s="20" t="s">
        <v>12</v>
      </c>
      <c r="C35" s="20" t="s">
        <v>750</v>
      </c>
      <c r="D35" s="20" t="s">
        <v>200</v>
      </c>
      <c r="E35" s="34">
        <f>VLOOKUP(B35,dagsoorttabel1,2,FALSE)</f>
        <v>0.80392156862745101</v>
      </c>
      <c r="F35" s="34">
        <v>1</v>
      </c>
      <c r="G35" s="34">
        <f>IF(prodnorm33&gt;0,1/ROUND(prodnorm33,4),0)</f>
        <v>0</v>
      </c>
      <c r="H35" s="36">
        <f>ROUND(dagwerk33,4+2)</f>
        <v>0</v>
      </c>
      <c r="I35" s="37">
        <f>ROUND(uurtarief33,2)</f>
        <v>0</v>
      </c>
      <c r="J35" s="34">
        <v>97</v>
      </c>
      <c r="K35" s="34">
        <v>405.6</v>
      </c>
      <c r="L35" s="34">
        <v>619.9</v>
      </c>
    </row>
    <row r="36" spans="1:12" x14ac:dyDescent="0.2">
      <c r="A36" s="20" t="s">
        <v>242</v>
      </c>
      <c r="B36" s="20" t="s">
        <v>12</v>
      </c>
      <c r="C36" s="20" t="s">
        <v>750</v>
      </c>
      <c r="D36" s="20" t="s">
        <v>200</v>
      </c>
      <c r="E36" s="34">
        <f>VLOOKUP(B36,dagsoorttabel1,2,FALSE)</f>
        <v>0.80392156862745101</v>
      </c>
      <c r="F36" s="34">
        <v>1</v>
      </c>
      <c r="G36" s="34">
        <f>IF(prodnorm34&gt;0,1/ROUND(prodnorm34,4),0)</f>
        <v>0</v>
      </c>
      <c r="H36" s="36">
        <f>ROUND(dagwerk34,4+2)</f>
        <v>0</v>
      </c>
      <c r="I36" s="37">
        <f>ROUND(uurtarief34,2)</f>
        <v>0</v>
      </c>
      <c r="J36" s="34">
        <v>42</v>
      </c>
      <c r="K36" s="34">
        <v>0</v>
      </c>
      <c r="L36" s="34">
        <v>34.799999999999997</v>
      </c>
    </row>
    <row r="37" spans="1:12" x14ac:dyDescent="0.2">
      <c r="A37" s="20" t="s">
        <v>244</v>
      </c>
      <c r="B37" s="20" t="s">
        <v>26</v>
      </c>
      <c r="C37" s="20" t="s">
        <v>750</v>
      </c>
      <c r="D37" s="20" t="s">
        <v>200</v>
      </c>
      <c r="E37" s="34">
        <f>VLOOKUP(B37,dagsoorttabel1,2,FALSE)</f>
        <v>3.9215686274509803E-3</v>
      </c>
      <c r="F37" s="34">
        <v>1</v>
      </c>
      <c r="G37" s="34">
        <f>IF(prodnorm35&gt;0,1/ROUND(prodnorm35,4),0)</f>
        <v>0</v>
      </c>
      <c r="H37" s="36">
        <f>ROUND(dagwerk35,4+2)</f>
        <v>0</v>
      </c>
      <c r="I37" s="37">
        <f>ROUND(uurtarief35,2)</f>
        <v>0</v>
      </c>
      <c r="J37" s="34">
        <v>0</v>
      </c>
      <c r="K37" s="34">
        <v>1321.1499999999999</v>
      </c>
      <c r="L37" s="34">
        <v>0</v>
      </c>
    </row>
    <row r="38" spans="1:12" x14ac:dyDescent="0.2">
      <c r="A38" s="20" t="s">
        <v>246</v>
      </c>
      <c r="B38" s="20" t="s">
        <v>10</v>
      </c>
      <c r="C38" s="20" t="s">
        <v>750</v>
      </c>
      <c r="D38" s="20" t="s">
        <v>200</v>
      </c>
      <c r="E38" s="34">
        <f>VLOOKUP(B38,dagsoorttabel1,2,FALSE)</f>
        <v>0.88235294117647056</v>
      </c>
      <c r="F38" s="34">
        <v>1</v>
      </c>
      <c r="G38" s="34">
        <f>IF(prodnorm36&gt;0,1/ROUND(prodnorm36,4),0)</f>
        <v>0</v>
      </c>
      <c r="H38" s="36">
        <f>ROUND(dagwerk36,4+2)</f>
        <v>0</v>
      </c>
      <c r="I38" s="37">
        <f>ROUND(uurtarief36,2)</f>
        <v>0</v>
      </c>
      <c r="J38" s="34">
        <v>0</v>
      </c>
      <c r="K38" s="34">
        <v>0</v>
      </c>
      <c r="L38" s="34">
        <v>43.300000000000004</v>
      </c>
    </row>
    <row r="39" spans="1:12" x14ac:dyDescent="0.2">
      <c r="A39" s="20" t="s">
        <v>248</v>
      </c>
      <c r="B39" s="20" t="s">
        <v>12</v>
      </c>
      <c r="C39" s="20" t="s">
        <v>750</v>
      </c>
      <c r="D39" s="20" t="s">
        <v>200</v>
      </c>
      <c r="E39" s="34">
        <f>VLOOKUP(B39,dagsoorttabel1,2,FALSE)</f>
        <v>0.80392156862745101</v>
      </c>
      <c r="F39" s="34">
        <v>1</v>
      </c>
      <c r="G39" s="34">
        <f>IF(prodnorm37&gt;0,1/ROUND(prodnorm37,4),0)</f>
        <v>0</v>
      </c>
      <c r="H39" s="36">
        <f>ROUND(dagwerk37,4+2)</f>
        <v>0</v>
      </c>
      <c r="I39" s="37">
        <f>ROUND(uurtarief37,2)</f>
        <v>0</v>
      </c>
      <c r="J39" s="34">
        <v>126</v>
      </c>
      <c r="K39" s="34">
        <v>0</v>
      </c>
      <c r="L39" s="34">
        <v>0</v>
      </c>
    </row>
    <row r="40" spans="1:12" x14ac:dyDescent="0.2">
      <c r="A40" s="20" t="s">
        <v>248</v>
      </c>
      <c r="B40" s="20" t="s">
        <v>10</v>
      </c>
      <c r="C40" s="20" t="s">
        <v>750</v>
      </c>
      <c r="D40" s="20" t="s">
        <v>200</v>
      </c>
      <c r="E40" s="34">
        <f>VLOOKUP(B40,dagsoorttabel1,2,FALSE)</f>
        <v>0.88235294117647056</v>
      </c>
      <c r="F40" s="34">
        <v>1</v>
      </c>
      <c r="G40" s="34">
        <f>IF(prodnorm38&gt;0,1/ROUND(prodnorm38,4),0)</f>
        <v>0</v>
      </c>
      <c r="H40" s="36">
        <f>ROUND(dagwerk38,4+2)</f>
        <v>0</v>
      </c>
      <c r="I40" s="37">
        <f>ROUND(uurtarief38,2)</f>
        <v>0</v>
      </c>
      <c r="J40" s="34">
        <v>0</v>
      </c>
      <c r="K40" s="34">
        <v>0</v>
      </c>
      <c r="L40" s="34">
        <v>102</v>
      </c>
    </row>
    <row r="41" spans="1:12" x14ac:dyDescent="0.2">
      <c r="A41" s="20" t="s">
        <v>250</v>
      </c>
      <c r="B41" s="20" t="s">
        <v>12</v>
      </c>
      <c r="C41" s="20" t="s">
        <v>750</v>
      </c>
      <c r="D41" s="20" t="s">
        <v>200</v>
      </c>
      <c r="E41" s="34">
        <f>VLOOKUP(B41,dagsoorttabel1,2,FALSE)</f>
        <v>0.80392156862745101</v>
      </c>
      <c r="F41" s="34">
        <v>1</v>
      </c>
      <c r="G41" s="34">
        <f>IF(prodnorm39&gt;0,1/ROUND(prodnorm39,4),0)</f>
        <v>0</v>
      </c>
      <c r="H41" s="36">
        <f>ROUND(dagwerk39,4+2)</f>
        <v>0</v>
      </c>
      <c r="I41" s="37">
        <f>ROUND(uurtarief39,2)</f>
        <v>0</v>
      </c>
      <c r="J41" s="34">
        <v>86</v>
      </c>
      <c r="K41" s="34">
        <v>102.89999999999999</v>
      </c>
      <c r="L41" s="34">
        <v>128.86000000000001</v>
      </c>
    </row>
    <row r="42" spans="1:12" x14ac:dyDescent="0.2">
      <c r="A42" s="20" t="s">
        <v>250</v>
      </c>
      <c r="B42" s="20" t="s">
        <v>11</v>
      </c>
      <c r="C42" s="20" t="s">
        <v>750</v>
      </c>
      <c r="D42" s="20" t="s">
        <v>200</v>
      </c>
      <c r="E42" s="34">
        <f>VLOOKUP(B42,dagsoorttabel1,2,FALSE)</f>
        <v>0.82352941176470584</v>
      </c>
      <c r="F42" s="34">
        <v>1</v>
      </c>
      <c r="G42" s="34">
        <f>IF(prodnorm40&gt;0,1/ROUND(prodnorm40,4),0)</f>
        <v>0</v>
      </c>
      <c r="H42" s="36">
        <f>ROUND(dagwerk40,4+2)</f>
        <v>0</v>
      </c>
      <c r="I42" s="37">
        <f>ROUND(uurtarief40,2)</f>
        <v>0</v>
      </c>
      <c r="J42" s="34">
        <v>10</v>
      </c>
      <c r="K42" s="34">
        <v>0</v>
      </c>
      <c r="L42" s="34">
        <v>0</v>
      </c>
    </row>
    <row r="43" spans="1:12" x14ac:dyDescent="0.2">
      <c r="A43" s="20" t="s">
        <v>250</v>
      </c>
      <c r="B43" s="20" t="s">
        <v>10</v>
      </c>
      <c r="C43" s="20" t="s">
        <v>750</v>
      </c>
      <c r="D43" s="20" t="s">
        <v>200</v>
      </c>
      <c r="E43" s="34">
        <f>VLOOKUP(B43,dagsoorttabel1,2,FALSE)</f>
        <v>0.88235294117647056</v>
      </c>
      <c r="F43" s="34">
        <v>1</v>
      </c>
      <c r="G43" s="34">
        <f>IF(prodnorm41&gt;0,1/ROUND(prodnorm41,4),0)</f>
        <v>0</v>
      </c>
      <c r="H43" s="36">
        <f>ROUND(dagwerk41,4+2)</f>
        <v>0</v>
      </c>
      <c r="I43" s="37">
        <f>ROUND(uurtarief41,2)</f>
        <v>0</v>
      </c>
      <c r="J43" s="34">
        <v>0</v>
      </c>
      <c r="K43" s="34">
        <v>0</v>
      </c>
      <c r="L43" s="34">
        <v>10.5</v>
      </c>
    </row>
    <row r="44" spans="1:12" x14ac:dyDescent="0.2">
      <c r="A44" s="20" t="s">
        <v>250</v>
      </c>
      <c r="B44" s="20" t="s">
        <v>19</v>
      </c>
      <c r="C44" s="20" t="s">
        <v>750</v>
      </c>
      <c r="D44" s="20" t="s">
        <v>200</v>
      </c>
      <c r="E44" s="34">
        <f>VLOOKUP(B44,dagsoorttabel1,2,FALSE)</f>
        <v>0.16078431372549021</v>
      </c>
      <c r="F44" s="34">
        <v>1</v>
      </c>
      <c r="G44" s="34">
        <f>IF(prodnorm42&gt;0,1/ROUND(prodnorm42,4),0)</f>
        <v>0</v>
      </c>
      <c r="H44" s="36">
        <f>ROUND(dagwerk42,4+2)</f>
        <v>0</v>
      </c>
      <c r="I44" s="37">
        <f>ROUND(uurtarief42,2)</f>
        <v>0</v>
      </c>
      <c r="J44" s="34">
        <v>20</v>
      </c>
      <c r="K44" s="34">
        <v>0</v>
      </c>
      <c r="L44" s="34">
        <v>0</v>
      </c>
    </row>
    <row r="45" spans="1:12" x14ac:dyDescent="0.2">
      <c r="A45" s="20" t="s">
        <v>252</v>
      </c>
      <c r="B45" s="20" t="s">
        <v>12</v>
      </c>
      <c r="C45" s="20" t="s">
        <v>750</v>
      </c>
      <c r="D45" s="20" t="s">
        <v>200</v>
      </c>
      <c r="E45" s="34">
        <f>VLOOKUP(B45,dagsoorttabel1,2,FALSE)</f>
        <v>0.80392156862745101</v>
      </c>
      <c r="F45" s="34">
        <v>1</v>
      </c>
      <c r="G45" s="34">
        <f>IF(prodnorm43&gt;0,1/ROUND(prodnorm43,4),0)</f>
        <v>0</v>
      </c>
      <c r="H45" s="36">
        <f>ROUND(dagwerk43,4+2)</f>
        <v>0</v>
      </c>
      <c r="I45" s="37">
        <f>ROUND(uurtarief43,2)</f>
        <v>0</v>
      </c>
      <c r="J45" s="34">
        <v>22</v>
      </c>
      <c r="K45" s="34">
        <v>20</v>
      </c>
      <c r="L45" s="34">
        <v>0</v>
      </c>
    </row>
    <row r="46" spans="1:12" x14ac:dyDescent="0.2">
      <c r="A46" s="20" t="s">
        <v>254</v>
      </c>
      <c r="B46" s="20" t="s">
        <v>12</v>
      </c>
      <c r="C46" s="20" t="s">
        <v>750</v>
      </c>
      <c r="D46" s="20" t="s">
        <v>200</v>
      </c>
      <c r="E46" s="34">
        <f>VLOOKUP(B46,dagsoorttabel1,2,FALSE)</f>
        <v>0.80392156862745101</v>
      </c>
      <c r="F46" s="34">
        <v>1</v>
      </c>
      <c r="G46" s="34">
        <f>IF(prodnorm44&gt;0,1/ROUND(prodnorm44,4),0)</f>
        <v>0</v>
      </c>
      <c r="H46" s="36">
        <f>ROUND(dagwerk44,4+2)</f>
        <v>0</v>
      </c>
      <c r="I46" s="37">
        <f>ROUND(uurtarief44,2)</f>
        <v>0</v>
      </c>
      <c r="J46" s="34">
        <v>343</v>
      </c>
      <c r="K46" s="34">
        <v>647.82999999999993</v>
      </c>
      <c r="L46" s="34">
        <v>1280.3500000000004</v>
      </c>
    </row>
    <row r="47" spans="1:12" x14ac:dyDescent="0.2">
      <c r="A47" s="20" t="s">
        <v>254</v>
      </c>
      <c r="B47" s="20" t="s">
        <v>19</v>
      </c>
      <c r="C47" s="20" t="s">
        <v>750</v>
      </c>
      <c r="D47" s="20" t="s">
        <v>200</v>
      </c>
      <c r="E47" s="34">
        <f>VLOOKUP(B47,dagsoorttabel1,2,FALSE)</f>
        <v>0.16078431372549021</v>
      </c>
      <c r="F47" s="34">
        <v>1</v>
      </c>
      <c r="G47" s="34">
        <f>IF(prodnorm45&gt;0,1/ROUND(prodnorm45,4),0)</f>
        <v>0</v>
      </c>
      <c r="H47" s="36">
        <f>ROUND(dagwerk45,4+2)</f>
        <v>0</v>
      </c>
      <c r="I47" s="37">
        <f>ROUND(uurtarief45,2)</f>
        <v>0</v>
      </c>
      <c r="J47" s="34">
        <v>0</v>
      </c>
      <c r="K47" s="34">
        <v>0</v>
      </c>
      <c r="L47" s="34">
        <v>13.8</v>
      </c>
    </row>
    <row r="48" spans="1:12" x14ac:dyDescent="0.2">
      <c r="A48" s="20" t="s">
        <v>256</v>
      </c>
      <c r="B48" s="20" t="s">
        <v>12</v>
      </c>
      <c r="C48" s="20" t="s">
        <v>750</v>
      </c>
      <c r="D48" s="20" t="s">
        <v>200</v>
      </c>
      <c r="E48" s="34">
        <f>VLOOKUP(B48,dagsoorttabel1,2,FALSE)</f>
        <v>0.80392156862745101</v>
      </c>
      <c r="F48" s="34">
        <v>1</v>
      </c>
      <c r="G48" s="34">
        <f>IF(prodnorm46&gt;0,1/ROUND(prodnorm46,4),0)</f>
        <v>0</v>
      </c>
      <c r="H48" s="36">
        <f>ROUND(dagwerk46,4+2)</f>
        <v>0</v>
      </c>
      <c r="I48" s="37">
        <f>ROUND(uurtarief46,2)</f>
        <v>0</v>
      </c>
      <c r="J48" s="34">
        <v>0</v>
      </c>
      <c r="K48" s="34">
        <v>0</v>
      </c>
      <c r="L48" s="34">
        <v>4</v>
      </c>
    </row>
    <row r="49" spans="1:12" x14ac:dyDescent="0.2">
      <c r="A49" s="20" t="s">
        <v>256</v>
      </c>
      <c r="B49" s="20" t="s">
        <v>10</v>
      </c>
      <c r="C49" s="20" t="s">
        <v>750</v>
      </c>
      <c r="D49" s="20" t="s">
        <v>200</v>
      </c>
      <c r="E49" s="34">
        <f>VLOOKUP(B49,dagsoorttabel1,2,FALSE)</f>
        <v>0.88235294117647056</v>
      </c>
      <c r="F49" s="34">
        <v>1</v>
      </c>
      <c r="G49" s="34">
        <f>IF(prodnorm47&gt;0,1/ROUND(prodnorm47,4),0)</f>
        <v>0</v>
      </c>
      <c r="H49" s="36">
        <f>ROUND(dagwerk47,4+2)</f>
        <v>0</v>
      </c>
      <c r="I49" s="37">
        <f>ROUND(uurtarief47,2)</f>
        <v>0</v>
      </c>
      <c r="J49" s="34">
        <v>0</v>
      </c>
      <c r="K49" s="34">
        <v>0</v>
      </c>
      <c r="L49" s="34">
        <v>4.5</v>
      </c>
    </row>
    <row r="50" spans="1:12" x14ac:dyDescent="0.2">
      <c r="A50" s="20" t="s">
        <v>258</v>
      </c>
      <c r="B50" s="20" t="s">
        <v>12</v>
      </c>
      <c r="C50" s="20" t="s">
        <v>750</v>
      </c>
      <c r="D50" s="20" t="s">
        <v>200</v>
      </c>
      <c r="E50" s="34">
        <f>VLOOKUP(B50,dagsoorttabel1,2,FALSE)</f>
        <v>0.80392156862745101</v>
      </c>
      <c r="F50" s="34">
        <v>1</v>
      </c>
      <c r="G50" s="34">
        <f>IF(prodnorm48&gt;0,1/ROUND(prodnorm48,4),0)</f>
        <v>0</v>
      </c>
      <c r="H50" s="36">
        <f>ROUND(dagwerk48,4+2)</f>
        <v>0</v>
      </c>
      <c r="I50" s="37">
        <f>ROUND(uurtarief48,2)</f>
        <v>0</v>
      </c>
      <c r="J50" s="34">
        <v>0</v>
      </c>
      <c r="K50" s="34">
        <v>8.8000000000000007</v>
      </c>
      <c r="L50" s="34">
        <v>0</v>
      </c>
    </row>
    <row r="51" spans="1:12" x14ac:dyDescent="0.2">
      <c r="A51" s="20" t="s">
        <v>260</v>
      </c>
      <c r="B51" s="20" t="s">
        <v>12</v>
      </c>
      <c r="C51" s="20" t="s">
        <v>750</v>
      </c>
      <c r="D51" s="20" t="s">
        <v>200</v>
      </c>
      <c r="E51" s="34">
        <f>VLOOKUP(B51,dagsoorttabel1,2,FALSE)</f>
        <v>0.80392156862745101</v>
      </c>
      <c r="F51" s="34">
        <v>1</v>
      </c>
      <c r="G51" s="34">
        <f>IF(prodnorm49&gt;0,1/ROUND(prodnorm49,4),0)</f>
        <v>0</v>
      </c>
      <c r="H51" s="36">
        <f>ROUND(dagwerk49,4+2)</f>
        <v>0</v>
      </c>
      <c r="I51" s="37">
        <f>ROUND(uurtarief49,2)</f>
        <v>0</v>
      </c>
      <c r="J51" s="34">
        <v>65</v>
      </c>
      <c r="K51" s="34">
        <v>0</v>
      </c>
      <c r="L51" s="34">
        <v>45.900000000000006</v>
      </c>
    </row>
    <row r="52" spans="1:12" x14ac:dyDescent="0.2">
      <c r="A52" s="20" t="s">
        <v>262</v>
      </c>
      <c r="B52" s="20" t="s">
        <v>12</v>
      </c>
      <c r="C52" s="20" t="s">
        <v>750</v>
      </c>
      <c r="D52" s="20" t="s">
        <v>200</v>
      </c>
      <c r="E52" s="34">
        <f>VLOOKUP(B52,dagsoorttabel1,2,FALSE)</f>
        <v>0.80392156862745101</v>
      </c>
      <c r="F52" s="34">
        <v>1</v>
      </c>
      <c r="G52" s="34">
        <f>IF(prodnorm50&gt;0,1/ROUND(prodnorm50,4),0)</f>
        <v>0</v>
      </c>
      <c r="H52" s="36">
        <f>ROUND(dagwerk50,4+2)</f>
        <v>0</v>
      </c>
      <c r="I52" s="37">
        <f>ROUND(uurtarief50,2)</f>
        <v>0</v>
      </c>
      <c r="J52" s="34">
        <v>95</v>
      </c>
      <c r="K52" s="34">
        <v>1.5</v>
      </c>
      <c r="L52" s="34">
        <v>1.1000000000000001</v>
      </c>
    </row>
    <row r="53" spans="1:12" x14ac:dyDescent="0.2">
      <c r="A53" s="20" t="s">
        <v>262</v>
      </c>
      <c r="B53" s="20" t="s">
        <v>19</v>
      </c>
      <c r="C53" s="20" t="s">
        <v>750</v>
      </c>
      <c r="D53" s="20" t="s">
        <v>200</v>
      </c>
      <c r="E53" s="34">
        <f>VLOOKUP(B53,dagsoorttabel1,2,FALSE)</f>
        <v>0.16078431372549021</v>
      </c>
      <c r="F53" s="34">
        <v>1</v>
      </c>
      <c r="G53" s="34">
        <f>IF(prodnorm51&gt;0,1/ROUND(prodnorm51,4),0)</f>
        <v>0</v>
      </c>
      <c r="H53" s="36">
        <f>ROUND(dagwerk51,4+2)</f>
        <v>0</v>
      </c>
      <c r="I53" s="37">
        <f>ROUND(uurtarief51,2)</f>
        <v>0</v>
      </c>
      <c r="J53" s="34">
        <v>56</v>
      </c>
      <c r="K53" s="34">
        <v>0</v>
      </c>
      <c r="L53" s="34">
        <v>0</v>
      </c>
    </row>
    <row r="54" spans="1:12" x14ac:dyDescent="0.2">
      <c r="A54" s="20" t="s">
        <v>264</v>
      </c>
      <c r="B54" s="20" t="s">
        <v>12</v>
      </c>
      <c r="C54" s="20" t="s">
        <v>750</v>
      </c>
      <c r="D54" s="20" t="s">
        <v>200</v>
      </c>
      <c r="E54" s="34">
        <f>VLOOKUP(B54,dagsoorttabel1,2,FALSE)</f>
        <v>0.80392156862745101</v>
      </c>
      <c r="F54" s="34">
        <v>1</v>
      </c>
      <c r="G54" s="34">
        <f>IF(prodnorm52&gt;0,1/ROUND(prodnorm52,4),0)</f>
        <v>0</v>
      </c>
      <c r="H54" s="36">
        <f>ROUND(dagwerk52,4+2)</f>
        <v>0</v>
      </c>
      <c r="I54" s="37">
        <f>ROUND(uurtarief52,2)</f>
        <v>0</v>
      </c>
      <c r="J54" s="34">
        <v>35</v>
      </c>
      <c r="K54" s="34">
        <v>108.6</v>
      </c>
      <c r="L54" s="34">
        <v>35.5</v>
      </c>
    </row>
    <row r="55" spans="1:12" x14ac:dyDescent="0.2">
      <c r="A55" s="20" t="s">
        <v>266</v>
      </c>
      <c r="B55" s="20" t="s">
        <v>12</v>
      </c>
      <c r="C55" s="20" t="s">
        <v>750</v>
      </c>
      <c r="D55" s="20" t="s">
        <v>200</v>
      </c>
      <c r="E55" s="34">
        <f>VLOOKUP(B55,dagsoorttabel1,2,FALSE)</f>
        <v>0.80392156862745101</v>
      </c>
      <c r="F55" s="34">
        <v>1</v>
      </c>
      <c r="G55" s="34">
        <f>IF(prodnorm53&gt;0,1/ROUND(prodnorm53,4),0)</f>
        <v>0</v>
      </c>
      <c r="H55" s="36">
        <f>ROUND(dagwerk53,4+2)</f>
        <v>0</v>
      </c>
      <c r="I55" s="37">
        <f>ROUND(uurtarief53,2)</f>
        <v>0</v>
      </c>
      <c r="J55" s="34">
        <v>0</v>
      </c>
      <c r="K55" s="34">
        <v>10</v>
      </c>
      <c r="L55" s="34">
        <v>0</v>
      </c>
    </row>
    <row r="56" spans="1:12" x14ac:dyDescent="0.2">
      <c r="A56" s="20" t="s">
        <v>268</v>
      </c>
      <c r="B56" s="20" t="s">
        <v>12</v>
      </c>
      <c r="C56" s="20" t="s">
        <v>750</v>
      </c>
      <c r="D56" s="20" t="s">
        <v>200</v>
      </c>
      <c r="E56" s="34">
        <f>VLOOKUP(B56,dagsoorttabel1,2,FALSE)</f>
        <v>0.80392156862745101</v>
      </c>
      <c r="F56" s="34">
        <v>1</v>
      </c>
      <c r="G56" s="34">
        <f>IF(prodnorm54&gt;0,1/ROUND(prodnorm54,4),0)</f>
        <v>0</v>
      </c>
      <c r="H56" s="36">
        <f>ROUND(dagwerk54,4+2)</f>
        <v>0</v>
      </c>
      <c r="I56" s="37">
        <f>ROUND(uurtarief54,2)</f>
        <v>0</v>
      </c>
      <c r="J56" s="34">
        <v>0</v>
      </c>
      <c r="K56" s="34">
        <v>23.58</v>
      </c>
      <c r="L56" s="34">
        <v>65</v>
      </c>
    </row>
    <row r="57" spans="1:12" x14ac:dyDescent="0.2">
      <c r="A57" s="20" t="s">
        <v>268</v>
      </c>
      <c r="B57" s="20" t="s">
        <v>19</v>
      </c>
      <c r="C57" s="20" t="s">
        <v>750</v>
      </c>
      <c r="D57" s="20" t="s">
        <v>200</v>
      </c>
      <c r="E57" s="34">
        <f>VLOOKUP(B57,dagsoorttabel1,2,FALSE)</f>
        <v>0.16078431372549021</v>
      </c>
      <c r="F57" s="34">
        <v>1</v>
      </c>
      <c r="G57" s="34">
        <f>IF(prodnorm55&gt;0,1/ROUND(prodnorm55,4),0)</f>
        <v>0</v>
      </c>
      <c r="H57" s="36">
        <f>ROUND(dagwerk55,4+2)</f>
        <v>0</v>
      </c>
      <c r="I57" s="37">
        <f>ROUND(uurtarief55,2)</f>
        <v>0</v>
      </c>
      <c r="J57" s="34">
        <v>0</v>
      </c>
      <c r="K57" s="34">
        <v>0</v>
      </c>
      <c r="L57" s="34">
        <v>19</v>
      </c>
    </row>
    <row r="58" spans="1:12" x14ac:dyDescent="0.2">
      <c r="A58" s="20" t="s">
        <v>270</v>
      </c>
      <c r="B58" s="20" t="s">
        <v>24</v>
      </c>
      <c r="C58" s="20" t="s">
        <v>750</v>
      </c>
      <c r="D58" s="20" t="s">
        <v>271</v>
      </c>
      <c r="E58" s="34">
        <f>VLOOKUP(B58,dagsoorttabel1,2,FALSE)</f>
        <v>1.1764705882352941E-2</v>
      </c>
      <c r="F58" s="34">
        <v>1</v>
      </c>
      <c r="G58" s="34">
        <f>IF(prodnorm1&gt;0,1/ROUND(prodnorm1,4),0)</f>
        <v>0</v>
      </c>
      <c r="H58" s="36">
        <f>ROUND(dagwerk1,4+2)</f>
        <v>0</v>
      </c>
      <c r="I58" s="37">
        <f>ROUND(uurtarief1,2)</f>
        <v>0</v>
      </c>
      <c r="J58" s="34">
        <v>504</v>
      </c>
      <c r="K58" s="34">
        <v>0</v>
      </c>
      <c r="L58" s="34">
        <v>1207</v>
      </c>
    </row>
    <row r="59" spans="1:12" x14ac:dyDescent="0.2">
      <c r="A59" s="25" t="s">
        <v>273</v>
      </c>
      <c r="B59" s="25" t="s">
        <v>25</v>
      </c>
      <c r="C59" s="25" t="s">
        <v>750</v>
      </c>
      <c r="D59" s="25" t="s">
        <v>271</v>
      </c>
      <c r="E59" s="38">
        <f>VLOOKUP(B59,dagsoorttabel1,2,FALSE)</f>
        <v>7.8431372549019607E-3</v>
      </c>
      <c r="F59" s="38">
        <v>1</v>
      </c>
      <c r="G59" s="38">
        <f>ROUND(prodnorm2,4)/60</f>
        <v>0</v>
      </c>
      <c r="H59" s="80">
        <f>ROUND(dagwerk2,4+2)</f>
        <v>0</v>
      </c>
      <c r="I59" s="40">
        <f>ROUND(uurtarief2,2)</f>
        <v>0</v>
      </c>
      <c r="J59" s="38">
        <v>0</v>
      </c>
      <c r="K59" s="38">
        <v>1</v>
      </c>
      <c r="L59" s="38">
        <v>0</v>
      </c>
    </row>
    <row r="60" spans="1:12" x14ac:dyDescent="0.2">
      <c r="A60" s="42" t="s">
        <v>276</v>
      </c>
      <c r="B60" s="43"/>
      <c r="C60" s="43"/>
      <c r="D60" s="43"/>
      <c r="E60" s="43"/>
      <c r="F60" s="43"/>
      <c r="G60" s="43"/>
      <c r="H60" s="43"/>
      <c r="I60" s="43"/>
      <c r="J60" s="81"/>
      <c r="K60" s="81"/>
      <c r="L60" s="81"/>
    </row>
  </sheetData>
  <pageMargins left="0.7" right="0.7" top="0.75" bottom="0.75" header="0.3" footer="0.3"/>
  <pageSetup paperSize="9" scale="70" orientation="landscape" horizontalDpi="150" verticalDpi="0" r:id="rId1"/>
  <headerFooter>
    <oddFooter>&amp;LOns Middelbaar Onderwijs optimalisatie                      
CONCEPT PER 01-03-2021&amp;ROpmaakdatum: 18-03-2021
Intexso - De Start 5 - Leusden
+31 (33) 2778485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69238-A1E2-4039-8ACB-9D124F4A7670}">
  <dimension ref="A1:M14"/>
  <sheetViews>
    <sheetView workbookViewId="0"/>
  </sheetViews>
  <sheetFormatPr defaultRowHeight="12.6" x14ac:dyDescent="0.2"/>
  <cols>
    <col min="1" max="1" width="8.6328125" customWidth="1"/>
    <col min="2" max="2" width="28.6328125" customWidth="1"/>
    <col min="3" max="4" width="15.6328125" customWidth="1"/>
    <col min="5" max="5" width="6.1796875" customWidth="1"/>
    <col min="6" max="6" width="10.6328125" customWidth="1"/>
    <col min="7" max="9" width="12.1796875" customWidth="1"/>
    <col min="10" max="11" width="12.6328125" customWidth="1"/>
    <col min="12" max="13" width="13.6328125" customWidth="1"/>
  </cols>
  <sheetData>
    <row r="1" spans="1:13" x14ac:dyDescent="0.2">
      <c r="A1" s="1" t="str">
        <f>CONCATENATE("Bijlage G6.4: ",tabeltype," objecten")</f>
        <v>Bijlage G6.4: Invultabel objecten</v>
      </c>
    </row>
    <row r="3" spans="1:13" ht="37.799999999999997" x14ac:dyDescent="0.2">
      <c r="A3" s="8" t="s">
        <v>279</v>
      </c>
      <c r="B3" s="8" t="s">
        <v>751</v>
      </c>
      <c r="C3" s="8" t="s">
        <v>752</v>
      </c>
      <c r="D3" s="8" t="s">
        <v>753</v>
      </c>
      <c r="E3" s="8" t="s">
        <v>7</v>
      </c>
      <c r="F3" s="8" t="s">
        <v>754</v>
      </c>
      <c r="G3" s="8" t="s">
        <v>755</v>
      </c>
      <c r="H3" s="8" t="s">
        <v>756</v>
      </c>
      <c r="I3" s="8" t="s">
        <v>757</v>
      </c>
      <c r="J3" s="8" t="s">
        <v>758</v>
      </c>
      <c r="K3" s="8" t="s">
        <v>197</v>
      </c>
      <c r="L3" s="8" t="s">
        <v>759</v>
      </c>
      <c r="M3" s="8" t="s">
        <v>760</v>
      </c>
    </row>
    <row r="4" spans="1:13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1"/>
    </row>
    <row r="5" spans="1:13" x14ac:dyDescent="0.2">
      <c r="A5" s="12" t="s">
        <v>37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4"/>
    </row>
    <row r="6" spans="1:13" x14ac:dyDescent="0.2">
      <c r="A6" s="15" t="s">
        <v>290</v>
      </c>
      <c r="B6" s="15" t="s">
        <v>761</v>
      </c>
      <c r="C6" s="15" t="s">
        <v>762</v>
      </c>
      <c r="D6" s="15" t="s">
        <v>763</v>
      </c>
      <c r="E6" s="82" t="s">
        <v>11</v>
      </c>
      <c r="F6" s="83">
        <f>gemuurtarief1</f>
        <v>0</v>
      </c>
      <c r="G6" s="30">
        <f>SUMPRODUCT(taakfreqtabel1,uurfactortabel1,kengetaltabel1,object1_opptabel1)*(1/VLOOKUP(E6,dagsoorttabel1,2,FALSE))</f>
        <v>0</v>
      </c>
      <c r="H6" s="30">
        <f>SUMPRODUCT(dagwerktabel1,taakfreqtabel1,uurfactortabel1,kengetaltabel1,object1_opptabel1)*(1/VLOOKUP(E6,dagsoorttabel1,2,FALSE))</f>
        <v>0</v>
      </c>
      <c r="I6" s="33">
        <f>SUMPRODUCT(taakfreqtabel1,kengetaltabel1,tarieftabel1,object1_opptabel1)*(1/VLOOKUP(E6,dagsoorttabel1,2,FALSE))</f>
        <v>0</v>
      </c>
      <c r="J6" s="30">
        <f>H6*dagenperjaar1*VLOOKUP(E6,dagsoorttabel1,2,FALSE)</f>
        <v>0</v>
      </c>
      <c r="K6" s="30">
        <f>G6*dagenperjaar1*VLOOKUP(E6,dagsoorttabel1,2,FALSE)</f>
        <v>0</v>
      </c>
      <c r="L6" s="33">
        <f>I6*dagenperjaar1*VLOOKUP(E6,dagsoorttabel1,2,FALSE)</f>
        <v>0</v>
      </c>
      <c r="M6" s="33">
        <f>L6/12</f>
        <v>0</v>
      </c>
    </row>
    <row r="7" spans="1:13" x14ac:dyDescent="0.2">
      <c r="A7" s="20" t="s">
        <v>468</v>
      </c>
      <c r="B7" s="20" t="s">
        <v>764</v>
      </c>
      <c r="C7" s="20" t="s">
        <v>765</v>
      </c>
      <c r="D7" s="20" t="s">
        <v>766</v>
      </c>
      <c r="E7" s="84" t="s">
        <v>12</v>
      </c>
      <c r="F7" s="85">
        <f>gemuurtarief1</f>
        <v>0</v>
      </c>
      <c r="G7" s="34">
        <f>SUMPRODUCT(taakfreqtabel1,uurfactortabel1,kengetaltabel1,object2_opptabel1)*(1/VLOOKUP(E7,dagsoorttabel1,2,FALSE))</f>
        <v>0</v>
      </c>
      <c r="H7" s="34">
        <f>SUMPRODUCT(dagwerktabel1,taakfreqtabel1,uurfactortabel1,kengetaltabel1,object2_opptabel1)*(1/VLOOKUP(E7,dagsoorttabel1,2,FALSE))</f>
        <v>0</v>
      </c>
      <c r="I7" s="37">
        <f>SUMPRODUCT(taakfreqtabel1,kengetaltabel1,tarieftabel1,object2_opptabel1)*(1/VLOOKUP(E7,dagsoorttabel1,2,FALSE))</f>
        <v>0</v>
      </c>
      <c r="J7" s="34">
        <f>H7*dagenperjaar1*VLOOKUP(E7,dagsoorttabel1,2,FALSE)</f>
        <v>0</v>
      </c>
      <c r="K7" s="34">
        <f>G7*dagenperjaar1*VLOOKUP(E7,dagsoorttabel1,2,FALSE)</f>
        <v>0</v>
      </c>
      <c r="L7" s="37">
        <f>I7*dagenperjaar1*VLOOKUP(E7,dagsoorttabel1,2,FALSE)</f>
        <v>0</v>
      </c>
      <c r="M7" s="37">
        <f>L7/12</f>
        <v>0</v>
      </c>
    </row>
    <row r="8" spans="1:13" x14ac:dyDescent="0.2">
      <c r="A8" s="25" t="s">
        <v>582</v>
      </c>
      <c r="B8" s="25" t="s">
        <v>767</v>
      </c>
      <c r="C8" s="25" t="s">
        <v>768</v>
      </c>
      <c r="D8" s="25" t="s">
        <v>766</v>
      </c>
      <c r="E8" s="86" t="s">
        <v>10</v>
      </c>
      <c r="F8" s="87">
        <f>gemuurtarief1</f>
        <v>0</v>
      </c>
      <c r="G8" s="38">
        <f>SUMPRODUCT(taakfreqtabel1,uurfactortabel1,kengetaltabel1,object3_opptabel1)*(1/VLOOKUP(E8,dagsoorttabel1,2,FALSE))</f>
        <v>0</v>
      </c>
      <c r="H8" s="38">
        <f>SUMPRODUCT(dagwerktabel1,taakfreqtabel1,uurfactortabel1,kengetaltabel1,object3_opptabel1)*(1/VLOOKUP(E8,dagsoorttabel1,2,FALSE))</f>
        <v>0</v>
      </c>
      <c r="I8" s="40">
        <f>SUMPRODUCT(taakfreqtabel1,kengetaltabel1,tarieftabel1,object3_opptabel1)*(1/VLOOKUP(E8,dagsoorttabel1,2,FALSE))</f>
        <v>0</v>
      </c>
      <c r="J8" s="38">
        <f>H8*dagenperjaar1*VLOOKUP(E8,dagsoorttabel1,2,FALSE)</f>
        <v>0</v>
      </c>
      <c r="K8" s="38">
        <f>G8*dagenperjaar1*VLOOKUP(E8,dagsoorttabel1,2,FALSE)</f>
        <v>0</v>
      </c>
      <c r="L8" s="40">
        <f>I8*dagenperjaar1*VLOOKUP(E8,dagsoorttabel1,2,FALSE)</f>
        <v>0</v>
      </c>
      <c r="M8" s="40">
        <f>L8/12</f>
        <v>0</v>
      </c>
    </row>
    <row r="9" spans="1:13" x14ac:dyDescent="0.2">
      <c r="A9" s="42" t="s">
        <v>276</v>
      </c>
      <c r="B9" s="43"/>
      <c r="C9" s="43"/>
      <c r="D9" s="43"/>
      <c r="E9" s="43"/>
      <c r="F9" s="43"/>
      <c r="G9" s="43"/>
      <c r="H9" s="43"/>
      <c r="I9" s="43"/>
      <c r="J9" s="44">
        <f>SUM(J6:J8)</f>
        <v>0</v>
      </c>
      <c r="K9" s="44">
        <f>SUM(K6:K8)</f>
        <v>0</v>
      </c>
      <c r="L9" s="45">
        <f>SUM(L6:L8)</f>
        <v>0</v>
      </c>
      <c r="M9" s="46">
        <f>SUM(M6:M8)</f>
        <v>0</v>
      </c>
    </row>
    <row r="10" spans="1:13" x14ac:dyDescent="0.2">
      <c r="A10" s="47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8"/>
    </row>
    <row r="12" spans="1:13" x14ac:dyDescent="0.2">
      <c r="A12" s="42" t="s">
        <v>769</v>
      </c>
      <c r="B12" s="43"/>
      <c r="C12" s="43"/>
      <c r="D12" s="43"/>
      <c r="E12" s="43"/>
      <c r="F12" s="43"/>
      <c r="G12" s="43"/>
      <c r="H12" s="43"/>
      <c r="I12" s="43"/>
      <c r="J12" s="44">
        <f>urenjaartotaalhf1</f>
        <v>0</v>
      </c>
      <c r="K12" s="44">
        <f>urenjaartotaal1</f>
        <v>0</v>
      </c>
      <c r="L12" s="45">
        <f>prijsjaartotaal1</f>
        <v>0</v>
      </c>
      <c r="M12" s="45">
        <f>prijsmaandtotaal1</f>
        <v>0</v>
      </c>
    </row>
    <row r="14" spans="1:13" x14ac:dyDescent="0.2">
      <c r="A14" s="42" t="s">
        <v>770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5">
        <f>L12*1.21</f>
        <v>0</v>
      </c>
      <c r="M14" s="45">
        <f>M12*1.21</f>
        <v>0</v>
      </c>
    </row>
  </sheetData>
  <pageMargins left="0.7" right="0.7" top="0.75" bottom="0.75" header="0.3" footer="0.3"/>
  <pageSetup paperSize="9" scale="65" orientation="landscape" horizontalDpi="150" verticalDpi="0" r:id="rId1"/>
  <headerFooter>
    <oddFooter>&amp;LOns Middelbaar Onderwijs optimalisatie                      
CONCEPT PER 01-03-2021&amp;ROpmaakdatum: 18-03-2021
Intexso - De Start 5 - Leusden
+31 (33) 2778485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3C935-E70D-41B6-BDD8-939DD4F352A3}">
  <dimension ref="A1:K35"/>
  <sheetViews>
    <sheetView workbookViewId="0"/>
  </sheetViews>
  <sheetFormatPr defaultRowHeight="12.6" x14ac:dyDescent="0.2"/>
  <cols>
    <col min="1" max="1" width="7.6328125" customWidth="1"/>
    <col min="2" max="2" width="6.6328125" customWidth="1"/>
    <col min="3" max="3" width="7.6328125" customWidth="1"/>
    <col min="4" max="4" width="40.6328125" customWidth="1"/>
    <col min="5" max="5" width="11.6328125" customWidth="1"/>
    <col min="6" max="7" width="14.6328125" customWidth="1"/>
    <col min="8" max="8" width="12.6328125" customWidth="1"/>
    <col min="9" max="10" width="14.6328125" customWidth="1"/>
    <col min="11" max="11" width="13.6328125" customWidth="1"/>
  </cols>
  <sheetData>
    <row r="1" spans="1:11" x14ac:dyDescent="0.2">
      <c r="A1" s="1" t="str">
        <f>CONCATENATE("Bijlage G6.5: ",tabeltype," niet-meewerkende objectleiding")</f>
        <v>Bijlage G6.5: Invultabel niet-meewerkende objectleiding</v>
      </c>
    </row>
    <row r="3" spans="1:11" ht="37.799999999999997" x14ac:dyDescent="0.2">
      <c r="A3" s="8" t="s">
        <v>771</v>
      </c>
      <c r="B3" s="8" t="s">
        <v>7</v>
      </c>
      <c r="C3" s="8" t="s">
        <v>772</v>
      </c>
      <c r="D3" s="8" t="s">
        <v>773</v>
      </c>
      <c r="E3" s="8" t="s">
        <v>774</v>
      </c>
      <c r="F3" s="8" t="s">
        <v>775</v>
      </c>
      <c r="G3" s="8" t="s">
        <v>776</v>
      </c>
      <c r="H3" s="8" t="s">
        <v>197</v>
      </c>
      <c r="I3" s="8" t="s">
        <v>777</v>
      </c>
      <c r="J3" s="8" t="s">
        <v>778</v>
      </c>
      <c r="K3" s="8" t="s">
        <v>779</v>
      </c>
    </row>
    <row r="4" spans="1:11" x14ac:dyDescent="0.2">
      <c r="A4" s="88"/>
      <c r="B4" s="89"/>
      <c r="C4" s="89"/>
      <c r="D4" s="89"/>
      <c r="E4" s="89"/>
      <c r="F4" s="89"/>
      <c r="G4" s="89"/>
      <c r="H4" s="89"/>
      <c r="I4" s="89"/>
      <c r="J4" s="89"/>
      <c r="K4" s="90"/>
    </row>
    <row r="5" spans="1:11" x14ac:dyDescent="0.2">
      <c r="A5" s="12" t="s">
        <v>37</v>
      </c>
      <c r="B5" s="13"/>
      <c r="C5" s="13"/>
      <c r="D5" s="13"/>
      <c r="E5" s="13"/>
      <c r="F5" s="13"/>
      <c r="G5" s="13"/>
      <c r="H5" s="13"/>
      <c r="I5" s="13"/>
      <c r="J5" s="13"/>
      <c r="K5" s="14"/>
    </row>
    <row r="6" spans="1:11" x14ac:dyDescent="0.2">
      <c r="A6" s="9"/>
      <c r="B6" s="10"/>
      <c r="C6" s="10"/>
      <c r="D6" s="10"/>
      <c r="E6" s="10"/>
      <c r="F6" s="10"/>
      <c r="G6" s="10"/>
      <c r="H6" s="10"/>
      <c r="I6" s="10"/>
      <c r="J6" s="10"/>
      <c r="K6" s="11"/>
    </row>
    <row r="7" spans="1:11" x14ac:dyDescent="0.2">
      <c r="A7" s="91" t="s">
        <v>289</v>
      </c>
      <c r="B7" s="13"/>
      <c r="C7" s="13"/>
      <c r="D7" s="13"/>
      <c r="E7" s="13"/>
      <c r="F7" s="13"/>
      <c r="G7" s="13"/>
      <c r="H7" s="13"/>
      <c r="I7" s="13"/>
      <c r="J7" s="13"/>
      <c r="K7" s="14"/>
    </row>
    <row r="8" spans="1:11" x14ac:dyDescent="0.2">
      <c r="A8" s="15"/>
      <c r="B8" s="15"/>
      <c r="C8" s="92">
        <f>dagenperjaar1</f>
        <v>255</v>
      </c>
      <c r="D8" s="93" t="s">
        <v>780</v>
      </c>
      <c r="E8" s="19"/>
      <c r="F8" s="18"/>
      <c r="G8" s="94"/>
      <c r="H8" s="30">
        <f>IF(ISBLANK(G8),0,G8*C8)+IF(ISBLANK(F8),0,F8*objecturen1_1)</f>
        <v>0</v>
      </c>
      <c r="I8" s="30">
        <f>IF(C8=0,0,H8/C8)</f>
        <v>0</v>
      </c>
      <c r="J8" s="33">
        <f>IF(ISBLANK(E8),0,ROUND(E8,2)*H8)</f>
        <v>0</v>
      </c>
      <c r="K8" s="33">
        <f>J8/12</f>
        <v>0</v>
      </c>
    </row>
    <row r="9" spans="1:11" x14ac:dyDescent="0.2">
      <c r="A9" s="20"/>
      <c r="B9" s="20"/>
      <c r="C9" s="95">
        <f>dagenperjaar1</f>
        <v>255</v>
      </c>
      <c r="D9" s="96" t="s">
        <v>780</v>
      </c>
      <c r="E9" s="24"/>
      <c r="F9" s="23"/>
      <c r="G9" s="97"/>
      <c r="H9" s="34">
        <f>IF(ISBLANK(G9),0,G9*C9)+IF(ISBLANK(F9),0,F9*objecturen1_1)</f>
        <v>0</v>
      </c>
      <c r="I9" s="34">
        <f>IF(C9=0,0,H9/C9)</f>
        <v>0</v>
      </c>
      <c r="J9" s="37">
        <f>IF(ISBLANK(E9),0,ROUND(E9,2)*H9)</f>
        <v>0</v>
      </c>
      <c r="K9" s="37">
        <f>J9/12</f>
        <v>0</v>
      </c>
    </row>
    <row r="10" spans="1:11" x14ac:dyDescent="0.2">
      <c r="A10" s="20"/>
      <c r="B10" s="20"/>
      <c r="C10" s="95">
        <f>dagenperjaar1</f>
        <v>255</v>
      </c>
      <c r="D10" s="96" t="s">
        <v>781</v>
      </c>
      <c r="E10" s="24"/>
      <c r="F10" s="98"/>
      <c r="G10" s="22"/>
      <c r="H10" s="34">
        <f>IF(ISBLANK(G10),0,G10*C10)+IF(ISBLANK(F10),0,F10*objecturen1_1)</f>
        <v>0</v>
      </c>
      <c r="I10" s="34">
        <f>IF(C10=0,0,H10/C10)</f>
        <v>0</v>
      </c>
      <c r="J10" s="37">
        <f>IF(ISBLANK(E10),0,ROUND(E10,2)*H10)</f>
        <v>0</v>
      </c>
      <c r="K10" s="37">
        <f>J10/12</f>
        <v>0</v>
      </c>
    </row>
    <row r="11" spans="1:11" x14ac:dyDescent="0.2">
      <c r="A11" s="25"/>
      <c r="B11" s="25"/>
      <c r="C11" s="99">
        <f>dagenperjaar1</f>
        <v>255</v>
      </c>
      <c r="D11" s="100" t="s">
        <v>781</v>
      </c>
      <c r="E11" s="29"/>
      <c r="F11" s="101"/>
      <c r="G11" s="27"/>
      <c r="H11" s="38">
        <f>IF(ISBLANK(G11),0,G11*C11)+IF(ISBLANK(F11),0,F11*objecturen1_1)</f>
        <v>0</v>
      </c>
      <c r="I11" s="38">
        <f>IF(C11=0,0,H11/C11)</f>
        <v>0</v>
      </c>
      <c r="J11" s="40">
        <f>IF(ISBLANK(E11),0,ROUND(E11,2)*H11)</f>
        <v>0</v>
      </c>
      <c r="K11" s="40">
        <f>J11/12</f>
        <v>0</v>
      </c>
    </row>
    <row r="12" spans="1:11" x14ac:dyDescent="0.2">
      <c r="A12" s="102" t="s">
        <v>782</v>
      </c>
      <c r="B12" s="43"/>
      <c r="C12" s="43"/>
      <c r="D12" s="43"/>
      <c r="E12" s="43"/>
      <c r="F12" s="43"/>
      <c r="G12" s="43"/>
      <c r="H12" s="44">
        <f>SUM(H8:H11)</f>
        <v>0</v>
      </c>
      <c r="I12" s="43"/>
      <c r="J12" s="45">
        <f>SUM(J8:J11)</f>
        <v>0</v>
      </c>
      <c r="K12" s="46">
        <f>SUM(K8:K11)</f>
        <v>0</v>
      </c>
    </row>
    <row r="13" spans="1:11" x14ac:dyDescent="0.2">
      <c r="A13" s="47"/>
      <c r="B13" s="43"/>
      <c r="C13" s="43"/>
      <c r="D13" s="43"/>
      <c r="E13" s="43"/>
      <c r="F13" s="43"/>
      <c r="G13" s="43"/>
      <c r="H13" s="43"/>
      <c r="I13" s="43"/>
      <c r="J13" s="43"/>
      <c r="K13" s="48"/>
    </row>
    <row r="14" spans="1:11" x14ac:dyDescent="0.2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1"/>
    </row>
    <row r="15" spans="1:11" x14ac:dyDescent="0.2">
      <c r="A15" s="91" t="s">
        <v>467</v>
      </c>
      <c r="B15" s="13"/>
      <c r="C15" s="13"/>
      <c r="D15" s="13"/>
      <c r="E15" s="13"/>
      <c r="F15" s="13"/>
      <c r="G15" s="13"/>
      <c r="H15" s="13"/>
      <c r="I15" s="13"/>
      <c r="J15" s="13"/>
      <c r="K15" s="14"/>
    </row>
    <row r="16" spans="1:11" x14ac:dyDescent="0.2">
      <c r="A16" s="15"/>
      <c r="B16" s="15"/>
      <c r="C16" s="92">
        <f>dagenperjaar1</f>
        <v>255</v>
      </c>
      <c r="D16" s="93" t="s">
        <v>780</v>
      </c>
      <c r="E16" s="19"/>
      <c r="F16" s="18"/>
      <c r="G16" s="94"/>
      <c r="H16" s="30">
        <f>IF(ISBLANK(G16),0,G16*C16)+IF(ISBLANK(F16),0,F16*objecturen2_1)</f>
        <v>0</v>
      </c>
      <c r="I16" s="30">
        <f>IF(C16=0,0,H16/C16)</f>
        <v>0</v>
      </c>
      <c r="J16" s="33">
        <f>IF(ISBLANK(E16),0,ROUND(E16,2)*H16)</f>
        <v>0</v>
      </c>
      <c r="K16" s="33">
        <f>J16/12</f>
        <v>0</v>
      </c>
    </row>
    <row r="17" spans="1:11" x14ac:dyDescent="0.2">
      <c r="A17" s="20"/>
      <c r="B17" s="20"/>
      <c r="C17" s="95">
        <f>dagenperjaar1</f>
        <v>255</v>
      </c>
      <c r="D17" s="96" t="s">
        <v>780</v>
      </c>
      <c r="E17" s="24"/>
      <c r="F17" s="23"/>
      <c r="G17" s="97"/>
      <c r="H17" s="34">
        <f>IF(ISBLANK(G17),0,G17*C17)+IF(ISBLANK(F17),0,F17*objecturen2_1)</f>
        <v>0</v>
      </c>
      <c r="I17" s="34">
        <f>IF(C17=0,0,H17/C17)</f>
        <v>0</v>
      </c>
      <c r="J17" s="37">
        <f>IF(ISBLANK(E17),0,ROUND(E17,2)*H17)</f>
        <v>0</v>
      </c>
      <c r="K17" s="37">
        <f>J17/12</f>
        <v>0</v>
      </c>
    </row>
    <row r="18" spans="1:11" x14ac:dyDescent="0.2">
      <c r="A18" s="20"/>
      <c r="B18" s="20"/>
      <c r="C18" s="95">
        <f>dagenperjaar1</f>
        <v>255</v>
      </c>
      <c r="D18" s="96" t="s">
        <v>781</v>
      </c>
      <c r="E18" s="24"/>
      <c r="F18" s="98"/>
      <c r="G18" s="22"/>
      <c r="H18" s="34">
        <f>IF(ISBLANK(G18),0,G18*C18)+IF(ISBLANK(F18),0,F18*objecturen2_1)</f>
        <v>0</v>
      </c>
      <c r="I18" s="34">
        <f>IF(C18=0,0,H18/C18)</f>
        <v>0</v>
      </c>
      <c r="J18" s="37">
        <f>IF(ISBLANK(E18),0,ROUND(E18,2)*H18)</f>
        <v>0</v>
      </c>
      <c r="K18" s="37">
        <f>J18/12</f>
        <v>0</v>
      </c>
    </row>
    <row r="19" spans="1:11" x14ac:dyDescent="0.2">
      <c r="A19" s="25"/>
      <c r="B19" s="25"/>
      <c r="C19" s="99">
        <f>dagenperjaar1</f>
        <v>255</v>
      </c>
      <c r="D19" s="100" t="s">
        <v>781</v>
      </c>
      <c r="E19" s="29"/>
      <c r="F19" s="101"/>
      <c r="G19" s="27"/>
      <c r="H19" s="38">
        <f>IF(ISBLANK(G19),0,G19*C19)+IF(ISBLANK(F19),0,F19*objecturen2_1)</f>
        <v>0</v>
      </c>
      <c r="I19" s="38">
        <f>IF(C19=0,0,H19/C19)</f>
        <v>0</v>
      </c>
      <c r="J19" s="40">
        <f>IF(ISBLANK(E19),0,ROUND(E19,2)*H19)</f>
        <v>0</v>
      </c>
      <c r="K19" s="40">
        <f>J19/12</f>
        <v>0</v>
      </c>
    </row>
    <row r="20" spans="1:11" x14ac:dyDescent="0.2">
      <c r="A20" s="102" t="s">
        <v>783</v>
      </c>
      <c r="B20" s="43"/>
      <c r="C20" s="43"/>
      <c r="D20" s="43"/>
      <c r="E20" s="43"/>
      <c r="F20" s="43"/>
      <c r="G20" s="43"/>
      <c r="H20" s="44">
        <f>SUM(H16:H19)</f>
        <v>0</v>
      </c>
      <c r="I20" s="43"/>
      <c r="J20" s="45">
        <f>SUM(J16:J19)</f>
        <v>0</v>
      </c>
      <c r="K20" s="46">
        <f>SUM(K16:K19)</f>
        <v>0</v>
      </c>
    </row>
    <row r="21" spans="1:11" x14ac:dyDescent="0.2">
      <c r="A21" s="47"/>
      <c r="B21" s="43"/>
      <c r="C21" s="43"/>
      <c r="D21" s="43"/>
      <c r="E21" s="43"/>
      <c r="F21" s="43"/>
      <c r="G21" s="43"/>
      <c r="H21" s="43"/>
      <c r="I21" s="43"/>
      <c r="J21" s="43"/>
      <c r="K21" s="48"/>
    </row>
    <row r="22" spans="1:11" x14ac:dyDescent="0.2">
      <c r="A22" s="9"/>
      <c r="B22" s="10"/>
      <c r="C22" s="10"/>
      <c r="D22" s="10"/>
      <c r="E22" s="10"/>
      <c r="F22" s="10"/>
      <c r="G22" s="10"/>
      <c r="H22" s="10"/>
      <c r="I22" s="10"/>
      <c r="J22" s="10"/>
      <c r="K22" s="11"/>
    </row>
    <row r="23" spans="1:11" x14ac:dyDescent="0.2">
      <c r="A23" s="91" t="s">
        <v>581</v>
      </c>
      <c r="B23" s="13"/>
      <c r="C23" s="13"/>
      <c r="D23" s="13"/>
      <c r="E23" s="13"/>
      <c r="F23" s="13"/>
      <c r="G23" s="13"/>
      <c r="H23" s="13"/>
      <c r="I23" s="13"/>
      <c r="J23" s="13"/>
      <c r="K23" s="14"/>
    </row>
    <row r="24" spans="1:11" x14ac:dyDescent="0.2">
      <c r="A24" s="15"/>
      <c r="B24" s="15"/>
      <c r="C24" s="92">
        <f>dagenperjaar1</f>
        <v>255</v>
      </c>
      <c r="D24" s="93" t="s">
        <v>780</v>
      </c>
      <c r="E24" s="19"/>
      <c r="F24" s="18"/>
      <c r="G24" s="94"/>
      <c r="H24" s="30">
        <f>IF(ISBLANK(G24),0,G24*C24)+IF(ISBLANK(F24),0,F24*objecturen3_1)</f>
        <v>0</v>
      </c>
      <c r="I24" s="30">
        <f>IF(C24=0,0,H24/C24)</f>
        <v>0</v>
      </c>
      <c r="J24" s="33">
        <f>IF(ISBLANK(E24),0,ROUND(E24,2)*H24)</f>
        <v>0</v>
      </c>
      <c r="K24" s="33">
        <f>J24/12</f>
        <v>0</v>
      </c>
    </row>
    <row r="25" spans="1:11" x14ac:dyDescent="0.2">
      <c r="A25" s="20"/>
      <c r="B25" s="20"/>
      <c r="C25" s="95">
        <f>dagenperjaar1</f>
        <v>255</v>
      </c>
      <c r="D25" s="96" t="s">
        <v>780</v>
      </c>
      <c r="E25" s="24"/>
      <c r="F25" s="23"/>
      <c r="G25" s="97"/>
      <c r="H25" s="34">
        <f>IF(ISBLANK(G25),0,G25*C25)+IF(ISBLANK(F25),0,F25*objecturen3_1)</f>
        <v>0</v>
      </c>
      <c r="I25" s="34">
        <f>IF(C25=0,0,H25/C25)</f>
        <v>0</v>
      </c>
      <c r="J25" s="37">
        <f>IF(ISBLANK(E25),0,ROUND(E25,2)*H25)</f>
        <v>0</v>
      </c>
      <c r="K25" s="37">
        <f>J25/12</f>
        <v>0</v>
      </c>
    </row>
    <row r="26" spans="1:11" x14ac:dyDescent="0.2">
      <c r="A26" s="20"/>
      <c r="B26" s="20"/>
      <c r="C26" s="95">
        <f>dagenperjaar1</f>
        <v>255</v>
      </c>
      <c r="D26" s="96" t="s">
        <v>781</v>
      </c>
      <c r="E26" s="24"/>
      <c r="F26" s="98"/>
      <c r="G26" s="22"/>
      <c r="H26" s="34">
        <f>IF(ISBLANK(G26),0,G26*C26)+IF(ISBLANK(F26),0,F26*objecturen3_1)</f>
        <v>0</v>
      </c>
      <c r="I26" s="34">
        <f>IF(C26=0,0,H26/C26)</f>
        <v>0</v>
      </c>
      <c r="J26" s="37">
        <f>IF(ISBLANK(E26),0,ROUND(E26,2)*H26)</f>
        <v>0</v>
      </c>
      <c r="K26" s="37">
        <f>J26/12</f>
        <v>0</v>
      </c>
    </row>
    <row r="27" spans="1:11" x14ac:dyDescent="0.2">
      <c r="A27" s="25"/>
      <c r="B27" s="25"/>
      <c r="C27" s="99">
        <f>dagenperjaar1</f>
        <v>255</v>
      </c>
      <c r="D27" s="100" t="s">
        <v>781</v>
      </c>
      <c r="E27" s="29"/>
      <c r="F27" s="101"/>
      <c r="G27" s="27"/>
      <c r="H27" s="38">
        <f>IF(ISBLANK(G27),0,G27*C27)+IF(ISBLANK(F27),0,F27*objecturen3_1)</f>
        <v>0</v>
      </c>
      <c r="I27" s="38">
        <f>IF(C27=0,0,H27/C27)</f>
        <v>0</v>
      </c>
      <c r="J27" s="40">
        <f>IF(ISBLANK(E27),0,ROUND(E27,2)*H27)</f>
        <v>0</v>
      </c>
      <c r="K27" s="40">
        <f>J27/12</f>
        <v>0</v>
      </c>
    </row>
    <row r="28" spans="1:11" x14ac:dyDescent="0.2">
      <c r="A28" s="102" t="s">
        <v>784</v>
      </c>
      <c r="B28" s="43"/>
      <c r="C28" s="43"/>
      <c r="D28" s="43"/>
      <c r="E28" s="43"/>
      <c r="F28" s="43"/>
      <c r="G28" s="43"/>
      <c r="H28" s="44">
        <f>SUM(H24:H27)</f>
        <v>0</v>
      </c>
      <c r="I28" s="43"/>
      <c r="J28" s="45">
        <f>SUM(J24:J27)</f>
        <v>0</v>
      </c>
      <c r="K28" s="46">
        <f>SUM(K24:K27)</f>
        <v>0</v>
      </c>
    </row>
    <row r="29" spans="1:11" x14ac:dyDescent="0.2">
      <c r="A29" s="47"/>
      <c r="B29" s="43"/>
      <c r="C29" s="43"/>
      <c r="D29" s="43"/>
      <c r="E29" s="43"/>
      <c r="F29" s="43"/>
      <c r="G29" s="43"/>
      <c r="H29" s="43"/>
      <c r="I29" s="43"/>
      <c r="J29" s="43"/>
      <c r="K29" s="48"/>
    </row>
    <row r="30" spans="1:11" x14ac:dyDescent="0.2">
      <c r="A30" s="42" t="s">
        <v>276</v>
      </c>
      <c r="B30" s="43"/>
      <c r="C30" s="43"/>
      <c r="D30" s="43"/>
      <c r="E30" s="43"/>
      <c r="F30" s="43"/>
      <c r="G30" s="43"/>
      <c r="H30" s="44">
        <f>tzujt1_1+tzujt2_1+tzujt3_1</f>
        <v>0</v>
      </c>
      <c r="I30" s="43"/>
      <c r="J30" s="45">
        <f>tzpjt1_1+tzpjt2_1+tzpjt3_1</f>
        <v>0</v>
      </c>
      <c r="K30" s="46">
        <f>tzpmt1_1+tzpmt2_1+tzpmt3_1</f>
        <v>0</v>
      </c>
    </row>
    <row r="31" spans="1:11" x14ac:dyDescent="0.2">
      <c r="A31" s="47"/>
      <c r="B31" s="43"/>
      <c r="C31" s="43"/>
      <c r="D31" s="43"/>
      <c r="E31" s="43"/>
      <c r="F31" s="43"/>
      <c r="G31" s="43"/>
      <c r="H31" s="43"/>
      <c r="I31" s="43"/>
      <c r="J31" s="43"/>
      <c r="K31" s="48"/>
    </row>
    <row r="33" spans="1:11" x14ac:dyDescent="0.2">
      <c r="A33" s="42" t="s">
        <v>785</v>
      </c>
      <c r="B33" s="43"/>
      <c r="C33" s="43"/>
      <c r="D33" s="43"/>
      <c r="E33" s="43"/>
      <c r="F33" s="43"/>
      <c r="G33" s="43"/>
      <c r="H33" s="44">
        <f>tzujt1</f>
        <v>0</v>
      </c>
      <c r="I33" s="43"/>
      <c r="J33" s="45">
        <f>tzpjt1</f>
        <v>0</v>
      </c>
      <c r="K33" s="45">
        <f>tzpmt1</f>
        <v>0</v>
      </c>
    </row>
    <row r="35" spans="1:11" x14ac:dyDescent="0.2">
      <c r="A35" s="42" t="s">
        <v>786</v>
      </c>
      <c r="B35" s="43"/>
      <c r="C35" s="43"/>
      <c r="D35" s="43"/>
      <c r="E35" s="43"/>
      <c r="F35" s="43"/>
      <c r="G35" s="43"/>
      <c r="H35" s="43"/>
      <c r="I35" s="43"/>
      <c r="J35" s="45">
        <f>J33*1.21</f>
        <v>0</v>
      </c>
      <c r="K35" s="45">
        <f>K33*1.21</f>
        <v>0</v>
      </c>
    </row>
  </sheetData>
  <pageMargins left="0.7" right="0.7" top="0.75" bottom="0.75" header="0.3" footer="0.3"/>
  <pageSetup paperSize="9" scale="65" orientation="landscape" horizontalDpi="150" verticalDpi="0" r:id="rId1"/>
  <headerFooter>
    <oddFooter>&amp;LOns Middelbaar Onderwijs optimalisatie                      
CONCEPT PER 01-03-2021&amp;ROpmaakdatum: 18-03-2021
Intexso - De Start 5 - Leusden
+31 (33) 2778485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B86E8-2587-458F-81C7-F1AEBE35EB5E}">
  <dimension ref="A1:E21"/>
  <sheetViews>
    <sheetView workbookViewId="0"/>
  </sheetViews>
  <sheetFormatPr defaultRowHeight="12.6" x14ac:dyDescent="0.2"/>
  <cols>
    <col min="1" max="1" width="25.6328125" customWidth="1"/>
    <col min="2" max="5" width="20.6328125" customWidth="1"/>
  </cols>
  <sheetData>
    <row r="1" spans="1:5" x14ac:dyDescent="0.2">
      <c r="A1" s="1" t="str">
        <f>CONCATENATE("Bijlage G6.6: ",tabeltype," totaalblad objecten")</f>
        <v>Bijlage G6.6: Invultabel totaalblad objecten</v>
      </c>
    </row>
    <row r="3" spans="1:5" x14ac:dyDescent="0.2">
      <c r="A3" s="103" t="s">
        <v>787</v>
      </c>
      <c r="B3" s="107" t="s">
        <v>803</v>
      </c>
      <c r="C3" s="107" t="s">
        <v>290</v>
      </c>
      <c r="D3" s="107" t="s">
        <v>468</v>
      </c>
      <c r="E3" s="107" t="s">
        <v>582</v>
      </c>
    </row>
    <row r="4" spans="1:5" x14ac:dyDescent="0.2">
      <c r="A4" s="104" t="s">
        <v>788</v>
      </c>
      <c r="B4" s="109"/>
      <c r="C4" s="108" t="s">
        <v>291</v>
      </c>
      <c r="D4" s="108" t="s">
        <v>291</v>
      </c>
      <c r="E4" s="108" t="s">
        <v>291</v>
      </c>
    </row>
    <row r="5" spans="1:5" x14ac:dyDescent="0.2">
      <c r="A5" s="104" t="s">
        <v>789</v>
      </c>
      <c r="B5" s="109"/>
      <c r="C5" s="108" t="s">
        <v>761</v>
      </c>
      <c r="D5" s="108" t="s">
        <v>764</v>
      </c>
      <c r="E5" s="108" t="s">
        <v>767</v>
      </c>
    </row>
    <row r="6" spans="1:5" x14ac:dyDescent="0.2">
      <c r="A6" s="104" t="s">
        <v>790</v>
      </c>
      <c r="B6" s="109"/>
      <c r="C6" s="108" t="s">
        <v>762</v>
      </c>
      <c r="D6" s="108" t="s">
        <v>765</v>
      </c>
      <c r="E6" s="108" t="s">
        <v>768</v>
      </c>
    </row>
    <row r="7" spans="1:5" x14ac:dyDescent="0.2">
      <c r="A7" s="104" t="s">
        <v>791</v>
      </c>
      <c r="B7" s="109"/>
      <c r="C7" s="108" t="s">
        <v>763</v>
      </c>
      <c r="D7" s="108" t="s">
        <v>766</v>
      </c>
      <c r="E7" s="108" t="s">
        <v>766</v>
      </c>
    </row>
    <row r="8" spans="1:5" x14ac:dyDescent="0.2">
      <c r="A8" s="104" t="s">
        <v>792</v>
      </c>
      <c r="B8" s="97">
        <f>SUM(C8:E8)</f>
        <v>17647.950000000004</v>
      </c>
      <c r="C8" s="97">
        <v>5966</v>
      </c>
      <c r="D8" s="97">
        <v>4612.5600000000004</v>
      </c>
      <c r="E8" s="97">
        <v>7069.3900000000021</v>
      </c>
    </row>
    <row r="9" spans="1:5" x14ac:dyDescent="0.2">
      <c r="A9" s="104" t="s">
        <v>291</v>
      </c>
      <c r="B9" s="109"/>
      <c r="C9" s="109"/>
      <c r="D9" s="109"/>
      <c r="E9" s="109"/>
    </row>
    <row r="10" spans="1:5" x14ac:dyDescent="0.2">
      <c r="A10" s="104" t="s">
        <v>793</v>
      </c>
      <c r="B10" s="34">
        <f>SUM(C10:E10)</f>
        <v>0</v>
      </c>
      <c r="C10" s="97">
        <f>objecturenhf1_1</f>
        <v>0</v>
      </c>
      <c r="D10" s="97">
        <f>objecturenhf2_1</f>
        <v>0</v>
      </c>
      <c r="E10" s="97">
        <f>objecturenhf3_1</f>
        <v>0</v>
      </c>
    </row>
    <row r="11" spans="1:5" x14ac:dyDescent="0.2">
      <c r="A11" s="104" t="s">
        <v>794</v>
      </c>
      <c r="B11" s="34">
        <f>SUM(C11:E11)</f>
        <v>0</v>
      </c>
      <c r="C11" s="34">
        <f>objecturen1_1</f>
        <v>0</v>
      </c>
      <c r="D11" s="34">
        <f>objecturen2_1</f>
        <v>0</v>
      </c>
      <c r="E11" s="34">
        <f>objecturen3_1</f>
        <v>0</v>
      </c>
    </row>
    <row r="12" spans="1:5" ht="25.2" x14ac:dyDescent="0.2">
      <c r="A12" s="104" t="s">
        <v>795</v>
      </c>
      <c r="B12" s="34">
        <f>IF(AND(urenjaartotaal1&gt;0,dagenperjaar1&gt;0),B8/(urenjaartotaal1/dagenperjaar1),0)</f>
        <v>0</v>
      </c>
      <c r="C12" s="34">
        <f>IF(AND(objecturen1_1&gt;0,dagenperjaar1&gt;0),C8/(objecturen1_1/dagenperjaar1),0)</f>
        <v>0</v>
      </c>
      <c r="D12" s="34">
        <f>IF(AND(objecturen2_1&gt;0,dagenperjaar1&gt;0),D8/(objecturen2_1/dagenperjaar1),0)</f>
        <v>0</v>
      </c>
      <c r="E12" s="34">
        <f>IF(AND(objecturen3_1&gt;0,dagenperjaar1&gt;0),E8/(objecturen3_1/dagenperjaar1),0)</f>
        <v>0</v>
      </c>
    </row>
    <row r="13" spans="1:5" x14ac:dyDescent="0.2">
      <c r="A13" s="104" t="s">
        <v>796</v>
      </c>
      <c r="B13" s="37">
        <f>SUM(C13:E13)</f>
        <v>0</v>
      </c>
      <c r="C13" s="37">
        <f>objectprijs1_1</f>
        <v>0</v>
      </c>
      <c r="D13" s="37">
        <f>objectprijs2_1</f>
        <v>0</v>
      </c>
      <c r="E13" s="37">
        <f>objectprijs3_1</f>
        <v>0</v>
      </c>
    </row>
    <row r="14" spans="1:5" x14ac:dyDescent="0.2">
      <c r="A14" s="104" t="s">
        <v>797</v>
      </c>
      <c r="B14" s="34">
        <f>SUM(C14:E14)</f>
        <v>0</v>
      </c>
      <c r="C14" s="34">
        <f>tzujt1_1</f>
        <v>0</v>
      </c>
      <c r="D14" s="34">
        <f>tzujt2_1</f>
        <v>0</v>
      </c>
      <c r="E14" s="34">
        <f>tzujt3_1</f>
        <v>0</v>
      </c>
    </row>
    <row r="15" spans="1:5" x14ac:dyDescent="0.2">
      <c r="A15" s="104" t="s">
        <v>798</v>
      </c>
      <c r="B15" s="37">
        <f>SUM(C15:E15)</f>
        <v>0</v>
      </c>
      <c r="C15" s="37">
        <f>tzpjt1_1</f>
        <v>0</v>
      </c>
      <c r="D15" s="37">
        <f>tzpjt2_1</f>
        <v>0</v>
      </c>
      <c r="E15" s="37">
        <f>tzpjt3_1</f>
        <v>0</v>
      </c>
    </row>
    <row r="16" spans="1:5" x14ac:dyDescent="0.2">
      <c r="A16" s="104" t="s">
        <v>799</v>
      </c>
      <c r="B16" s="37">
        <f>SUM(C16:E16)</f>
        <v>0</v>
      </c>
      <c r="C16" s="37">
        <f>C13+C15</f>
        <v>0</v>
      </c>
      <c r="D16" s="37">
        <f>D13+D15</f>
        <v>0</v>
      </c>
      <c r="E16" s="37">
        <f>E13+E15</f>
        <v>0</v>
      </c>
    </row>
    <row r="17" spans="1:5" x14ac:dyDescent="0.2">
      <c r="A17" s="104" t="s">
        <v>800</v>
      </c>
      <c r="B17" s="37">
        <f>SUM(C17:E17)</f>
        <v>0</v>
      </c>
      <c r="C17" s="37">
        <f>C16/12</f>
        <v>0</v>
      </c>
      <c r="D17" s="37">
        <f>D16/12</f>
        <v>0</v>
      </c>
      <c r="E17" s="37">
        <f>E16/12</f>
        <v>0</v>
      </c>
    </row>
    <row r="18" spans="1:5" x14ac:dyDescent="0.2">
      <c r="A18" s="104" t="s">
        <v>801</v>
      </c>
      <c r="B18" s="37">
        <f>SUM(C18:E18)</f>
        <v>0</v>
      </c>
      <c r="C18" s="37">
        <f>C17*1.21</f>
        <v>0</v>
      </c>
      <c r="D18" s="37">
        <f>D17*1.21</f>
        <v>0</v>
      </c>
      <c r="E18" s="37">
        <f>E17*1.21</f>
        <v>0</v>
      </c>
    </row>
    <row r="19" spans="1:5" x14ac:dyDescent="0.2">
      <c r="A19" s="104" t="s">
        <v>291</v>
      </c>
      <c r="B19" s="109"/>
      <c r="C19" s="109"/>
      <c r="D19" s="109"/>
      <c r="E19" s="109"/>
    </row>
    <row r="20" spans="1:5" x14ac:dyDescent="0.2">
      <c r="A20" s="104" t="s">
        <v>291</v>
      </c>
      <c r="B20" s="109"/>
      <c r="C20" s="109"/>
      <c r="D20" s="109"/>
      <c r="E20" s="109"/>
    </row>
    <row r="21" spans="1:5" x14ac:dyDescent="0.2">
      <c r="A21" s="105" t="s">
        <v>802</v>
      </c>
      <c r="B21" s="40">
        <f>IF(B8&gt;0,B16/B8,0)</f>
        <v>0</v>
      </c>
      <c r="C21" s="40">
        <f>IF(C8&gt;0,C16/C8,0)</f>
        <v>0</v>
      </c>
      <c r="D21" s="40">
        <f>IF(D8&gt;0,D16/D8,0)</f>
        <v>0</v>
      </c>
      <c r="E21" s="40">
        <f>IF(E8&gt;0,E16/E8,0)</f>
        <v>0</v>
      </c>
    </row>
  </sheetData>
  <pageMargins left="0.7" right="0.7" top="0.75" bottom="0.75" header="0.3" footer="0.3"/>
  <pageSetup paperSize="9" scale="65" orientation="landscape" horizontalDpi="150" verticalDpi="0" r:id="rId1"/>
  <headerFooter>
    <oddFooter>&amp;LOns Middelbaar Onderwijs optimalisatie                      
CONCEPT PER 01-03-2021&amp;ROpmaakdatum: 18-03-2021
Intexso - De Start 5 - Leusden
+31 (33) 2778485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CA405-04EB-4E86-B48A-F1A6F9640DF7}">
  <dimension ref="A1:E74"/>
  <sheetViews>
    <sheetView workbookViewId="0"/>
  </sheetViews>
  <sheetFormatPr defaultRowHeight="12.6" x14ac:dyDescent="0.2"/>
  <cols>
    <col min="1" max="1" width="7.6328125" customWidth="1"/>
    <col min="2" max="2" width="40.6328125" customWidth="1"/>
    <col min="3" max="3" width="18.6328125" customWidth="1"/>
    <col min="4" max="4" width="20.6328125" customWidth="1"/>
    <col min="5" max="5" width="15.6328125" customWidth="1"/>
  </cols>
  <sheetData>
    <row r="1" spans="1:5" x14ac:dyDescent="0.2">
      <c r="A1" s="1" t="str">
        <f>CONCATENATE("Bijlage G6.7: ",tabeltype," afroep incidenteel")</f>
        <v>Bijlage G6.7: Invultabel afroep incidenteel</v>
      </c>
    </row>
    <row r="3" spans="1:5" ht="37.799999999999997" x14ac:dyDescent="0.2">
      <c r="A3" s="8" t="s">
        <v>804</v>
      </c>
      <c r="B3" s="8" t="s">
        <v>32</v>
      </c>
      <c r="C3" s="8" t="s">
        <v>35</v>
      </c>
      <c r="D3" s="8" t="s">
        <v>805</v>
      </c>
      <c r="E3" s="8" t="s">
        <v>806</v>
      </c>
    </row>
    <row r="4" spans="1:5" x14ac:dyDescent="0.2">
      <c r="A4" s="9"/>
      <c r="B4" s="10"/>
      <c r="C4" s="10"/>
      <c r="D4" s="10"/>
      <c r="E4" s="11"/>
    </row>
    <row r="5" spans="1:5" x14ac:dyDescent="0.2">
      <c r="A5" s="12" t="s">
        <v>37</v>
      </c>
      <c r="B5" s="13"/>
      <c r="C5" s="13"/>
      <c r="D5" s="13"/>
      <c r="E5" s="14"/>
    </row>
    <row r="6" spans="1:5" x14ac:dyDescent="0.2">
      <c r="A6" s="15" t="s">
        <v>807</v>
      </c>
      <c r="B6" s="15" t="s">
        <v>808</v>
      </c>
      <c r="C6" s="15" t="s">
        <v>809</v>
      </c>
      <c r="D6" s="15" t="s">
        <v>810</v>
      </c>
      <c r="E6" s="19"/>
    </row>
    <row r="7" spans="1:5" x14ac:dyDescent="0.2">
      <c r="A7" s="20" t="s">
        <v>811</v>
      </c>
      <c r="B7" s="20" t="s">
        <v>808</v>
      </c>
      <c r="C7" s="20" t="s">
        <v>809</v>
      </c>
      <c r="D7" s="20" t="s">
        <v>812</v>
      </c>
      <c r="E7" s="24"/>
    </row>
    <row r="8" spans="1:5" x14ac:dyDescent="0.2">
      <c r="A8" s="20" t="s">
        <v>813</v>
      </c>
      <c r="B8" s="20" t="s">
        <v>808</v>
      </c>
      <c r="C8" s="20" t="s">
        <v>809</v>
      </c>
      <c r="D8" s="20" t="s">
        <v>814</v>
      </c>
      <c r="E8" s="24"/>
    </row>
    <row r="9" spans="1:5" x14ac:dyDescent="0.2">
      <c r="A9" s="20" t="s">
        <v>815</v>
      </c>
      <c r="B9" s="20" t="s">
        <v>808</v>
      </c>
      <c r="C9" s="20" t="s">
        <v>809</v>
      </c>
      <c r="D9" s="20" t="s">
        <v>816</v>
      </c>
      <c r="E9" s="24"/>
    </row>
    <row r="10" spans="1:5" x14ac:dyDescent="0.2">
      <c r="A10" s="20" t="s">
        <v>817</v>
      </c>
      <c r="B10" s="20" t="s">
        <v>818</v>
      </c>
      <c r="C10" s="20" t="s">
        <v>809</v>
      </c>
      <c r="D10" s="20" t="s">
        <v>810</v>
      </c>
      <c r="E10" s="24"/>
    </row>
    <row r="11" spans="1:5" x14ac:dyDescent="0.2">
      <c r="A11" s="20" t="s">
        <v>819</v>
      </c>
      <c r="B11" s="20" t="s">
        <v>818</v>
      </c>
      <c r="C11" s="20" t="s">
        <v>809</v>
      </c>
      <c r="D11" s="20" t="s">
        <v>812</v>
      </c>
      <c r="E11" s="24"/>
    </row>
    <row r="12" spans="1:5" x14ac:dyDescent="0.2">
      <c r="A12" s="20" t="s">
        <v>820</v>
      </c>
      <c r="B12" s="20" t="s">
        <v>818</v>
      </c>
      <c r="C12" s="20" t="s">
        <v>809</v>
      </c>
      <c r="D12" s="20" t="s">
        <v>814</v>
      </c>
      <c r="E12" s="24"/>
    </row>
    <row r="13" spans="1:5" x14ac:dyDescent="0.2">
      <c r="A13" s="20" t="s">
        <v>821</v>
      </c>
      <c r="B13" s="20" t="s">
        <v>818</v>
      </c>
      <c r="C13" s="20" t="s">
        <v>809</v>
      </c>
      <c r="D13" s="20" t="s">
        <v>816</v>
      </c>
      <c r="E13" s="24"/>
    </row>
    <row r="14" spans="1:5" x14ac:dyDescent="0.2">
      <c r="A14" s="20" t="s">
        <v>822</v>
      </c>
      <c r="B14" s="20" t="s">
        <v>823</v>
      </c>
      <c r="C14" s="20" t="s">
        <v>809</v>
      </c>
      <c r="D14" s="20" t="s">
        <v>810</v>
      </c>
      <c r="E14" s="24"/>
    </row>
    <row r="15" spans="1:5" x14ac:dyDescent="0.2">
      <c r="A15" s="20" t="s">
        <v>824</v>
      </c>
      <c r="B15" s="20" t="s">
        <v>823</v>
      </c>
      <c r="C15" s="20" t="s">
        <v>809</v>
      </c>
      <c r="D15" s="20" t="s">
        <v>812</v>
      </c>
      <c r="E15" s="24"/>
    </row>
    <row r="16" spans="1:5" x14ac:dyDescent="0.2">
      <c r="A16" s="20" t="s">
        <v>825</v>
      </c>
      <c r="B16" s="20" t="s">
        <v>823</v>
      </c>
      <c r="C16" s="20" t="s">
        <v>809</v>
      </c>
      <c r="D16" s="20" t="s">
        <v>814</v>
      </c>
      <c r="E16" s="24"/>
    </row>
    <row r="17" spans="1:5" x14ac:dyDescent="0.2">
      <c r="A17" s="20" t="s">
        <v>826</v>
      </c>
      <c r="B17" s="20" t="s">
        <v>823</v>
      </c>
      <c r="C17" s="20" t="s">
        <v>809</v>
      </c>
      <c r="D17" s="20" t="s">
        <v>816</v>
      </c>
      <c r="E17" s="24"/>
    </row>
    <row r="18" spans="1:5" x14ac:dyDescent="0.2">
      <c r="A18" s="20" t="s">
        <v>827</v>
      </c>
      <c r="B18" s="20" t="s">
        <v>828</v>
      </c>
      <c r="C18" s="20" t="s">
        <v>809</v>
      </c>
      <c r="D18" s="20" t="s">
        <v>810</v>
      </c>
      <c r="E18" s="24"/>
    </row>
    <row r="19" spans="1:5" x14ac:dyDescent="0.2">
      <c r="A19" s="20" t="s">
        <v>829</v>
      </c>
      <c r="B19" s="20" t="s">
        <v>828</v>
      </c>
      <c r="C19" s="20" t="s">
        <v>809</v>
      </c>
      <c r="D19" s="20" t="s">
        <v>812</v>
      </c>
      <c r="E19" s="24"/>
    </row>
    <row r="20" spans="1:5" x14ac:dyDescent="0.2">
      <c r="A20" s="20" t="s">
        <v>830</v>
      </c>
      <c r="B20" s="20" t="s">
        <v>828</v>
      </c>
      <c r="C20" s="20" t="s">
        <v>809</v>
      </c>
      <c r="D20" s="20" t="s">
        <v>814</v>
      </c>
      <c r="E20" s="24"/>
    </row>
    <row r="21" spans="1:5" x14ac:dyDescent="0.2">
      <c r="A21" s="20" t="s">
        <v>831</v>
      </c>
      <c r="B21" s="20" t="s">
        <v>828</v>
      </c>
      <c r="C21" s="20" t="s">
        <v>809</v>
      </c>
      <c r="D21" s="20" t="s">
        <v>816</v>
      </c>
      <c r="E21" s="24"/>
    </row>
    <row r="22" spans="1:5" x14ac:dyDescent="0.2">
      <c r="A22" s="20" t="s">
        <v>832</v>
      </c>
      <c r="B22" s="20" t="s">
        <v>833</v>
      </c>
      <c r="C22" s="20" t="s">
        <v>834</v>
      </c>
      <c r="D22" s="20" t="s">
        <v>835</v>
      </c>
      <c r="E22" s="24"/>
    </row>
    <row r="23" spans="1:5" x14ac:dyDescent="0.2">
      <c r="A23" s="20" t="s">
        <v>836</v>
      </c>
      <c r="B23" s="20" t="s">
        <v>833</v>
      </c>
      <c r="C23" s="20" t="s">
        <v>834</v>
      </c>
      <c r="D23" s="20" t="s">
        <v>837</v>
      </c>
      <c r="E23" s="24"/>
    </row>
    <row r="24" spans="1:5" x14ac:dyDescent="0.2">
      <c r="A24" s="20" t="s">
        <v>838</v>
      </c>
      <c r="B24" s="20" t="s">
        <v>833</v>
      </c>
      <c r="C24" s="20" t="s">
        <v>834</v>
      </c>
      <c r="D24" s="20" t="s">
        <v>839</v>
      </c>
      <c r="E24" s="24"/>
    </row>
    <row r="25" spans="1:5" x14ac:dyDescent="0.2">
      <c r="A25" s="20" t="s">
        <v>840</v>
      </c>
      <c r="B25" s="20" t="s">
        <v>833</v>
      </c>
      <c r="C25" s="20" t="s">
        <v>834</v>
      </c>
      <c r="D25" s="20" t="s">
        <v>841</v>
      </c>
      <c r="E25" s="24"/>
    </row>
    <row r="26" spans="1:5" x14ac:dyDescent="0.2">
      <c r="A26" s="20" t="s">
        <v>842</v>
      </c>
      <c r="B26" s="20" t="s">
        <v>843</v>
      </c>
      <c r="C26" s="20" t="s">
        <v>834</v>
      </c>
      <c r="D26" s="20" t="s">
        <v>835</v>
      </c>
      <c r="E26" s="24"/>
    </row>
    <row r="27" spans="1:5" x14ac:dyDescent="0.2">
      <c r="A27" s="20" t="s">
        <v>844</v>
      </c>
      <c r="B27" s="20" t="s">
        <v>843</v>
      </c>
      <c r="C27" s="20" t="s">
        <v>834</v>
      </c>
      <c r="D27" s="20" t="s">
        <v>837</v>
      </c>
      <c r="E27" s="24"/>
    </row>
    <row r="28" spans="1:5" x14ac:dyDescent="0.2">
      <c r="A28" s="20" t="s">
        <v>845</v>
      </c>
      <c r="B28" s="20" t="s">
        <v>843</v>
      </c>
      <c r="C28" s="20" t="s">
        <v>834</v>
      </c>
      <c r="D28" s="20" t="s">
        <v>839</v>
      </c>
      <c r="E28" s="24"/>
    </row>
    <row r="29" spans="1:5" x14ac:dyDescent="0.2">
      <c r="A29" s="20" t="s">
        <v>846</v>
      </c>
      <c r="B29" s="20" t="s">
        <v>843</v>
      </c>
      <c r="C29" s="20" t="s">
        <v>834</v>
      </c>
      <c r="D29" s="20" t="s">
        <v>841</v>
      </c>
      <c r="E29" s="24"/>
    </row>
    <row r="30" spans="1:5" x14ac:dyDescent="0.2">
      <c r="A30" s="20" t="s">
        <v>847</v>
      </c>
      <c r="B30" s="20" t="s">
        <v>848</v>
      </c>
      <c r="C30" s="20" t="s">
        <v>834</v>
      </c>
      <c r="D30" s="20" t="s">
        <v>835</v>
      </c>
      <c r="E30" s="24"/>
    </row>
    <row r="31" spans="1:5" x14ac:dyDescent="0.2">
      <c r="A31" s="20" t="s">
        <v>849</v>
      </c>
      <c r="B31" s="20" t="s">
        <v>848</v>
      </c>
      <c r="C31" s="20" t="s">
        <v>834</v>
      </c>
      <c r="D31" s="20" t="s">
        <v>837</v>
      </c>
      <c r="E31" s="24"/>
    </row>
    <row r="32" spans="1:5" x14ac:dyDescent="0.2">
      <c r="A32" s="20" t="s">
        <v>850</v>
      </c>
      <c r="B32" s="20" t="s">
        <v>848</v>
      </c>
      <c r="C32" s="20" t="s">
        <v>834</v>
      </c>
      <c r="D32" s="20" t="s">
        <v>839</v>
      </c>
      <c r="E32" s="24"/>
    </row>
    <row r="33" spans="1:5" x14ac:dyDescent="0.2">
      <c r="A33" s="20" t="s">
        <v>851</v>
      </c>
      <c r="B33" s="20" t="s">
        <v>848</v>
      </c>
      <c r="C33" s="20" t="s">
        <v>834</v>
      </c>
      <c r="D33" s="20" t="s">
        <v>841</v>
      </c>
      <c r="E33" s="24"/>
    </row>
    <row r="34" spans="1:5" x14ac:dyDescent="0.2">
      <c r="A34" s="20" t="s">
        <v>852</v>
      </c>
      <c r="B34" s="20" t="s">
        <v>853</v>
      </c>
      <c r="C34" s="20" t="s">
        <v>834</v>
      </c>
      <c r="D34" s="20" t="s">
        <v>291</v>
      </c>
      <c r="E34" s="24"/>
    </row>
    <row r="35" spans="1:5" x14ac:dyDescent="0.2">
      <c r="A35" s="20" t="s">
        <v>854</v>
      </c>
      <c r="B35" s="20" t="s">
        <v>855</v>
      </c>
      <c r="C35" s="20" t="s">
        <v>856</v>
      </c>
      <c r="D35" s="20" t="s">
        <v>291</v>
      </c>
      <c r="E35" s="24"/>
    </row>
    <row r="36" spans="1:5" x14ac:dyDescent="0.2">
      <c r="A36" s="20" t="s">
        <v>857</v>
      </c>
      <c r="B36" s="20" t="s">
        <v>858</v>
      </c>
      <c r="C36" s="20" t="s">
        <v>834</v>
      </c>
      <c r="D36" s="20" t="s">
        <v>859</v>
      </c>
      <c r="E36" s="24"/>
    </row>
    <row r="37" spans="1:5" x14ac:dyDescent="0.2">
      <c r="A37" s="20" t="s">
        <v>860</v>
      </c>
      <c r="B37" s="20" t="s">
        <v>858</v>
      </c>
      <c r="C37" s="20" t="s">
        <v>834</v>
      </c>
      <c r="D37" s="20" t="s">
        <v>861</v>
      </c>
      <c r="E37" s="24"/>
    </row>
    <row r="38" spans="1:5" x14ac:dyDescent="0.2">
      <c r="A38" s="20" t="s">
        <v>862</v>
      </c>
      <c r="B38" s="20" t="s">
        <v>858</v>
      </c>
      <c r="C38" s="20" t="s">
        <v>834</v>
      </c>
      <c r="D38" s="20" t="s">
        <v>863</v>
      </c>
      <c r="E38" s="24"/>
    </row>
    <row r="39" spans="1:5" x14ac:dyDescent="0.2">
      <c r="A39" s="20" t="s">
        <v>864</v>
      </c>
      <c r="B39" s="20" t="s">
        <v>858</v>
      </c>
      <c r="C39" s="20" t="s">
        <v>834</v>
      </c>
      <c r="D39" s="20" t="s">
        <v>865</v>
      </c>
      <c r="E39" s="24"/>
    </row>
    <row r="40" spans="1:5" x14ac:dyDescent="0.2">
      <c r="A40" s="20" t="s">
        <v>866</v>
      </c>
      <c r="B40" s="20" t="s">
        <v>867</v>
      </c>
      <c r="C40" s="20" t="s">
        <v>834</v>
      </c>
      <c r="D40" s="20" t="s">
        <v>859</v>
      </c>
      <c r="E40" s="24"/>
    </row>
    <row r="41" spans="1:5" x14ac:dyDescent="0.2">
      <c r="A41" s="20" t="s">
        <v>868</v>
      </c>
      <c r="B41" s="20" t="s">
        <v>867</v>
      </c>
      <c r="C41" s="20" t="s">
        <v>834</v>
      </c>
      <c r="D41" s="20" t="s">
        <v>861</v>
      </c>
      <c r="E41" s="24"/>
    </row>
    <row r="42" spans="1:5" x14ac:dyDescent="0.2">
      <c r="A42" s="20" t="s">
        <v>869</v>
      </c>
      <c r="B42" s="20" t="s">
        <v>867</v>
      </c>
      <c r="C42" s="20" t="s">
        <v>834</v>
      </c>
      <c r="D42" s="20" t="s">
        <v>863</v>
      </c>
      <c r="E42" s="24"/>
    </row>
    <row r="43" spans="1:5" x14ac:dyDescent="0.2">
      <c r="A43" s="20" t="s">
        <v>870</v>
      </c>
      <c r="B43" s="20" t="s">
        <v>867</v>
      </c>
      <c r="C43" s="20" t="s">
        <v>834</v>
      </c>
      <c r="D43" s="20" t="s">
        <v>865</v>
      </c>
      <c r="E43" s="24"/>
    </row>
    <row r="44" spans="1:5" x14ac:dyDescent="0.2">
      <c r="A44" s="20" t="s">
        <v>871</v>
      </c>
      <c r="B44" s="20" t="s">
        <v>872</v>
      </c>
      <c r="C44" s="20" t="s">
        <v>834</v>
      </c>
      <c r="D44" s="20" t="s">
        <v>859</v>
      </c>
      <c r="E44" s="24"/>
    </row>
    <row r="45" spans="1:5" x14ac:dyDescent="0.2">
      <c r="A45" s="20" t="s">
        <v>873</v>
      </c>
      <c r="B45" s="20" t="s">
        <v>872</v>
      </c>
      <c r="C45" s="20" t="s">
        <v>834</v>
      </c>
      <c r="D45" s="20" t="s">
        <v>861</v>
      </c>
      <c r="E45" s="24"/>
    </row>
    <row r="46" spans="1:5" x14ac:dyDescent="0.2">
      <c r="A46" s="20" t="s">
        <v>874</v>
      </c>
      <c r="B46" s="20" t="s">
        <v>872</v>
      </c>
      <c r="C46" s="20" t="s">
        <v>834</v>
      </c>
      <c r="D46" s="20" t="s">
        <v>863</v>
      </c>
      <c r="E46" s="24"/>
    </row>
    <row r="47" spans="1:5" x14ac:dyDescent="0.2">
      <c r="A47" s="20" t="s">
        <v>875</v>
      </c>
      <c r="B47" s="20" t="s">
        <v>872</v>
      </c>
      <c r="C47" s="20" t="s">
        <v>834</v>
      </c>
      <c r="D47" s="20" t="s">
        <v>865</v>
      </c>
      <c r="E47" s="24"/>
    </row>
    <row r="48" spans="1:5" x14ac:dyDescent="0.2">
      <c r="A48" s="20" t="s">
        <v>876</v>
      </c>
      <c r="B48" s="20" t="s">
        <v>877</v>
      </c>
      <c r="C48" s="20" t="s">
        <v>834</v>
      </c>
      <c r="D48" s="20" t="s">
        <v>859</v>
      </c>
      <c r="E48" s="24"/>
    </row>
    <row r="49" spans="1:5" x14ac:dyDescent="0.2">
      <c r="A49" s="20" t="s">
        <v>878</v>
      </c>
      <c r="B49" s="20" t="s">
        <v>877</v>
      </c>
      <c r="C49" s="20" t="s">
        <v>834</v>
      </c>
      <c r="D49" s="20" t="s">
        <v>861</v>
      </c>
      <c r="E49" s="24"/>
    </row>
    <row r="50" spans="1:5" x14ac:dyDescent="0.2">
      <c r="A50" s="20" t="s">
        <v>879</v>
      </c>
      <c r="B50" s="20" t="s">
        <v>877</v>
      </c>
      <c r="C50" s="20" t="s">
        <v>834</v>
      </c>
      <c r="D50" s="20" t="s">
        <v>863</v>
      </c>
      <c r="E50" s="24"/>
    </row>
    <row r="51" spans="1:5" x14ac:dyDescent="0.2">
      <c r="A51" s="20" t="s">
        <v>880</v>
      </c>
      <c r="B51" s="20" t="s">
        <v>877</v>
      </c>
      <c r="C51" s="20" t="s">
        <v>834</v>
      </c>
      <c r="D51" s="20" t="s">
        <v>865</v>
      </c>
      <c r="E51" s="24"/>
    </row>
    <row r="52" spans="1:5" x14ac:dyDescent="0.2">
      <c r="A52" s="20" t="s">
        <v>881</v>
      </c>
      <c r="B52" s="20" t="s">
        <v>882</v>
      </c>
      <c r="C52" s="20" t="s">
        <v>834</v>
      </c>
      <c r="D52" s="20" t="s">
        <v>859</v>
      </c>
      <c r="E52" s="24"/>
    </row>
    <row r="53" spans="1:5" x14ac:dyDescent="0.2">
      <c r="A53" s="20" t="s">
        <v>883</v>
      </c>
      <c r="B53" s="20" t="s">
        <v>882</v>
      </c>
      <c r="C53" s="20" t="s">
        <v>834</v>
      </c>
      <c r="D53" s="20" t="s">
        <v>861</v>
      </c>
      <c r="E53" s="24"/>
    </row>
    <row r="54" spans="1:5" x14ac:dyDescent="0.2">
      <c r="A54" s="20" t="s">
        <v>884</v>
      </c>
      <c r="B54" s="20" t="s">
        <v>882</v>
      </c>
      <c r="C54" s="20" t="s">
        <v>834</v>
      </c>
      <c r="D54" s="20" t="s">
        <v>863</v>
      </c>
      <c r="E54" s="24"/>
    </row>
    <row r="55" spans="1:5" x14ac:dyDescent="0.2">
      <c r="A55" s="20" t="s">
        <v>885</v>
      </c>
      <c r="B55" s="20" t="s">
        <v>882</v>
      </c>
      <c r="C55" s="20" t="s">
        <v>834</v>
      </c>
      <c r="D55" s="20" t="s">
        <v>865</v>
      </c>
      <c r="E55" s="24"/>
    </row>
    <row r="56" spans="1:5" x14ac:dyDescent="0.2">
      <c r="A56" s="20" t="s">
        <v>886</v>
      </c>
      <c r="B56" s="20" t="s">
        <v>887</v>
      </c>
      <c r="C56" s="20" t="s">
        <v>834</v>
      </c>
      <c r="D56" s="20" t="s">
        <v>859</v>
      </c>
      <c r="E56" s="24"/>
    </row>
    <row r="57" spans="1:5" x14ac:dyDescent="0.2">
      <c r="A57" s="20" t="s">
        <v>888</v>
      </c>
      <c r="B57" s="20" t="s">
        <v>887</v>
      </c>
      <c r="C57" s="20" t="s">
        <v>834</v>
      </c>
      <c r="D57" s="20" t="s">
        <v>861</v>
      </c>
      <c r="E57" s="24"/>
    </row>
    <row r="58" spans="1:5" x14ac:dyDescent="0.2">
      <c r="A58" s="20" t="s">
        <v>889</v>
      </c>
      <c r="B58" s="20" t="s">
        <v>887</v>
      </c>
      <c r="C58" s="20" t="s">
        <v>834</v>
      </c>
      <c r="D58" s="20" t="s">
        <v>863</v>
      </c>
      <c r="E58" s="24"/>
    </row>
    <row r="59" spans="1:5" x14ac:dyDescent="0.2">
      <c r="A59" s="20" t="s">
        <v>890</v>
      </c>
      <c r="B59" s="20" t="s">
        <v>887</v>
      </c>
      <c r="C59" s="20" t="s">
        <v>834</v>
      </c>
      <c r="D59" s="20" t="s">
        <v>865</v>
      </c>
      <c r="E59" s="24"/>
    </row>
    <row r="60" spans="1:5" x14ac:dyDescent="0.2">
      <c r="A60" s="20" t="s">
        <v>891</v>
      </c>
      <c r="B60" s="20" t="s">
        <v>892</v>
      </c>
      <c r="C60" s="20" t="s">
        <v>834</v>
      </c>
      <c r="D60" s="20" t="s">
        <v>859</v>
      </c>
      <c r="E60" s="24"/>
    </row>
    <row r="61" spans="1:5" x14ac:dyDescent="0.2">
      <c r="A61" s="20" t="s">
        <v>893</v>
      </c>
      <c r="B61" s="20" t="s">
        <v>892</v>
      </c>
      <c r="C61" s="20" t="s">
        <v>834</v>
      </c>
      <c r="D61" s="20" t="s">
        <v>861</v>
      </c>
      <c r="E61" s="24"/>
    </row>
    <row r="62" spans="1:5" x14ac:dyDescent="0.2">
      <c r="A62" s="20" t="s">
        <v>894</v>
      </c>
      <c r="B62" s="20" t="s">
        <v>892</v>
      </c>
      <c r="C62" s="20" t="s">
        <v>834</v>
      </c>
      <c r="D62" s="20" t="s">
        <v>863</v>
      </c>
      <c r="E62" s="24"/>
    </row>
    <row r="63" spans="1:5" x14ac:dyDescent="0.2">
      <c r="A63" s="20" t="s">
        <v>895</v>
      </c>
      <c r="B63" s="20" t="s">
        <v>892</v>
      </c>
      <c r="C63" s="20" t="s">
        <v>834</v>
      </c>
      <c r="D63" s="20" t="s">
        <v>865</v>
      </c>
      <c r="E63" s="24"/>
    </row>
    <row r="64" spans="1:5" x14ac:dyDescent="0.2">
      <c r="A64" s="20" t="s">
        <v>896</v>
      </c>
      <c r="B64" s="20" t="s">
        <v>897</v>
      </c>
      <c r="C64" s="20" t="s">
        <v>834</v>
      </c>
      <c r="D64" s="20" t="s">
        <v>859</v>
      </c>
      <c r="E64" s="24"/>
    </row>
    <row r="65" spans="1:5" x14ac:dyDescent="0.2">
      <c r="A65" s="20" t="s">
        <v>898</v>
      </c>
      <c r="B65" s="20" t="s">
        <v>897</v>
      </c>
      <c r="C65" s="20" t="s">
        <v>834</v>
      </c>
      <c r="D65" s="20" t="s">
        <v>861</v>
      </c>
      <c r="E65" s="24"/>
    </row>
    <row r="66" spans="1:5" x14ac:dyDescent="0.2">
      <c r="A66" s="20" t="s">
        <v>899</v>
      </c>
      <c r="B66" s="20" t="s">
        <v>897</v>
      </c>
      <c r="C66" s="20" t="s">
        <v>834</v>
      </c>
      <c r="D66" s="20" t="s">
        <v>863</v>
      </c>
      <c r="E66" s="24"/>
    </row>
    <row r="67" spans="1:5" x14ac:dyDescent="0.2">
      <c r="A67" s="20" t="s">
        <v>900</v>
      </c>
      <c r="B67" s="20" t="s">
        <v>897</v>
      </c>
      <c r="C67" s="20" t="s">
        <v>834</v>
      </c>
      <c r="D67" s="20" t="s">
        <v>865</v>
      </c>
      <c r="E67" s="24"/>
    </row>
    <row r="68" spans="1:5" x14ac:dyDescent="0.2">
      <c r="A68" s="20" t="s">
        <v>901</v>
      </c>
      <c r="B68" s="20" t="s">
        <v>902</v>
      </c>
      <c r="C68" s="20" t="s">
        <v>834</v>
      </c>
      <c r="D68" s="20" t="s">
        <v>859</v>
      </c>
      <c r="E68" s="24"/>
    </row>
    <row r="69" spans="1:5" x14ac:dyDescent="0.2">
      <c r="A69" s="20" t="s">
        <v>903</v>
      </c>
      <c r="B69" s="20" t="s">
        <v>902</v>
      </c>
      <c r="C69" s="20" t="s">
        <v>834</v>
      </c>
      <c r="D69" s="20" t="s">
        <v>861</v>
      </c>
      <c r="E69" s="24"/>
    </row>
    <row r="70" spans="1:5" x14ac:dyDescent="0.2">
      <c r="A70" s="20" t="s">
        <v>904</v>
      </c>
      <c r="B70" s="20" t="s">
        <v>902</v>
      </c>
      <c r="C70" s="20" t="s">
        <v>834</v>
      </c>
      <c r="D70" s="20" t="s">
        <v>863</v>
      </c>
      <c r="E70" s="24"/>
    </row>
    <row r="71" spans="1:5" x14ac:dyDescent="0.2">
      <c r="A71" s="25" t="s">
        <v>905</v>
      </c>
      <c r="B71" s="25" t="s">
        <v>902</v>
      </c>
      <c r="C71" s="25" t="s">
        <v>834</v>
      </c>
      <c r="D71" s="25" t="s">
        <v>865</v>
      </c>
      <c r="E71" s="29"/>
    </row>
    <row r="72" spans="1:5" x14ac:dyDescent="0.2">
      <c r="A72" s="42" t="s">
        <v>276</v>
      </c>
      <c r="B72" s="43"/>
      <c r="C72" s="43"/>
      <c r="D72" s="43"/>
      <c r="E72" s="106"/>
    </row>
    <row r="74" spans="1:5" x14ac:dyDescent="0.2">
      <c r="A74" s="42" t="s">
        <v>906</v>
      </c>
      <c r="B74" s="43"/>
      <c r="C74" s="43"/>
      <c r="D74" s="43"/>
      <c r="E74" s="106"/>
    </row>
  </sheetData>
  <pageMargins left="0.7" right="0.7" top="0.75" bottom="0.75" header="0.3" footer="0.3"/>
  <pageSetup paperSize="9" scale="65" orientation="landscape" horizontalDpi="150" verticalDpi="0" r:id="rId1"/>
  <headerFooter>
    <oddFooter>&amp;LOns Middelbaar Onderwijs optimalisatie                      
CONCEPT PER 01-03-2021&amp;ROpmaakdatum: 18-03-2021
Intexso - De Start 5 - Leusden
+31 (33) 2778485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FC5547E493C945A2F65B61B5E461F0" ma:contentTypeVersion="13" ma:contentTypeDescription="Een nieuw document maken." ma:contentTypeScope="" ma:versionID="aa4934895aeb629403a2242c0b3dc942">
  <xsd:schema xmlns:xsd="http://www.w3.org/2001/XMLSchema" xmlns:xs="http://www.w3.org/2001/XMLSchema" xmlns:p="http://schemas.microsoft.com/office/2006/metadata/properties" xmlns:ns1="http://schemas.microsoft.com/sharepoint/v3" xmlns:ns2="6ed0541b-cb2b-4235-b290-540da7b5c814" xmlns:ns3="d53c3cd5-66ae-4a6a-a38f-0a937aa2f05e" targetNamespace="http://schemas.microsoft.com/office/2006/metadata/properties" ma:root="true" ma:fieldsID="a19898f95fea5c4b7fe93896a135e8e8" ns1:_="" ns2:_="" ns3:_="">
    <xsd:import namespace="http://schemas.microsoft.com/sharepoint/v3"/>
    <xsd:import namespace="6ed0541b-cb2b-4235-b290-540da7b5c814"/>
    <xsd:import namespace="d53c3cd5-66ae-4a6a-a38f-0a937aa2f0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d0541b-cb2b-4235-b290-540da7b5c8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3c3cd5-66ae-4a6a-a38f-0a937aa2f05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DE50EC6-8A55-407A-9E6B-E47CEC09F04C}"/>
</file>

<file path=customXml/itemProps2.xml><?xml version="1.0" encoding="utf-8"?>
<ds:datastoreItem xmlns:ds="http://schemas.openxmlformats.org/officeDocument/2006/customXml" ds:itemID="{22CD4E52-9D58-4715-8F29-3FA1968370C4}"/>
</file>

<file path=customXml/itemProps3.xml><?xml version="1.0" encoding="utf-8"?>
<ds:datastoreItem xmlns:ds="http://schemas.openxmlformats.org/officeDocument/2006/customXml" ds:itemID="{763CE996-099B-4A41-9416-427336476D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11</vt:i4>
      </vt:variant>
      <vt:variant>
        <vt:lpstr>Benoemde bereiken</vt:lpstr>
      </vt:variant>
      <vt:variant>
        <vt:i4>588</vt:i4>
      </vt:variant>
    </vt:vector>
  </HeadingPairs>
  <TitlesOfParts>
    <vt:vector size="599" baseType="lpstr">
      <vt:lpstr>Omreken</vt:lpstr>
      <vt:lpstr>Categorienormen</vt:lpstr>
      <vt:lpstr>Regulier werk</vt:lpstr>
      <vt:lpstr>Ruimten werkdag</vt:lpstr>
      <vt:lpstr>Objectinformatie</vt:lpstr>
      <vt:lpstr>Objecten</vt:lpstr>
      <vt:lpstr>Niet-meewerkende objectleiding</vt:lpstr>
      <vt:lpstr>Totaalblad Objecten</vt:lpstr>
      <vt:lpstr>Afroep incidenteel</vt:lpstr>
      <vt:lpstr>Regiewerk</vt:lpstr>
      <vt:lpstr>Totaal</vt:lpstr>
      <vt:lpstr>'Afroep incidenteel'!Afdruktitels</vt:lpstr>
      <vt:lpstr>Categorienormen!Afdruktitels</vt:lpstr>
      <vt:lpstr>'Niet-meewerkende objectleiding'!Afdruktitels</vt:lpstr>
      <vt:lpstr>Objecten!Afdruktitels</vt:lpstr>
      <vt:lpstr>Objectinformatie!Afdruktitels</vt:lpstr>
      <vt:lpstr>Regiewerk!Afdruktitels</vt:lpstr>
      <vt:lpstr>'Regulier werk'!Afdruktitels</vt:lpstr>
      <vt:lpstr>'Ruimten werkdag'!Afdruktitels</vt:lpstr>
      <vt:lpstr>Totaal!Afdruktitels</vt:lpstr>
      <vt:lpstr>'Totaalblad Objecten'!Afdruktitels</vt:lpstr>
      <vt:lpstr>catdw_1_BKHB_1</vt:lpstr>
      <vt:lpstr>catdw_1_BKHV_41</vt:lpstr>
      <vt:lpstr>catdw_1_BKHV_42</vt:lpstr>
      <vt:lpstr>catdw_1_BKZB_1</vt:lpstr>
      <vt:lpstr>catdw_1_BKZV_41</vt:lpstr>
      <vt:lpstr>catdw_1_BKZV_42</vt:lpstr>
      <vt:lpstr>catdw_1_GSHB_1</vt:lpstr>
      <vt:lpstr>catdw_1_GSHV_41</vt:lpstr>
      <vt:lpstr>catdw_1_GSHV_45</vt:lpstr>
      <vt:lpstr>catdw_1_GTHB_1</vt:lpstr>
      <vt:lpstr>catdw_1_GTHV_41</vt:lpstr>
      <vt:lpstr>catdw_1_KAHB_1</vt:lpstr>
      <vt:lpstr>catdw_1_KAHV_41</vt:lpstr>
      <vt:lpstr>catdw_1_KAHV_42</vt:lpstr>
      <vt:lpstr>catdw_1_KDHB_1</vt:lpstr>
      <vt:lpstr>catdw_1_KDHV_41</vt:lpstr>
      <vt:lpstr>catdw_1_KDZB_1</vt:lpstr>
      <vt:lpstr>catdw_1_KDZV_41</vt:lpstr>
      <vt:lpstr>catdw_1_KDZV_42</vt:lpstr>
      <vt:lpstr>catdw_1_KKHB_1</vt:lpstr>
      <vt:lpstr>catdw_1_KKHV_41</vt:lpstr>
      <vt:lpstr>catdw_1_KPHB_1</vt:lpstr>
      <vt:lpstr>catdw_1_KPHV_41</vt:lpstr>
      <vt:lpstr>catdw_1_KPHV_42</vt:lpstr>
      <vt:lpstr>catdw_1_LLHB_1</vt:lpstr>
      <vt:lpstr>catdw_1_LLHV_41</vt:lpstr>
      <vt:lpstr>catdw_1_LLZB_1</vt:lpstr>
      <vt:lpstr>catdw_1_LLZV_41</vt:lpstr>
      <vt:lpstr>catdw_1_LLZV_42</vt:lpstr>
      <vt:lpstr>catdw_1_LOHB_1</vt:lpstr>
      <vt:lpstr>catdw_1_LOHV_41</vt:lpstr>
      <vt:lpstr>catdw_1_LOZB_1</vt:lpstr>
      <vt:lpstr>catdw_1_LOZV_41</vt:lpstr>
      <vt:lpstr>catdw_1_MAHB_1</vt:lpstr>
      <vt:lpstr>catdw_1_MAHV_41</vt:lpstr>
      <vt:lpstr>catdw_1_MAZB_1</vt:lpstr>
      <vt:lpstr>catdw_1_MAZV_41</vt:lpstr>
      <vt:lpstr>catdw_1_OAHB_1</vt:lpstr>
      <vt:lpstr>catdw_1_OAHV_1</vt:lpstr>
      <vt:lpstr>catdw_1_OAHV_41</vt:lpstr>
      <vt:lpstr>catdw_1_PAHB_1</vt:lpstr>
      <vt:lpstr>catdw_1_PAHV_41</vt:lpstr>
      <vt:lpstr>catdw_1_PKHB_1</vt:lpstr>
      <vt:lpstr>catdw_1_PKHV_41</vt:lpstr>
      <vt:lpstr>catdw_1_PKZB_1</vt:lpstr>
      <vt:lpstr>catdw_1_PKZV_41</vt:lpstr>
      <vt:lpstr>catdw_1_PLHB_1</vt:lpstr>
      <vt:lpstr>catdw_1_PLHV_41</vt:lpstr>
      <vt:lpstr>catdw_1_PSHB_1</vt:lpstr>
      <vt:lpstr>catdw_1_PSHV_41</vt:lpstr>
      <vt:lpstr>catdw_1_PSZB_1</vt:lpstr>
      <vt:lpstr>catdw_1_PSZV_41</vt:lpstr>
      <vt:lpstr>catdw_1_PWHB_1</vt:lpstr>
      <vt:lpstr>catdw_1_PWHV_1</vt:lpstr>
      <vt:lpstr>catdw_1_SDHB_1</vt:lpstr>
      <vt:lpstr>catdw_1_SDHV_45</vt:lpstr>
      <vt:lpstr>catdw_1_SKHB_1</vt:lpstr>
      <vt:lpstr>catdw_1_SKHV_41</vt:lpstr>
      <vt:lpstr>catdw_1_SKHV_45</vt:lpstr>
      <vt:lpstr>catdw_1_STHB_1</vt:lpstr>
      <vt:lpstr>catdw_1_STHV_41</vt:lpstr>
      <vt:lpstr>catdw_1_STHV_42</vt:lpstr>
      <vt:lpstr>catdw_1_STHV_45</vt:lpstr>
      <vt:lpstr>catdw_1_SWHB_1</vt:lpstr>
      <vt:lpstr>catdw_1_SWHV_41</vt:lpstr>
      <vt:lpstr>catdw_1_VAHB_1</vt:lpstr>
      <vt:lpstr>catdw_1_VAHV_41</vt:lpstr>
      <vt:lpstr>catdw_1_VAZB_1</vt:lpstr>
      <vt:lpstr>catdw_1_VAZV_41</vt:lpstr>
      <vt:lpstr>catdw_1_VAZV_45</vt:lpstr>
      <vt:lpstr>catdw_1_VEHB_1</vt:lpstr>
      <vt:lpstr>catdw_1_VEHV_41</vt:lpstr>
      <vt:lpstr>catdw_1_VEZB_1</vt:lpstr>
      <vt:lpstr>catdw_1_VEZV_41</vt:lpstr>
      <vt:lpstr>catdw_1_VLHB_1</vt:lpstr>
      <vt:lpstr>catdw_1_VLHV_41</vt:lpstr>
      <vt:lpstr>catdw_1_VOHB_1</vt:lpstr>
      <vt:lpstr>catdw_1_VOHV_41</vt:lpstr>
      <vt:lpstr>catdw_1_VOZB_1</vt:lpstr>
      <vt:lpstr>catdw_1_VOZV_41</vt:lpstr>
      <vt:lpstr>catdw_1_VTHB_1</vt:lpstr>
      <vt:lpstr>catdw_1_VTHV_41</vt:lpstr>
      <vt:lpstr>catdw_1_XSGB_1</vt:lpstr>
      <vt:lpstr>catfd_1_BKHB_1</vt:lpstr>
      <vt:lpstr>catfd_1_BKHV_41</vt:lpstr>
      <vt:lpstr>catfd_1_BKHV_42</vt:lpstr>
      <vt:lpstr>catfd_1_BKZB_1</vt:lpstr>
      <vt:lpstr>catfd_1_BKZV_41</vt:lpstr>
      <vt:lpstr>catfd_1_BKZV_42</vt:lpstr>
      <vt:lpstr>catfd_1_GSHB_1</vt:lpstr>
      <vt:lpstr>catfd_1_GSHV_41</vt:lpstr>
      <vt:lpstr>catfd_1_GSHV_45</vt:lpstr>
      <vt:lpstr>catfd_1_GTHB_1</vt:lpstr>
      <vt:lpstr>catfd_1_GTHV_41</vt:lpstr>
      <vt:lpstr>catfd_1_KAHB_1</vt:lpstr>
      <vt:lpstr>catfd_1_KAHV_41</vt:lpstr>
      <vt:lpstr>catfd_1_KAHV_42</vt:lpstr>
      <vt:lpstr>catfd_1_KDHB_1</vt:lpstr>
      <vt:lpstr>catfd_1_KDHV_41</vt:lpstr>
      <vt:lpstr>catfd_1_KDZB_1</vt:lpstr>
      <vt:lpstr>catfd_1_KDZV_41</vt:lpstr>
      <vt:lpstr>catfd_1_KDZV_42</vt:lpstr>
      <vt:lpstr>catfd_1_KKHB_1</vt:lpstr>
      <vt:lpstr>catfd_1_KKHV_41</vt:lpstr>
      <vt:lpstr>catfd_1_KPHB_1</vt:lpstr>
      <vt:lpstr>catfd_1_KPHV_41</vt:lpstr>
      <vt:lpstr>catfd_1_KPHV_42</vt:lpstr>
      <vt:lpstr>catfd_1_LLHB_1</vt:lpstr>
      <vt:lpstr>catfd_1_LLHV_41</vt:lpstr>
      <vt:lpstr>catfd_1_LLZB_1</vt:lpstr>
      <vt:lpstr>catfd_1_LLZV_41</vt:lpstr>
      <vt:lpstr>catfd_1_LLZV_42</vt:lpstr>
      <vt:lpstr>catfd_1_LOHB_1</vt:lpstr>
      <vt:lpstr>catfd_1_LOHV_41</vt:lpstr>
      <vt:lpstr>catfd_1_LOZB_1</vt:lpstr>
      <vt:lpstr>catfd_1_LOZV_41</vt:lpstr>
      <vt:lpstr>catfd_1_MAHB_1</vt:lpstr>
      <vt:lpstr>catfd_1_MAHV_41</vt:lpstr>
      <vt:lpstr>catfd_1_MAZB_1</vt:lpstr>
      <vt:lpstr>catfd_1_MAZV_41</vt:lpstr>
      <vt:lpstr>catfd_1_OAHB_1</vt:lpstr>
      <vt:lpstr>catfd_1_OAHV_1</vt:lpstr>
      <vt:lpstr>catfd_1_OAHV_41</vt:lpstr>
      <vt:lpstr>catfd_1_PAHB_1</vt:lpstr>
      <vt:lpstr>catfd_1_PAHV_41</vt:lpstr>
      <vt:lpstr>catfd_1_PKHB_1</vt:lpstr>
      <vt:lpstr>catfd_1_PKHV_41</vt:lpstr>
      <vt:lpstr>catfd_1_PKZB_1</vt:lpstr>
      <vt:lpstr>catfd_1_PKZV_41</vt:lpstr>
      <vt:lpstr>catfd_1_PLHB_1</vt:lpstr>
      <vt:lpstr>catfd_1_PLHV_41</vt:lpstr>
      <vt:lpstr>catfd_1_PSHB_1</vt:lpstr>
      <vt:lpstr>catfd_1_PSHV_41</vt:lpstr>
      <vt:lpstr>catfd_1_PSZB_1</vt:lpstr>
      <vt:lpstr>catfd_1_PSZV_41</vt:lpstr>
      <vt:lpstr>catfd_1_PWHB_1</vt:lpstr>
      <vt:lpstr>catfd_1_PWHV_1</vt:lpstr>
      <vt:lpstr>catfd_1_SDHB_1</vt:lpstr>
      <vt:lpstr>catfd_1_SDHV_45</vt:lpstr>
      <vt:lpstr>catfd_1_SKHB_1</vt:lpstr>
      <vt:lpstr>catfd_1_SKHV_41</vt:lpstr>
      <vt:lpstr>catfd_1_SKHV_45</vt:lpstr>
      <vt:lpstr>catfd_1_STHB_1</vt:lpstr>
      <vt:lpstr>catfd_1_STHV_41</vt:lpstr>
      <vt:lpstr>catfd_1_STHV_42</vt:lpstr>
      <vt:lpstr>catfd_1_STHV_45</vt:lpstr>
      <vt:lpstr>catfd_1_SWHB_1</vt:lpstr>
      <vt:lpstr>catfd_1_SWHV_41</vt:lpstr>
      <vt:lpstr>catfd_1_VAHB_1</vt:lpstr>
      <vt:lpstr>catfd_1_VAHV_41</vt:lpstr>
      <vt:lpstr>catfd_1_VAZB_1</vt:lpstr>
      <vt:lpstr>catfd_1_VAZV_41</vt:lpstr>
      <vt:lpstr>catfd_1_VAZV_45</vt:lpstr>
      <vt:lpstr>catfd_1_VEHB_1</vt:lpstr>
      <vt:lpstr>catfd_1_VEHV_41</vt:lpstr>
      <vt:lpstr>catfd_1_VEZB_1</vt:lpstr>
      <vt:lpstr>catfd_1_VEZV_41</vt:lpstr>
      <vt:lpstr>catfd_1_VLHB_1</vt:lpstr>
      <vt:lpstr>catfd_1_VLHV_41</vt:lpstr>
      <vt:lpstr>catfd_1_VOHB_1</vt:lpstr>
      <vt:lpstr>catfd_1_VOHV_41</vt:lpstr>
      <vt:lpstr>catfd_1_VOZB_1</vt:lpstr>
      <vt:lpstr>catfd_1_VOZV_41</vt:lpstr>
      <vt:lpstr>catfd_1_VTHB_1</vt:lpstr>
      <vt:lpstr>catfd_1_VTHV_41</vt:lpstr>
      <vt:lpstr>catfd_1_XSGB_1</vt:lpstr>
      <vt:lpstr>catpn_1_BKHB_1</vt:lpstr>
      <vt:lpstr>catpn_1_BKHV_41</vt:lpstr>
      <vt:lpstr>catpn_1_BKHV_42</vt:lpstr>
      <vt:lpstr>catpn_1_BKZB_1</vt:lpstr>
      <vt:lpstr>catpn_1_BKZV_41</vt:lpstr>
      <vt:lpstr>catpn_1_BKZV_42</vt:lpstr>
      <vt:lpstr>catpn_1_GSHB_1</vt:lpstr>
      <vt:lpstr>catpn_1_GSHV_41</vt:lpstr>
      <vt:lpstr>catpn_1_GSHV_45</vt:lpstr>
      <vt:lpstr>catpn_1_GTHB_1</vt:lpstr>
      <vt:lpstr>catpn_1_GTHV_41</vt:lpstr>
      <vt:lpstr>catpn_1_KAHB_1</vt:lpstr>
      <vt:lpstr>catpn_1_KAHV_41</vt:lpstr>
      <vt:lpstr>catpn_1_KAHV_42</vt:lpstr>
      <vt:lpstr>catpn_1_KDHB_1</vt:lpstr>
      <vt:lpstr>catpn_1_KDHV_41</vt:lpstr>
      <vt:lpstr>catpn_1_KDZB_1</vt:lpstr>
      <vt:lpstr>catpn_1_KDZV_41</vt:lpstr>
      <vt:lpstr>catpn_1_KDZV_42</vt:lpstr>
      <vt:lpstr>catpn_1_KKHB_1</vt:lpstr>
      <vt:lpstr>catpn_1_KKHV_41</vt:lpstr>
      <vt:lpstr>catpn_1_KPHB_1</vt:lpstr>
      <vt:lpstr>catpn_1_KPHV_41</vt:lpstr>
      <vt:lpstr>catpn_1_KPHV_42</vt:lpstr>
      <vt:lpstr>catpn_1_LLHB_1</vt:lpstr>
      <vt:lpstr>catpn_1_LLHV_41</vt:lpstr>
      <vt:lpstr>catpn_1_LLZB_1</vt:lpstr>
      <vt:lpstr>catpn_1_LLZV_41</vt:lpstr>
      <vt:lpstr>catpn_1_LLZV_42</vt:lpstr>
      <vt:lpstr>catpn_1_LOHB_1</vt:lpstr>
      <vt:lpstr>catpn_1_LOHV_41</vt:lpstr>
      <vt:lpstr>catpn_1_LOZB_1</vt:lpstr>
      <vt:lpstr>catpn_1_LOZV_41</vt:lpstr>
      <vt:lpstr>catpn_1_MAHB_1</vt:lpstr>
      <vt:lpstr>catpn_1_MAHV_41</vt:lpstr>
      <vt:lpstr>catpn_1_MAZB_1</vt:lpstr>
      <vt:lpstr>catpn_1_MAZV_41</vt:lpstr>
      <vt:lpstr>catpn_1_OAHB_1</vt:lpstr>
      <vt:lpstr>catpn_1_OAHV_1</vt:lpstr>
      <vt:lpstr>catpn_1_OAHV_41</vt:lpstr>
      <vt:lpstr>catpn_1_PAHB_1</vt:lpstr>
      <vt:lpstr>catpn_1_PAHV_41</vt:lpstr>
      <vt:lpstr>catpn_1_PKHB_1</vt:lpstr>
      <vt:lpstr>catpn_1_PKHV_41</vt:lpstr>
      <vt:lpstr>catpn_1_PKZB_1</vt:lpstr>
      <vt:lpstr>catpn_1_PKZV_41</vt:lpstr>
      <vt:lpstr>catpn_1_PLHB_1</vt:lpstr>
      <vt:lpstr>catpn_1_PLHV_41</vt:lpstr>
      <vt:lpstr>catpn_1_PSHB_1</vt:lpstr>
      <vt:lpstr>catpn_1_PSHV_41</vt:lpstr>
      <vt:lpstr>catpn_1_PSZB_1</vt:lpstr>
      <vt:lpstr>catpn_1_PSZV_41</vt:lpstr>
      <vt:lpstr>catpn_1_PWHB_1</vt:lpstr>
      <vt:lpstr>catpn_1_PWHV_1</vt:lpstr>
      <vt:lpstr>catpn_1_SDHB_1</vt:lpstr>
      <vt:lpstr>catpn_1_SDHV_45</vt:lpstr>
      <vt:lpstr>catpn_1_SKHB_1</vt:lpstr>
      <vt:lpstr>catpn_1_SKHV_41</vt:lpstr>
      <vt:lpstr>catpn_1_SKHV_45</vt:lpstr>
      <vt:lpstr>catpn_1_STHB_1</vt:lpstr>
      <vt:lpstr>catpn_1_STHV_41</vt:lpstr>
      <vt:lpstr>catpn_1_STHV_42</vt:lpstr>
      <vt:lpstr>catpn_1_STHV_45</vt:lpstr>
      <vt:lpstr>catpn_1_SWHB_1</vt:lpstr>
      <vt:lpstr>catpn_1_SWHV_41</vt:lpstr>
      <vt:lpstr>catpn_1_VAHB_1</vt:lpstr>
      <vt:lpstr>catpn_1_VAHV_41</vt:lpstr>
      <vt:lpstr>catpn_1_VAZB_1</vt:lpstr>
      <vt:lpstr>catpn_1_VAZV_41</vt:lpstr>
      <vt:lpstr>catpn_1_VAZV_45</vt:lpstr>
      <vt:lpstr>catpn_1_VEHB_1</vt:lpstr>
      <vt:lpstr>catpn_1_VEHV_41</vt:lpstr>
      <vt:lpstr>catpn_1_VEZB_1</vt:lpstr>
      <vt:lpstr>catpn_1_VEZV_41</vt:lpstr>
      <vt:lpstr>catpn_1_VLHB_1</vt:lpstr>
      <vt:lpstr>catpn_1_VLHV_41</vt:lpstr>
      <vt:lpstr>catpn_1_VOHB_1</vt:lpstr>
      <vt:lpstr>catpn_1_VOHV_41</vt:lpstr>
      <vt:lpstr>catpn_1_VOZB_1</vt:lpstr>
      <vt:lpstr>catpn_1_VOZV_41</vt:lpstr>
      <vt:lpstr>catpn_1_VTHB_1</vt:lpstr>
      <vt:lpstr>catpn_1_VTHV_41</vt:lpstr>
      <vt:lpstr>catpn_1_XSGB_1</vt:lpstr>
      <vt:lpstr>cattf_1_BKHB_1</vt:lpstr>
      <vt:lpstr>cattf_1_BKHV_41</vt:lpstr>
      <vt:lpstr>cattf_1_BKHV_42</vt:lpstr>
      <vt:lpstr>cattf_1_BKZB_1</vt:lpstr>
      <vt:lpstr>cattf_1_BKZV_41</vt:lpstr>
      <vt:lpstr>cattf_1_BKZV_42</vt:lpstr>
      <vt:lpstr>cattf_1_GSHB_1</vt:lpstr>
      <vt:lpstr>cattf_1_GSHV_41</vt:lpstr>
      <vt:lpstr>cattf_1_GSHV_45</vt:lpstr>
      <vt:lpstr>cattf_1_GTHB_1</vt:lpstr>
      <vt:lpstr>cattf_1_GTHV_41</vt:lpstr>
      <vt:lpstr>cattf_1_KAHB_1</vt:lpstr>
      <vt:lpstr>cattf_1_KAHV_41</vt:lpstr>
      <vt:lpstr>cattf_1_KAHV_42</vt:lpstr>
      <vt:lpstr>cattf_1_KDHB_1</vt:lpstr>
      <vt:lpstr>cattf_1_KDHV_41</vt:lpstr>
      <vt:lpstr>cattf_1_KDZB_1</vt:lpstr>
      <vt:lpstr>cattf_1_KDZV_41</vt:lpstr>
      <vt:lpstr>cattf_1_KDZV_42</vt:lpstr>
      <vt:lpstr>cattf_1_KKHB_1</vt:lpstr>
      <vt:lpstr>cattf_1_KKHV_41</vt:lpstr>
      <vt:lpstr>cattf_1_KPHB_1</vt:lpstr>
      <vt:lpstr>cattf_1_KPHV_41</vt:lpstr>
      <vt:lpstr>cattf_1_KPHV_42</vt:lpstr>
      <vt:lpstr>cattf_1_LLHB_1</vt:lpstr>
      <vt:lpstr>cattf_1_LLHV_41</vt:lpstr>
      <vt:lpstr>cattf_1_LLZB_1</vt:lpstr>
      <vt:lpstr>cattf_1_LLZV_41</vt:lpstr>
      <vt:lpstr>cattf_1_LLZV_42</vt:lpstr>
      <vt:lpstr>cattf_1_LOHB_1</vt:lpstr>
      <vt:lpstr>cattf_1_LOHV_41</vt:lpstr>
      <vt:lpstr>cattf_1_LOZB_1</vt:lpstr>
      <vt:lpstr>cattf_1_LOZV_41</vt:lpstr>
      <vt:lpstr>cattf_1_MAHB_1</vt:lpstr>
      <vt:lpstr>cattf_1_MAHV_41</vt:lpstr>
      <vt:lpstr>cattf_1_MAZB_1</vt:lpstr>
      <vt:lpstr>cattf_1_MAZV_41</vt:lpstr>
      <vt:lpstr>cattf_1_OAHB_1</vt:lpstr>
      <vt:lpstr>cattf_1_OAHV_1</vt:lpstr>
      <vt:lpstr>cattf_1_OAHV_41</vt:lpstr>
      <vt:lpstr>cattf_1_PAHB_1</vt:lpstr>
      <vt:lpstr>cattf_1_PAHV_41</vt:lpstr>
      <vt:lpstr>cattf_1_PKHB_1</vt:lpstr>
      <vt:lpstr>cattf_1_PKHV_41</vt:lpstr>
      <vt:lpstr>cattf_1_PKZB_1</vt:lpstr>
      <vt:lpstr>cattf_1_PKZV_41</vt:lpstr>
      <vt:lpstr>cattf_1_PLHB_1</vt:lpstr>
      <vt:lpstr>cattf_1_PLHV_41</vt:lpstr>
      <vt:lpstr>cattf_1_PSHB_1</vt:lpstr>
      <vt:lpstr>cattf_1_PSHV_41</vt:lpstr>
      <vt:lpstr>cattf_1_PSZB_1</vt:lpstr>
      <vt:lpstr>cattf_1_PSZV_41</vt:lpstr>
      <vt:lpstr>cattf_1_PWHB_1</vt:lpstr>
      <vt:lpstr>cattf_1_PWHV_1</vt:lpstr>
      <vt:lpstr>cattf_1_SDHB_1</vt:lpstr>
      <vt:lpstr>cattf_1_SDHV_45</vt:lpstr>
      <vt:lpstr>cattf_1_SKHB_1</vt:lpstr>
      <vt:lpstr>cattf_1_SKHV_41</vt:lpstr>
      <vt:lpstr>cattf_1_SKHV_45</vt:lpstr>
      <vt:lpstr>cattf_1_STHB_1</vt:lpstr>
      <vt:lpstr>cattf_1_STHV_41</vt:lpstr>
      <vt:lpstr>cattf_1_STHV_42</vt:lpstr>
      <vt:lpstr>cattf_1_STHV_45</vt:lpstr>
      <vt:lpstr>cattf_1_SWHB_1</vt:lpstr>
      <vt:lpstr>cattf_1_SWHV_41</vt:lpstr>
      <vt:lpstr>cattf_1_VAHB_1</vt:lpstr>
      <vt:lpstr>cattf_1_VAHV_41</vt:lpstr>
      <vt:lpstr>cattf_1_VAZB_1</vt:lpstr>
      <vt:lpstr>cattf_1_VAZV_41</vt:lpstr>
      <vt:lpstr>cattf_1_VAZV_45</vt:lpstr>
      <vt:lpstr>cattf_1_VEHB_1</vt:lpstr>
      <vt:lpstr>cattf_1_VEHV_41</vt:lpstr>
      <vt:lpstr>cattf_1_VEZB_1</vt:lpstr>
      <vt:lpstr>cattf_1_VEZV_41</vt:lpstr>
      <vt:lpstr>cattf_1_VLHB_1</vt:lpstr>
      <vt:lpstr>cattf_1_VLHV_41</vt:lpstr>
      <vt:lpstr>cattf_1_VOHB_1</vt:lpstr>
      <vt:lpstr>cattf_1_VOHV_41</vt:lpstr>
      <vt:lpstr>cattf_1_VOZB_1</vt:lpstr>
      <vt:lpstr>cattf_1_VOZV_41</vt:lpstr>
      <vt:lpstr>cattf_1_VTHB_1</vt:lpstr>
      <vt:lpstr>cattf_1_VTHV_41</vt:lpstr>
      <vt:lpstr>cattf_1_XSGB_1</vt:lpstr>
      <vt:lpstr>dagenperjaar1</vt:lpstr>
      <vt:lpstr>dagenperjaar2</vt:lpstr>
      <vt:lpstr>dagenperjaar3</vt:lpstr>
      <vt:lpstr>dagenperweek1</vt:lpstr>
      <vt:lpstr>dagenperweek2</vt:lpstr>
      <vt:lpstr>dagenperweek3</vt:lpstr>
      <vt:lpstr>dagsoorttabel1</vt:lpstr>
      <vt:lpstr>dagsoorttabel2</vt:lpstr>
      <vt:lpstr>dagsoorttabel3</vt:lpstr>
      <vt:lpstr>dagwerk1</vt:lpstr>
      <vt:lpstr>dagwerk10</vt:lpstr>
      <vt:lpstr>dagwerk11</vt:lpstr>
      <vt:lpstr>dagwerk12</vt:lpstr>
      <vt:lpstr>dagwerk13</vt:lpstr>
      <vt:lpstr>dagwerk14</vt:lpstr>
      <vt:lpstr>dagwerk15</vt:lpstr>
      <vt:lpstr>dagwerk16</vt:lpstr>
      <vt:lpstr>dagwerk17</vt:lpstr>
      <vt:lpstr>dagwerk18</vt:lpstr>
      <vt:lpstr>dagwerk19</vt:lpstr>
      <vt:lpstr>dagwerk2</vt:lpstr>
      <vt:lpstr>dagwerk20</vt:lpstr>
      <vt:lpstr>dagwerk21</vt:lpstr>
      <vt:lpstr>dagwerk22</vt:lpstr>
      <vt:lpstr>dagwerk23</vt:lpstr>
      <vt:lpstr>dagwerk24</vt:lpstr>
      <vt:lpstr>dagwerk25</vt:lpstr>
      <vt:lpstr>dagwerk26</vt:lpstr>
      <vt:lpstr>dagwerk27</vt:lpstr>
      <vt:lpstr>dagwerk28</vt:lpstr>
      <vt:lpstr>dagwerk29</vt:lpstr>
      <vt:lpstr>dagwerk3</vt:lpstr>
      <vt:lpstr>dagwerk30</vt:lpstr>
      <vt:lpstr>dagwerk31</vt:lpstr>
      <vt:lpstr>dagwerk32</vt:lpstr>
      <vt:lpstr>dagwerk33</vt:lpstr>
      <vt:lpstr>dagwerk34</vt:lpstr>
      <vt:lpstr>dagwerk35</vt:lpstr>
      <vt:lpstr>dagwerk36</vt:lpstr>
      <vt:lpstr>dagwerk37</vt:lpstr>
      <vt:lpstr>dagwerk38</vt:lpstr>
      <vt:lpstr>dagwerk39</vt:lpstr>
      <vt:lpstr>dagwerk4</vt:lpstr>
      <vt:lpstr>dagwerk40</vt:lpstr>
      <vt:lpstr>dagwerk41</vt:lpstr>
      <vt:lpstr>dagwerk42</vt:lpstr>
      <vt:lpstr>dagwerk43</vt:lpstr>
      <vt:lpstr>dagwerk44</vt:lpstr>
      <vt:lpstr>dagwerk45</vt:lpstr>
      <vt:lpstr>dagwerk46</vt:lpstr>
      <vt:lpstr>dagwerk47</vt:lpstr>
      <vt:lpstr>dagwerk48</vt:lpstr>
      <vt:lpstr>dagwerk49</vt:lpstr>
      <vt:lpstr>dagwerk5</vt:lpstr>
      <vt:lpstr>dagwerk50</vt:lpstr>
      <vt:lpstr>dagwerk51</vt:lpstr>
      <vt:lpstr>dagwerk52</vt:lpstr>
      <vt:lpstr>dagwerk53</vt:lpstr>
      <vt:lpstr>dagwerk54</vt:lpstr>
      <vt:lpstr>dagwerk55</vt:lpstr>
      <vt:lpstr>dagwerk6</vt:lpstr>
      <vt:lpstr>dagwerk7</vt:lpstr>
      <vt:lpstr>dagwerk8</vt:lpstr>
      <vt:lpstr>dagwerk9</vt:lpstr>
      <vt:lpstr>dagwerktabel1</vt:lpstr>
      <vt:lpstr>gemuurtarief1</vt:lpstr>
      <vt:lpstr>kengetaltabel1</vt:lpstr>
      <vt:lpstr>object1_gemuurtarief1</vt:lpstr>
      <vt:lpstr>object1_opptabel1</vt:lpstr>
      <vt:lpstr>object1_prijsdag1</vt:lpstr>
      <vt:lpstr>object1_prijsjaar1</vt:lpstr>
      <vt:lpstr>object1_urendag1</vt:lpstr>
      <vt:lpstr>object1_urendaghf1</vt:lpstr>
      <vt:lpstr>object1_urenjaar1</vt:lpstr>
      <vt:lpstr>object2_gemuurtarief1</vt:lpstr>
      <vt:lpstr>object2_opptabel1</vt:lpstr>
      <vt:lpstr>object2_prijsdag1</vt:lpstr>
      <vt:lpstr>object2_prijsjaar1</vt:lpstr>
      <vt:lpstr>object2_urendag1</vt:lpstr>
      <vt:lpstr>object2_urendaghf1</vt:lpstr>
      <vt:lpstr>object2_urenjaar1</vt:lpstr>
      <vt:lpstr>object3_gemuurtarief1</vt:lpstr>
      <vt:lpstr>object3_opptabel1</vt:lpstr>
      <vt:lpstr>object3_prijsdag1</vt:lpstr>
      <vt:lpstr>object3_prijsjaar1</vt:lpstr>
      <vt:lpstr>object3_urendag1</vt:lpstr>
      <vt:lpstr>object3_urendaghf1</vt:lpstr>
      <vt:lpstr>object3_urenjaar1</vt:lpstr>
      <vt:lpstr>objectprijs1_1</vt:lpstr>
      <vt:lpstr>objectprijs2_1</vt:lpstr>
      <vt:lpstr>objectprijs3_1</vt:lpstr>
      <vt:lpstr>objecturen1_1</vt:lpstr>
      <vt:lpstr>objecturen2_1</vt:lpstr>
      <vt:lpstr>objecturen3_1</vt:lpstr>
      <vt:lpstr>objecturenhf1_1</vt:lpstr>
      <vt:lpstr>objecturenhf2_1</vt:lpstr>
      <vt:lpstr>objecturenhf3_1</vt:lpstr>
      <vt:lpstr>prijsdag1</vt:lpstr>
      <vt:lpstr>prijsjaar</vt:lpstr>
      <vt:lpstr>prijsjaar1</vt:lpstr>
      <vt:lpstr>prijsjaarnietmeewerkend</vt:lpstr>
      <vt:lpstr>prijsjaarregie</vt:lpstr>
      <vt:lpstr>prijsjaarregie1</vt:lpstr>
      <vt:lpstr>prijsjaartotaal</vt:lpstr>
      <vt:lpstr>prijsjaartotaal1</vt:lpstr>
      <vt:lpstr>prijsjaartotaaloverzicht</vt:lpstr>
      <vt:lpstr>prijsmaandtotaal1</vt:lpstr>
      <vt:lpstr>prodnorm1</vt:lpstr>
      <vt:lpstr>prodnorm10</vt:lpstr>
      <vt:lpstr>prodnorm11</vt:lpstr>
      <vt:lpstr>prodnorm12</vt:lpstr>
      <vt:lpstr>prodnorm13</vt:lpstr>
      <vt:lpstr>prodnorm14</vt:lpstr>
      <vt:lpstr>prodnorm15</vt:lpstr>
      <vt:lpstr>prodnorm16</vt:lpstr>
      <vt:lpstr>prodnorm17</vt:lpstr>
      <vt:lpstr>prodnorm18</vt:lpstr>
      <vt:lpstr>prodnorm19</vt:lpstr>
      <vt:lpstr>prodnorm2</vt:lpstr>
      <vt:lpstr>prodnorm20</vt:lpstr>
      <vt:lpstr>prodnorm21</vt:lpstr>
      <vt:lpstr>prodnorm22</vt:lpstr>
      <vt:lpstr>prodnorm23</vt:lpstr>
      <vt:lpstr>prodnorm24</vt:lpstr>
      <vt:lpstr>prodnorm25</vt:lpstr>
      <vt:lpstr>prodnorm26</vt:lpstr>
      <vt:lpstr>prodnorm27</vt:lpstr>
      <vt:lpstr>prodnorm28</vt:lpstr>
      <vt:lpstr>prodnorm29</vt:lpstr>
      <vt:lpstr>prodnorm3</vt:lpstr>
      <vt:lpstr>prodnorm30</vt:lpstr>
      <vt:lpstr>prodnorm31</vt:lpstr>
      <vt:lpstr>prodnorm32</vt:lpstr>
      <vt:lpstr>prodnorm33</vt:lpstr>
      <vt:lpstr>prodnorm34</vt:lpstr>
      <vt:lpstr>prodnorm35</vt:lpstr>
      <vt:lpstr>prodnorm36</vt:lpstr>
      <vt:lpstr>prodnorm37</vt:lpstr>
      <vt:lpstr>prodnorm38</vt:lpstr>
      <vt:lpstr>prodnorm39</vt:lpstr>
      <vt:lpstr>prodnorm4</vt:lpstr>
      <vt:lpstr>prodnorm40</vt:lpstr>
      <vt:lpstr>prodnorm41</vt:lpstr>
      <vt:lpstr>prodnorm42</vt:lpstr>
      <vt:lpstr>prodnorm43</vt:lpstr>
      <vt:lpstr>prodnorm44</vt:lpstr>
      <vt:lpstr>prodnorm45</vt:lpstr>
      <vt:lpstr>prodnorm46</vt:lpstr>
      <vt:lpstr>prodnorm47</vt:lpstr>
      <vt:lpstr>prodnorm48</vt:lpstr>
      <vt:lpstr>prodnorm49</vt:lpstr>
      <vt:lpstr>prodnorm5</vt:lpstr>
      <vt:lpstr>prodnorm50</vt:lpstr>
      <vt:lpstr>prodnorm51</vt:lpstr>
      <vt:lpstr>prodnorm52</vt:lpstr>
      <vt:lpstr>prodnorm53</vt:lpstr>
      <vt:lpstr>prodnorm54</vt:lpstr>
      <vt:lpstr>prodnorm55</vt:lpstr>
      <vt:lpstr>prodnorm6</vt:lpstr>
      <vt:lpstr>prodnorm7</vt:lpstr>
      <vt:lpstr>prodnorm8</vt:lpstr>
      <vt:lpstr>prodnorm9</vt:lpstr>
      <vt:lpstr>taakfreqtabel1</vt:lpstr>
      <vt:lpstr>tabeltype</vt:lpstr>
      <vt:lpstr>tarieftabel1</vt:lpstr>
      <vt:lpstr>tzpjt1</vt:lpstr>
      <vt:lpstr>tzpjt1_1</vt:lpstr>
      <vt:lpstr>tzpjt2_1</vt:lpstr>
      <vt:lpstr>tzpjt3_1</vt:lpstr>
      <vt:lpstr>tzpmt1</vt:lpstr>
      <vt:lpstr>tzpmt1_1</vt:lpstr>
      <vt:lpstr>tzpmt2_1</vt:lpstr>
      <vt:lpstr>tzpmt3_1</vt:lpstr>
      <vt:lpstr>tzujt1</vt:lpstr>
      <vt:lpstr>tzujt1_1</vt:lpstr>
      <vt:lpstr>tzujt2_1</vt:lpstr>
      <vt:lpstr>tzujt3_1</vt:lpstr>
      <vt:lpstr>urendag1</vt:lpstr>
      <vt:lpstr>urenjaar</vt:lpstr>
      <vt:lpstr>urenjaar1</vt:lpstr>
      <vt:lpstr>urenjaarnietmeewerkend</vt:lpstr>
      <vt:lpstr>urenjaartotaal</vt:lpstr>
      <vt:lpstr>urenjaartotaal1</vt:lpstr>
      <vt:lpstr>urenjaartotaalhf</vt:lpstr>
      <vt:lpstr>urenjaartotaalhf1</vt:lpstr>
      <vt:lpstr>urenjaartotaaloverzicht</vt:lpstr>
      <vt:lpstr>urenjaartotaaloverzichthf</vt:lpstr>
      <vt:lpstr>uurfactortabel1</vt:lpstr>
      <vt:lpstr>uurtarief1</vt:lpstr>
      <vt:lpstr>uurtarief10</vt:lpstr>
      <vt:lpstr>uurtarief11</vt:lpstr>
      <vt:lpstr>uurtarief12</vt:lpstr>
      <vt:lpstr>uurtarief13</vt:lpstr>
      <vt:lpstr>uurtarief14</vt:lpstr>
      <vt:lpstr>uurtarief15</vt:lpstr>
      <vt:lpstr>uurtarief16</vt:lpstr>
      <vt:lpstr>uurtarief17</vt:lpstr>
      <vt:lpstr>uurtarief18</vt:lpstr>
      <vt:lpstr>uurtarief19</vt:lpstr>
      <vt:lpstr>uurtarief2</vt:lpstr>
      <vt:lpstr>uurtarief20</vt:lpstr>
      <vt:lpstr>uurtarief21</vt:lpstr>
      <vt:lpstr>uurtarief22</vt:lpstr>
      <vt:lpstr>uurtarief23</vt:lpstr>
      <vt:lpstr>uurtarief24</vt:lpstr>
      <vt:lpstr>uurtarief25</vt:lpstr>
      <vt:lpstr>uurtarief26</vt:lpstr>
      <vt:lpstr>uurtarief27</vt:lpstr>
      <vt:lpstr>uurtarief28</vt:lpstr>
      <vt:lpstr>uurtarief29</vt:lpstr>
      <vt:lpstr>uurtarief3</vt:lpstr>
      <vt:lpstr>uurtarief30</vt:lpstr>
      <vt:lpstr>uurtarief31</vt:lpstr>
      <vt:lpstr>uurtarief32</vt:lpstr>
      <vt:lpstr>uurtarief33</vt:lpstr>
      <vt:lpstr>uurtarief34</vt:lpstr>
      <vt:lpstr>uurtarief35</vt:lpstr>
      <vt:lpstr>uurtarief36</vt:lpstr>
      <vt:lpstr>uurtarief37</vt:lpstr>
      <vt:lpstr>uurtarief38</vt:lpstr>
      <vt:lpstr>uurtarief39</vt:lpstr>
      <vt:lpstr>uurtarief4</vt:lpstr>
      <vt:lpstr>uurtarief40</vt:lpstr>
      <vt:lpstr>uurtarief41</vt:lpstr>
      <vt:lpstr>uurtarief42</vt:lpstr>
      <vt:lpstr>uurtarief43</vt:lpstr>
      <vt:lpstr>uurtarief44</vt:lpstr>
      <vt:lpstr>uurtarief45</vt:lpstr>
      <vt:lpstr>uurtarief46</vt:lpstr>
      <vt:lpstr>uurtarief47</vt:lpstr>
      <vt:lpstr>uurtarief48</vt:lpstr>
      <vt:lpstr>uurtarief49</vt:lpstr>
      <vt:lpstr>uurtarief5</vt:lpstr>
      <vt:lpstr>uurtarief50</vt:lpstr>
      <vt:lpstr>uurtarief51</vt:lpstr>
      <vt:lpstr>uurtarief52</vt:lpstr>
      <vt:lpstr>uurtarief53</vt:lpstr>
      <vt:lpstr>uurtarief54</vt:lpstr>
      <vt:lpstr>uurtarief55</vt:lpstr>
      <vt:lpstr>uurtarief6</vt:lpstr>
      <vt:lpstr>uurtarief7</vt:lpstr>
      <vt:lpstr>uurtarief8</vt:lpstr>
      <vt:lpstr>uurtarief9</vt:lpstr>
      <vt:lpstr>vp_leiding</vt:lpstr>
      <vt:lpstr>vp_regie</vt:lpstr>
      <vt:lpstr>vp_regulier</vt:lpstr>
    </vt:vector>
  </TitlesOfParts>
  <Company>Intexso Adviesbureau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</dc:creator>
  <cp:lastModifiedBy>Eric</cp:lastModifiedBy>
  <dcterms:created xsi:type="dcterms:W3CDTF">2021-03-18T14:20:32Z</dcterms:created>
  <dcterms:modified xsi:type="dcterms:W3CDTF">2021-03-18T14:22:29Z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0x01010004FC5547E493C945A2F65B61B5E461F0</vt:lpwstr>
  </property>
</Properties>
</file>